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#canaryislands" sheetId="1" r:id="rId3"/>
    <sheet state="visible" name="[Logs] Twitter Archiver" sheetId="2" r:id="rId4"/>
  </sheets>
  <definedNames/>
  <calcPr/>
</workbook>
</file>

<file path=xl/sharedStrings.xml><?xml version="1.0" encoding="utf-8"?>
<sst xmlns="http://schemas.openxmlformats.org/spreadsheetml/2006/main" count="9530" uniqueCount="3165">
  <si>
    <t>Date</t>
  </si>
  <si>
    <t>Event Log</t>
  </si>
  <si>
    <t>Twitter Search Rule: #canaryislands</t>
  </si>
  <si>
    <t>This sheet will capture the program logs. Please do not edit or rename this sheet.</t>
  </si>
  <si>
    <t>User Details</t>
  </si>
  <si>
    <t>Screen Name</t>
  </si>
  <si>
    <t>Log sheet created for Twitter Archiver</t>
  </si>
  <si>
    <t>Full Name</t>
  </si>
  <si>
    <t>Tweet Text</t>
  </si>
  <si>
    <t>Tweet ID</t>
  </si>
  <si>
    <t>[Save] Rule #canaryislands</t>
  </si>
  <si>
    <t>Trigger created for saving tweets</t>
  </si>
  <si>
    <t>[Rule] #canaryislands 1661 tweets</t>
  </si>
  <si>
    <t>App</t>
  </si>
  <si>
    <t>Followers</t>
  </si>
  <si>
    <t>Follows</t>
  </si>
  <si>
    <t>Retweets</t>
  </si>
  <si>
    <t>Favorites</t>
  </si>
  <si>
    <t>Verfied</t>
  </si>
  <si>
    <t>User Since</t>
  </si>
  <si>
    <t>Location</t>
  </si>
  <si>
    <t>Bio</t>
  </si>
  <si>
    <t>Profile Image</t>
  </si>
  <si>
    <t>Google Maps</t>
  </si>
  <si>
    <t>Valeri</t>
  </si>
  <si>
    <t>RT @spain: The Dragon Tree Is estimated to be between 400 and 500 years old and is the most symbolic tree in the #CanaryIslands. #Tenerife…</t>
  </si>
  <si>
    <t>Twitter for iPhone</t>
  </si>
  <si>
    <t>No</t>
  </si>
  <si>
    <t>United States</t>
  </si>
  <si>
    <t>The camera is an instrument that teaches people how to see without a camera ~ Dorothea Lange</t>
  </si>
  <si>
    <t>John Alan Pick</t>
  </si>
  <si>
    <t>❤️ = #Entertainment #Buble #Lanzarote #Music #Expat #Vlog #CanaryIslands #RatPack #Spain #SocialMedia #HomeRecording https://t.co/5PEPPs5GKp</t>
  </si>
  <si>
    <t>HaruTweet</t>
  </si>
  <si>
    <t>Lanzarote</t>
  </si>
  <si>
    <t>Pro Singer for any Hotel, Bar, Wedding, Event or Party. From Rat Pack Big Band Swing &amp; Michael Buble Tribute to full on Party. Lanzarote &amp; UK</t>
  </si>
  <si>
    <t>Beth Haslam</t>
  </si>
  <si>
    <t>RT @CanaryIslandsEN: Retweet if you wish you were in the #CanaryIslands RIGHT NOW! https://t.co/7j87PINcp8</t>
  </si>
  <si>
    <t>Twitter Web Client</t>
  </si>
  <si>
    <t>Passionate animal lover, best selling author, usually seen padding around with my Fat Dogs in the French countryside.</t>
  </si>
  <si>
    <t>Emociones Canarias</t>
  </si>
  <si>
    <t>RT @Selhso: @emocionesCan @paisajecanario @Salamanca_SSV @islaspromo @LpaVisit #CanaryIslands #goodnight #buonanotte #BuenasNoches Noche e…</t>
  </si>
  <si>
    <t>Twitter for Android</t>
  </si>
  <si>
    <t>Islas Canarias</t>
  </si>
  <si>
    <t>¡Canarias, un mundo de emociones! 8 maravillosas islas para disfrutar de increíbles experiencias y emociones. info@emocionescanarias.com</t>
  </si>
  <si>
    <t>Noemi Leal</t>
  </si>
  <si>
    <t>Oliver ツ</t>
  </si>
  <si>
    <t>Islas Canarias, España.</t>
  </si>
  <si>
    <t>Si quieres triunfar, no te quedes mirando la escalera. Empieza a subir, escalón a escalón, hasta que llegues arriba.(Casado (^_-)-☞ @PIMIENTAO7)</t>
  </si>
  <si>
    <t>swiss-shop4u España</t>
  </si>
  <si>
    <t>Up to 50% on some of our items in all of our stores! https://t.co/27wlOPCVA3 #canaryislands #DESCUENTO https://t.co/jHfWw050uL</t>
  </si>
  <si>
    <t>Meet Edgar</t>
  </si>
  <si>
    <t>Islas Canarias, España</t>
  </si>
  <si>
    <t>Retail stores specializing in Swiss Brands / Tiendas especializadas en la comercialización de marcas suizas. #Canarias #Tenerife #GranCanaria</t>
  </si>
  <si>
    <t>Paula Carrera</t>
  </si>
  <si>
    <t>RT @AlbertoEscri: #PressTrip Los Gigantes, La Laguna, #SiamPark, Adeje... continuamos descubriendo #Tenerife #CanaryIslands https://t.co/rG…</t>
  </si>
  <si>
    <t>Madrid</t>
  </si>
  <si>
    <t>Periodista. Presidenta de Torres y Carrera Consultores de Comunicación.</t>
  </si>
  <si>
    <t>La Palma 24® Turismo</t>
  </si>
  <si>
    <t>Flying over paradise / Isla de La Palma #CanaryIslands https://t.co/oapjaTM24o @lapalma24 #Travel #IslaBonita https://t.co/f6P2MBAxkp</t>
  </si>
  <si>
    <t>Facebook</t>
  </si>
  <si>
    <t>La Palma, Canarias</t>
  </si>
  <si>
    <t>Ferienunterkünfte, Mietwagen auf LA PALMA. Alojamientos turísticos, Rent a Car, Holiday accommodation La Palma @lapalma24 #Kanaren #lapalma #islabonita</t>
  </si>
  <si>
    <t>Sun-e-Holidays</t>
  </si>
  <si>
    <t>Good Morning #Lanzarote #Canaryislands today Sunday 23ºC https://t.co/XJlilK2XeJ https://t.co/sgRbiTaiFu</t>
  </si>
  <si>
    <t>TweetDeck</t>
  </si>
  <si>
    <t>España</t>
  </si>
  <si>
    <t>Specialized in holiday renting villas for your next holidays with family, couple or friends in Lanzarote http://t.co/nX5bk4v1ZD http://t.co/0ubLYYdUrm</t>
  </si>
  <si>
    <t>Piero De Caro</t>
  </si>
  <si>
    <t>#nature #travel #madeincanarias #canaryislands #canarias #lanzarote #turismolzt #ig_lanzar… https://t.co/tAZoT692Tv https://t.co/gJMiwsdIFP</t>
  </si>
  <si>
    <t>IFTTT</t>
  </si>
  <si>
    <t>Paisaje Canario</t>
  </si>
  <si>
    <t>Vivo en ocho Islas Canarias</t>
  </si>
  <si>
    <t>#ElHierro #Fuerteventura #GranCanaria #Lanzarote #LaGomera #LaGraciosa #LaPalma #Tenerife Elige la que quieras y lo que quieras :)</t>
  </si>
  <si>
    <t>Félix Blackauville</t>
  </si>
  <si>
    <t>#lalaguna #tenerife #tenerifesea #canarias #islascanarias #islascanariasoficial #canaryislands #canariasgrafia #latituddevida</t>
  </si>
  <si>
    <t>Med Cruise Guide</t>
  </si>
  <si>
    <t>#Arrecife, bustling, friendly and unpretentious city https://t.co/lRYVXO4vdJ #CanaryIslands https://t.co/pAoC6XKMpC</t>
  </si>
  <si>
    <t>SocialOomph</t>
  </si>
  <si>
    <t>Cruise the beautiful Mediterranean by ship or car and discover fascinating port cities, ancient ruins, secret beaches, amazing food, trend-setting fashion...</t>
  </si>
  <si>
    <t>gergo lippai</t>
  </si>
  <si>
    <t>the house that concrete built #betancuria #fuerteventura #canaryislands #tinyplanet… https://t.co/TVmjNTxZG7</t>
  </si>
  <si>
    <t>Instagram</t>
  </si>
  <si>
    <t xml:space="preserve">Amsterdam, Netherlands </t>
  </si>
  <si>
    <t>pm lead @MOBGEN // founder &amp; blogger @androidportal // android geek // urban cyclist // homebrew musician // dad with jokes // lame ass instagrammer</t>
  </si>
  <si>
    <t>marek wysoczynski</t>
  </si>
  <si>
    <t>#worldsmilearchive #uśmiech #smile #lächeln #smilecoaching #tenerife #canaryislands #spain #palmas #playa… https://t.co/77hZO6rDDe</t>
  </si>
  <si>
    <t>gdansk, Poland</t>
  </si>
  <si>
    <t>I create World Smile Archive.I am collecting autographs in form of smiles for children hospitals, we do workshops with children, smiles</t>
  </si>
  <si>
    <t>John Buchanan</t>
  </si>
  <si>
    <t>RT @MedCruiseGuide: #Arrecife, bustling, friendly and unpretentious city https://t.co/lRYVXO4vdJ #CanaryIslands https://t.co/pAoC6XKMpC</t>
  </si>
  <si>
    <t>Twitter for iPad</t>
  </si>
  <si>
    <t xml:space="preserve">Horning Norwich Norfolk </t>
  </si>
  <si>
    <t>Self drive day Boat Hire, Boat Sales Riverside Holiday Cottage.Manufacture of Marine upholstery Canopies and Bimini Top's On Site Marina full servicing ..</t>
  </si>
  <si>
    <t>Ge Sa</t>
  </si>
  <si>
    <t>RT @la_palma: Flying over paradise / Isla de La Palma #CanaryIslands https://t.co/oapjaTM24o @lapalma24 #Travel #IslaBonita https://t.co/f6…</t>
  </si>
  <si>
    <t>People</t>
  </si>
  <si>
    <t>Wild Sunday morning. #Wedding #WolvesWorkshop #CanaryIslands #Elopement #WeddingPhotography #DestinationWedding… https://t.co/oyo7mEHVW6</t>
  </si>
  <si>
    <t>Miranda de Ebro, Burgos (ES)</t>
  </si>
  <si>
    <t>Truelove Tellers • Indie Wedding Photographers · 30 Rising Stars of Wedding Photography 2016 · Based in Spain. Flying anywhere.</t>
  </si>
  <si>
    <t>Miguel Hahn</t>
  </si>
  <si>
    <t>#LaGomera and behind #LaPalma la #IslaBonita #quesuerteviviraqui #canaryislands https://t.co/eVD6Y0R7rw</t>
  </si>
  <si>
    <t>Canarias</t>
  </si>
  <si>
    <t>#Management &amp; more #MFC #CanaryIslands #quesuerteviviraqui #World #yaquedamenos</t>
  </si>
  <si>
    <t>TenDive</t>
  </si>
  <si>
    <t>Still waiting to know these 70% of the planet? #TenDive #Tenerife #CanaryIslands #Scuba #Diving #PADi #UTD #Spain https://t.co/2Vded1n9hv</t>
  </si>
  <si>
    <t>Tenerife sur</t>
  </si>
  <si>
    <t>Diving center in South Tenerife, PADI courses, all levels. Passionate about being more than one atmosphere.</t>
  </si>
  <si>
    <t>ffcomunicacion</t>
  </si>
  <si>
    <t>RT @BarrosoJuanma: El próximo 7 de diciembre estaremos con @saidmuti en Los Jardines del Atlántico! #festivalcero, #canaryislands https://t…</t>
  </si>
  <si>
    <t>Las Palmas de Gran Canaria</t>
  </si>
  <si>
    <t>Gestionamos sus ideas en comunicación, publicidad y diseño …o las nuestras. Recuerde, una idea mal gestionada será un proyecto frustrado.</t>
  </si>
  <si>
    <t>raclette is culture</t>
  </si>
  <si>
    <t>RT @spain: #Lanzarote, the most volcanic of the #CanaryIslands, boasts some curious #landscapes. ☺ 📷 #VisitSpain #tourism @TurismoLZT @Cana…</t>
  </si>
  <si>
    <t>Paris, France</t>
  </si>
  <si>
    <t>design graphique &amp; ux design | vivre d'amour, de séries et de hiphop | quelques grammes de féminisme | @Lyczko_ ♥</t>
  </si>
  <si>
    <t>Ramon Sarmlento Baez</t>
  </si>
  <si>
    <t>los mochis sinaloa</t>
  </si>
  <si>
    <t>Shades Of Bad</t>
  </si>
  <si>
    <t>video #cruisechat tips+clips on Santa Cruz #Tenerife, #CanaryIslands #Iberia #Cruise https://t.co/ZgNul1eNWC https://t.co/8pz9JrC9gr</t>
  </si>
  <si>
    <t>Hampstead, London</t>
  </si>
  <si>
    <t>A woman has needs. Revenge is amongst them. start at the beginning there are 61 episodes. https://t.co/C6AUbtKadD</t>
  </si>
  <si>
    <t>Cruise Doris Visits</t>
  </si>
  <si>
    <t>video #cruisechat tips+clips on Santa Cruz #Tenerife, #CanaryIslands #Iberia #Cruise https://t.co/I0Z3nRdb2Y https://t.co/Z6oMSqef79</t>
  </si>
  <si>
    <t>London &amp; a ship</t>
  </si>
  <si>
    <t>Doris has gone cruising, why not. Have you tried it... seriously, take a look. https://t.co/wcJZE001v9</t>
  </si>
  <si>
    <t>Doris Travel Blog</t>
  </si>
  <si>
    <t>video #cruisechat tips+clips on Santa Cruz #Tenerife, #CanaryIslands #Iberia #Cruise https://t.co/1MsnPSVnj5 https://t.co/VajGXzevP1</t>
  </si>
  <si>
    <t>Video Travel blog on https://t.co/f01D5sTw7b join in and share</t>
  </si>
  <si>
    <t>Composers at Shades</t>
  </si>
  <si>
    <t>video #cruisechat tips+clips on Santa Cruz #Tenerife, #CanaryIslands #Iberia #Cruise https://t.co/LpHySKGjdx https://t.co/xR0844vtez</t>
  </si>
  <si>
    <t>London, England</t>
  </si>
  <si>
    <t>Shades is an agency for Film &amp; TV Composers. Artistic Director Mark Blackledge is our in house composer. https://t.co/GCzZikQpgf</t>
  </si>
  <si>
    <t>Doris Visits</t>
  </si>
  <si>
    <t>video #cruisechat tips+clips on Santa Cruz #Tenerife, #CanaryIslands #Iberia #Cruise https://t.co/oH4Fd0gxFa https://t.co/hwki3S8gsG</t>
  </si>
  <si>
    <t>World Traveller</t>
  </si>
  <si>
    <t>Video Blog - Travel show. Doris has just returned from #Cruising the Canaries. See her film on #Madeira https://t.co/1fz7dgH9mL</t>
  </si>
  <si>
    <t>https://t.co/pFsu6XLFN6 #CanaryIslands from Space! #Lanzarote</t>
  </si>
  <si>
    <t>harrow</t>
  </si>
  <si>
    <t>RT @Johnalanpick: https://t.co/pFsu6XLFN6 #CanaryIslands from Space! #Lanzarote</t>
  </si>
  <si>
    <t>tierra BILBAO</t>
  </si>
  <si>
    <t>fan del @Realmadridbaloncesto @LAKERS y del deporte y forofo de NEW YORK -</t>
  </si>
  <si>
    <t>LpaVisit</t>
  </si>
  <si>
    <t>Cuenta oficial de Turismo de Las Palmas de Gran Canaria. Descúbrenos! Official Tourism of Las Palmas de Gran Canaria twitter acc. We share our City with you!</t>
  </si>
  <si>
    <t>ShopAfortunadas</t>
  </si>
  <si>
    <t>#andenverde lleva el color y abrígate 🌥#cozyness #afortunadas #islascanarias #canaryislands… https://t.co/5ByvJzyBcU</t>
  </si>
  <si>
    <t>Destellos del paraíso. Encuéntranos en Facebook (https://t.co/s7ifcvTxkU) y en Instagram (http://t.co/w2VMuwhmqi)</t>
  </si>
  <si>
    <t>PerverTeemo🍄</t>
  </si>
  <si>
    <t>Canario x Madrid -》Españistaní</t>
  </si>
  <si>
    <t>En pie de guerra desde el '82✊ // Gamer indignado, Supp abnegado y Roller retirado // Política, Series y Sushi solían ser mi vida, entonces llegó el lol.... 😆</t>
  </si>
  <si>
    <t>мคу ηคøмï Ƹ̵̡Ӝ̵̨̄Ʒ</t>
  </si>
  <si>
    <t>#Canarias #CanaryIslands #Tenerife #Flowers #HappySunday #FelizDomingo https://t.co/Ub0f0AL6yl</t>
  </si>
  <si>
    <t>Earth/Twitterland</t>
  </si>
  <si>
    <t>Ƹ̵̡Ӝ̵̨̄ƷMay Naomi PhotographyƸ̵̡Ӝ̵̨̄Ʒ. Twitterati ... I speak english, español, français, deutsch, a bit 日本語, a bit portuguese, studying chinese (韩愈)^^</t>
  </si>
  <si>
    <t>Hildegard Werth</t>
  </si>
  <si>
    <t>1. Advent #LaPalma #CanaryIslands https://t.co/ZL4UAJ9lE7</t>
  </si>
  <si>
    <t>Mainz Deutschland</t>
  </si>
  <si>
    <t>Wissenschaftsjournalistin SehensWert(h) TV</t>
  </si>
  <si>
    <t>Sergio González</t>
  </si>
  <si>
    <t>View from #MiradorDelRio #Lanzarote #canaryislands #canarias #sunset #atlantic https://t.co/I2ZnleJqpf https://t.co/9Z2BWlsb3O</t>
  </si>
  <si>
    <t>Toronto, Canada</t>
  </si>
  <si>
    <t>Software Engineer and Bass Guitar Learner. I like to travel, meet people, music, photography, technology...</t>
  </si>
  <si>
    <t>Dailos Pérez Glez</t>
  </si>
  <si>
    <t>Listán Negro. #grapes #indigenousgrapes #uvas #canarias #canaryislands #wine #vino… https://t.co/lnoRrwjuJE</t>
  </si>
  <si>
    <t>Valencia, Spain</t>
  </si>
  <si>
    <t>Branding &amp; Packaging Design</t>
  </si>
  <si>
    <t>The Canary Islands</t>
  </si>
  <si>
    <t>NEW BLOG POST: The tapas culture on #ElHierro island https://t.co/HVwQCZ88lj #CanaryIslands https://t.co/4HpGFimR3s</t>
  </si>
  <si>
    <t>Buffer</t>
  </si>
  <si>
    <t>Canary Islands</t>
  </si>
  <si>
    <t>The Canary Island's tourist board, tweeting about our seven beautiful islands in English. #CanaryIslands for all things Canarian on Twitter :-D</t>
  </si>
  <si>
    <t>Spanish Villas</t>
  </si>
  <si>
    <t>Salamanca Spanish Villas Ltd</t>
  </si>
  <si>
    <t>Real Estate - Spain, Mallorca, Ibiza &amp; Tenerife</t>
  </si>
  <si>
    <t>Enduria Travel Shop</t>
  </si>
  <si>
    <t>CanaryIslandsEN: NEW BLOG POST: The tapas culture on #ElHierro island https://t.co/tFcQMaX0oZ #CanaryIslands https://t.co/2Kje7ARcJf</t>
  </si>
  <si>
    <t>Rick F Oliva</t>
  </si>
  <si>
    <t>RT https://t.co/w141ZCj27r video #cruisechat tips+clips on Santa Cruz #Tenerife, #CanaryIslands #Iberia #Cruise … https://t.co/gAjj6lQynZ</t>
  </si>
  <si>
    <t>Newnan, GA</t>
  </si>
  <si>
    <t>I'm a Staffing Manager at Solid Future. My interests include my family, outdoor activities, travel, chess and bass fishing.</t>
  </si>
  <si>
    <t>RT https://t.co/i2FBoy1EDy video #cruisechat tips+clips on Santa Cruz #Tenerife, #CanaryIslands #Iberia #Cruise … https://t.co/M2XCHCBxIS</t>
  </si>
  <si>
    <t>RT https://t.co/Ky4UrpJfBB video #cruisechat tips+clips on Santa Cruz #Tenerife, #CanaryIslands #Iberia #Cruise … https://t.co/clFtVMg9UZ</t>
  </si>
  <si>
    <t>RT https://t.co/Cn5LcmXvK7 video #cruisechat tips+clips on Santa Cruz #Tenerife, #CanaryIslands #Iberia #Cruise … https://t.co/B0a0EBZE8a</t>
  </si>
  <si>
    <t>Presas Canarias</t>
  </si>
  <si>
    <t>#CanaryIslands #Tenerife https://t.co/K79TagqNoT</t>
  </si>
  <si>
    <t>Gran Canaria CANARIAS</t>
  </si>
  <si>
    <t>Geógrafo contemplativo de grandes MUROS de fábrica pétrea en Gran Canaria. Por la magnitud de los trabajos hidráulicos realizados y las cosas extraordinarias.</t>
  </si>
  <si>
    <t>Les Randos de Caco</t>
  </si>
  <si>
    <t>La côte est de Lanzarote entre Punta Esacamas et Punta Usaje #lanzarote #canaries #islascanarias #canaryislands… https://t.co/QrSfAI3CA2</t>
  </si>
  <si>
    <t>Bordeaux, France</t>
  </si>
  <si>
    <t>La Rando à ma façon</t>
  </si>
  <si>
    <t>AGMTenerife☔</t>
  </si>
  <si>
    <t>RT @Insurrecto76: El paraíso esta ➕ cerca d lo q se piensa #Tenerife #LatituddeVida #IslasCanarias #CanaryIslands somos afortunad@s!! https…</t>
  </si>
  <si>
    <t>San Cristóbal de la Laguna</t>
  </si>
  <si>
    <t>Actualidad Geográfica y Meteorológica Tenerife. Divulgación científica, geografía, ordenación del territorio, predicciones meteorológicas amateur en Canarias.</t>
  </si>
  <si>
    <t>Canario-UD</t>
  </si>
  <si>
    <t>@emocionesCan @paisajecanario @Salamanca_SSV @islaspromo @LpaVisit #CanaryIslands #GranCanaria #SundayMorning… https://t.co/YiE0rR4KUt</t>
  </si>
  <si>
    <t>Isla de  Gran Canaria</t>
  </si>
  <si>
    <t>Dulces Alegrías</t>
  </si>
  <si>
    <t>Día espectacular. #Candelaria #Tenerife #canaryislands #beach #playa @ Candelaria, Tenerife https://t.co/cqux23xS5G</t>
  </si>
  <si>
    <t>S/C de Tenerife-Islas Canarias</t>
  </si>
  <si>
    <t>Bloguera aficionada a la cocina, la repostería, la fotografía y amante de la naturaleza.</t>
  </si>
  <si>
    <t>Asier Baquero</t>
  </si>
  <si>
    <t>#msccruises #cruises #Travel #Tourism #CanaryIslands @ Canary Islands https://t.co/HNRJKOPgq0</t>
  </si>
  <si>
    <t>Spain</t>
  </si>
  <si>
    <t>European #hotelier Passionate about #Tourism #Travel #Hotels #Foodie #Wine #Swimming GM experience in Europe, Latin America &amp; Caribbean. Views are my own.</t>
  </si>
  <si>
    <t>RT @Selhso: @emocionesCan @paisajecanario @Salamanca_SSV @islaspromo @LpaVisit #CanaryIslands #GranCanaria #SundayMorning #sunday #FelizDo…</t>
  </si>
  <si>
    <t>Phil MeadStubbington</t>
  </si>
  <si>
    <t>Henley On Thames, Oxfordshire</t>
  </si>
  <si>
    <t>Lucky husband to bionic @louisamead and Dad to @edstub207 Music, comedy and coffee geek. Also keen on running, cycling, local history, genealogy, &amp; my home town</t>
  </si>
  <si>
    <t>Rubén Méndez </t>
  </si>
  <si>
    <t>#sunset #tenerife #tenerifelicidad #canarias #canaryislands #canariashoy #canariasgrafias… https://t.co/mivigeFZC6</t>
  </si>
  <si>
    <t>Los Silos, Tenerife</t>
  </si>
  <si>
    <t>T.E.Delineante, Seguidor de todos los aparatejos de Apple </t>
  </si>
  <si>
    <t>Victoria queen</t>
  </si>
  <si>
    <t>#자연 #꽃 #풍경 #코믹 #개그 #동물 #힐링 #사랑 #운동 맞팔100%</t>
  </si>
  <si>
    <t>islaspromo Canarias</t>
  </si>
  <si>
    <t>PROMOCION DE LAS 7 ISLAS #Tenerife #GranCanaria #LaPalma #ElHierro #LaGomera #Fuerteventura #Lanzarote y #LaGraciosa. etiqueta y menciona @islaspromo por RT</t>
  </si>
  <si>
    <t>Alberto Manzanares</t>
  </si>
  <si>
    <t>Casi Diciembre en mi tierra, nada más que decir Señoría 😏 #maspalomas #canaryislands… https://t.co/Rv74NgHpuG</t>
  </si>
  <si>
    <t>Pianista, quiromasajista y lo que me echen! Instagram: @iguanac</t>
  </si>
  <si>
    <t>GoldByMarina</t>
  </si>
  <si>
    <t>Playa del Inglés</t>
  </si>
  <si>
    <t>En pleno corazón de Playa del Inglés, se encuentra Marina Gold, un hotel de cuatro estrellas con 134 habitaciones dirigidas a un público solo adultos</t>
  </si>
  <si>
    <t>Nazrie</t>
  </si>
  <si>
    <t>On its way to the top... @teidic National Park #canaryislands #mobilephotography #iphoneography… https://t.co/01ON4b0p6L</t>
  </si>
  <si>
    <t>Dublin, Ireland</t>
  </si>
  <si>
    <t>º Photography º Technology º Travel</t>
  </si>
  <si>
    <t>fly high</t>
  </si>
  <si>
    <t>A good life is when you assume nothing, do more, need less, smile often. ‏الهـدوء الذي يلازمنا في بعض الأحيان هو رحلة قصيرة عن صدماتنا من واقع نعيشه ..!</t>
  </si>
  <si>
    <t>Mark Pawlak</t>
  </si>
  <si>
    <t>Got to love exploring the #CanaryIslands https://t.co/PohfmmWSVT</t>
  </si>
  <si>
    <t>Brighton, England</t>
  </si>
  <si>
    <t>Digital all rounder, photographer, #adventure sports and #travel lover, free mind, cyclist, information sponge and fresh air freak. Editor @theextremeguide</t>
  </si>
  <si>
    <t>Jenny</t>
  </si>
  <si>
    <t>Partners in crime #bestie #girls #holiday #girl #girlfriend #bikini #tenerife #CanaryIslands # pool #funny #sundayf… https://t.co/ahR8sJL99M</t>
  </si>
  <si>
    <t>I have really long hair</t>
  </si>
  <si>
    <t>It's November and I'm bikining it up in Europe 😎😂👙🌴☉ #tenerife #CanaryIslands #me #selfie #bikini #tanned #tan #hai… https://t.co/vge7TVesgj</t>
  </si>
  <si>
    <t>Ari Sykez</t>
  </si>
  <si>
    <t xml:space="preserve">Gran Canaria </t>
  </si>
  <si>
    <t>Graphic Designer, Photographer &amp; Hairdresser ¿Mi plan? Disfrutar la vida... Repartiendo Felicidad desde 1991, ♥ creador @SykezPhotos 🇪🇸 🇮🇨 🇪🇺 🏳️‍🌈</t>
  </si>
  <si>
    <t>Carly Creaney</t>
  </si>
  <si>
    <t>Less than a week to go #6days #canaryislands #corralejo #sunshine #therealcountdown… https://t.co/F3Ldsvnoqg</t>
  </si>
  <si>
    <t>wishaw/holytown</t>
  </si>
  <si>
    <t>Don't get burned twice by the same flame!</t>
  </si>
  <si>
    <t>Le bouquet final des #jameosdelagua à #lanzarote 🌴 #palmtree #piscine #islascanarias #canaryislands https://t.co/dFDvn8MeN0</t>
  </si>
  <si>
    <t>Didimex</t>
  </si>
  <si>
    <t>De excursión a Playa Quemada #Lanzarote #canarias #canaryislands #hiking 🌵🐫☀️🌴😁 https://t.co/hkY90jumT4</t>
  </si>
  <si>
    <t>You are entitled to nothing' #FrankUnderwood #houseofcards*Mi tiempo se divide en mi #familia soy #mamá #autónoma estudié #marketing y me gustan las #series</t>
  </si>
  <si>
    <t>Julio Alonso</t>
  </si>
  <si>
    <t>RT @nochescanarias: Sábado #winteriscoming ? #CanaryIslands @TenerifeBonjour @holyber @cenayla @JuegoDeTronosTM @AEMET_Canarias @ElTiempo…</t>
  </si>
  <si>
    <t>La Laguna,Tenerife.</t>
  </si>
  <si>
    <t>Tinerfeňo,Repúblicano por la gracia de Dios.</t>
  </si>
  <si>
    <t>Gabriela</t>
  </si>
  <si>
    <t>Laura</t>
  </si>
  <si>
    <t>Teguise church. #teguise #church #architecture #vacation #lanzarote #canaryislands @ Teguise https://t.co/BfOZuf90ak</t>
  </si>
  <si>
    <t>Barcelona</t>
  </si>
  <si>
    <t>Possibly a cat. Biologist, PhD (@imimat @CRGenomica @univpompeufabra), neuroscientist, writer, reader, music lover, alto, traveler. Swim. Run. Ride.</t>
  </si>
  <si>
    <t>Back alleys. #canaryislands #lanzarote #vacation #street #alley #teguise #solitude @ Teguise https://t.co/4GnGEifPka</t>
  </si>
  <si>
    <t>Raise the drawbridge! #architecture #canaryislands #lanzarote #castle #volcano #teguise #views… https://t.co/V1KOOnYX0S</t>
  </si>
  <si>
    <t>Up the volcano. #santabarbara #views #teguise #volcano #castle #lanzarote #canaryislands @… https://t.co/L9PrSEPo2J</t>
  </si>
  <si>
    <t>Abandoned viewpoints. #lanzarote #canaryislands #view #haría #island #sea #atlantic @ Mirador Haría https://t.co/NAuzw9HUpt</t>
  </si>
  <si>
    <t>Aerial of La Graciosa. #canaryislands #lanzarote #view #island #miradordelrio #viewpoint… https://t.co/9duYLsi1wd</t>
  </si>
  <si>
    <t>Dominic</t>
  </si>
  <si>
    <t>nice last summerday in tenerife. love it. #canaryislands #spain #tenerife #wanderlust #traveling… https://t.co/lu3mMXPwSw</t>
  </si>
  <si>
    <t>Bad Kreuznach, Rheinland-Pfalz</t>
  </si>
  <si>
    <t>just a computer guy with some tattoos. i also love traveling, whisky, football, spotify &amp; netflix</t>
  </si>
  <si>
    <t>The waves at Famara. #vacation #famara #lanzarote #sea #beach #atlantic #canaryislands @ Caleta… https://t.co/XQZlEvsrPY</t>
  </si>
  <si>
    <t>Windy Famara. #canaryislands #atlantic #beach #sea #lanzarote #famara #kitesurfing #vacation @… https://t.co/7dPeydLZzT</t>
  </si>
  <si>
    <t>Blue everywhere you look. #vacation #famara #lanzarote #sea #atlantic #canaryislands #blue… https://t.co/vihWIsea8h</t>
  </si>
  <si>
    <t>Ready to brave the waves. #blue #canaryislands #atlantic #sea #surf #famara #waves #lanzarote… https://t.co/6s7GegWtCM</t>
  </si>
  <si>
    <t>Your Golf Travel</t>
  </si>
  <si>
    <t>Hands up for sun drenched fairways in the #CanaryIslands? Book Now from £395 &gt;&amp;gt; https://t.co/XXrTFSNHFF https://t.co/WczoBsVWfh</t>
  </si>
  <si>
    <t>Farringdon, London</t>
  </si>
  <si>
    <t>World's Largest Golf Travel Company, offering Golf Holidays &amp; Golf Breaks throughout the UK, Europe &amp; Rest of World. Happy Golfing! +44 (0)20 7336 5340</t>
  </si>
  <si>
    <t>Manuel Carranco</t>
  </si>
  <si>
    <t>LUGARES CON MUCHO ENCANTO !!! #carranco #manuelcarranco #teguise #lanzarote #canaryislands… https://t.co/KycBVciVNu</t>
  </si>
  <si>
    <t>Club &amp; Events Promotor, Dj, Producer, Remixer</t>
  </si>
  <si>
    <t>ferre gregoire</t>
  </si>
  <si>
    <t>RT @eventbaristas: If you can't think because you can't chew, try a banana #siteinspection #kickoff #CanaryIslands #workspace #banana # htt…</t>
  </si>
  <si>
    <t>Antwerpen</t>
  </si>
  <si>
    <t>Nubia Alonso</t>
  </si>
  <si>
    <t>Gabbia d'oro #la_magua ____________________ #gold #teneriffa #isolecanarie #canaryislands… https://t.co/nscasw9yOi</t>
  </si>
  <si>
    <t>Tenerife</t>
  </si>
  <si>
    <t>| Educación Creativa y Mediación Cultural | Investiga, conecta y comparte: Tu visión lo cambia todo</t>
  </si>
  <si>
    <t>Berto Garcia</t>
  </si>
  <si>
    <t>@paisajecanario @islaspromo @LpaVisit #CanaryIslands #FelizDomingo Dunas de Maspalomas #Maspalomas #Dunas #Fotos… https://t.co/oSu48EJh02</t>
  </si>
  <si>
    <t>Aqui encontraras rincones de Canarias Con .Fotos Fotografias #Herbania #Majorero #CanaryIslands #GranCanaria #Fuerteventura https://t.co/8gnwLYuH1r</t>
  </si>
  <si>
    <t>Chumpi</t>
  </si>
  <si>
    <t>RT @bermaxo09: @paisajecanario @islaspromo @LpaVisit #CanaryIslands #FelizDomingo Dunas de Maspalomas #Maspalomas #Dunas #Fotos #PhotosMas…</t>
  </si>
  <si>
    <t>#HailLH En este mundo ganar lo es todo.</t>
  </si>
  <si>
    <t>eBook Travel Guides</t>
  </si>
  <si>
    <t>Canary Islands - Understand (PDF Chapter) Lonely Planet https://t.co/lRPOySJtgJ #travel #lp #canaryislands #spain https://t.co/FrEMeqG8oA</t>
  </si>
  <si>
    <t>Everywhere</t>
  </si>
  <si>
    <t>Lonely Planet affiliate bringing you the latest digital travel guides and chapters. Lighten your luggage.</t>
  </si>
  <si>
    <t>Maspalomas.... Playa del Ingles #CanaryIslands #FelizDomingo Dunas de Maspalomas #Maspalomas #Dunas #Fotos… https://t.co/e5hCXVS98r</t>
  </si>
  <si>
    <t>Giovanni Medini</t>
  </si>
  <si>
    <t>Charina</t>
  </si>
  <si>
    <t>Sur de Tenerife</t>
  </si>
  <si>
    <t>Amante de los buenos libros, la música en general, disfrutar de los amigos de corazón y de la vida en general. Quisiera recuperarme y volver a ser feliz y sana</t>
  </si>
  <si>
    <t>Raico Rosenberg</t>
  </si>
  <si>
    <t>Almond trees in blossom in #Tenerife, #canaryIslands https://t.co/VjIuMUJzXk</t>
  </si>
  <si>
    <t>Tenerife, Canary Islands</t>
  </si>
  <si>
    <t>Pro Landscape Photographer, Educator and Dad from Tenerife. Fluent in 5 languages. Sponsored by @FormattHitech filters, @Lucroit and @3leggedthing tripods</t>
  </si>
  <si>
    <t>Beachhouse Oceano</t>
  </si>
  <si>
    <t>:) @EmocionesCan #lanzarote #canaryislands #islascanarias #beach #horizon #summer #vacation #sunrise #paradise… https://t.co/32t76sN05R</t>
  </si>
  <si>
    <t>Canary Islands, Spain</t>
  </si>
  <si>
    <t>.. ✉Email for enquiries: beachhouseoceano@hotmail.com Instagram: beachhouse_oceano</t>
  </si>
  <si>
    <t>Nια Swαη🦄</t>
  </si>
  <si>
    <t>MY PARADISE🌔 • • #beautyview #sea #paradise #canarias #canaryislands #lascanteras #nightfall… https://t.co/EyhH3JKTGK</t>
  </si>
  <si>
    <t>Las Palmas de Gran Canaria, España</t>
  </si>
  <si>
    <t>|Musically•niaswan| |Snap•nia_swan22| | Instagram•niaswann|</t>
  </si>
  <si>
    <t>María</t>
  </si>
  <si>
    <t>Local Cruise Tours</t>
  </si>
  <si>
    <t>RT @rickfoliva: RT https://t.co/Cn5LcmXvK7 video #cruisechat tips+clips on Santa Cruz #Tenerife, #CanaryIslands #Iberia #Cruise … https://t…</t>
  </si>
  <si>
    <t>RT @rickfoliva: RT https://t.co/Ky4UrpJfBB video #cruisechat tips+clips on Santa Cruz #Tenerife, #CanaryIslands #Iberia #Cruise … https://t…</t>
  </si>
  <si>
    <t>RT @rickfoliva: RT https://t.co/i2FBoy1EDy video #cruisechat tips+clips on Santa Cruz #Tenerife, #CanaryIslands #Iberia #Cruise … https://t…</t>
  </si>
  <si>
    <t>Suiza? No, Gran Canaria #grancanaria #canaryislands #lacharcademaspalomas #maspalomaa… https://t.co/ypJeTeFmAd</t>
  </si>
  <si>
    <t>RT @presasgc: #CanaryIslands #Tenerife https://t.co/K79TagqNoT</t>
  </si>
  <si>
    <t>Enrichetta Cardinale</t>
  </si>
  <si>
    <t>2 #rainbows better than 1 #canaryislands @ Mirador Del Rio Lanzarote https://t.co/70SjIJEcfT</t>
  </si>
  <si>
    <t>Cultural Communication &amp; Media Relations @SonarFestival | @Quayola | @Artribune | Art is a Guaranty of Sanity</t>
  </si>
  <si>
    <t>driving thru the wasteland #fuerteventura #canaryislands #tinyplanet #littleplanet @… https://t.co/V9Q0Ufylpa</t>
  </si>
  <si>
    <t>StarZion Production</t>
  </si>
  <si>
    <t>Canary Islands .. youve stolen my heart ❤️ #breathtaking #lovethisplace #canaryislands #ocean… https://t.co/nsJrqiR5x3</t>
  </si>
  <si>
    <t>Stockholm</t>
  </si>
  <si>
    <t>Motivational speaker. AdventureGirl. Believer in that Positivity change the world, so lets do this! Face Your Fears Live Your Dreams!</t>
  </si>
  <si>
    <t>Simon Emilio TurkasⓋ</t>
  </si>
  <si>
    <t>RT @TenerifeMag: Great post by travel blogger Simon Turkas #CanaryIslands #Tenerife Visit Tenerife https://t.co/aCyQcQ62jr</t>
  </si>
  <si>
    <t>Snapchat: simonturkas</t>
  </si>
  <si>
    <t>✈ Travel &amp; Lifestyle Blogger || YouTuber: https://t.co/0LbUYqVjok || Flickr/ Instagram: @simonturkas || Contributor: @gotimeshare, @CanaryIslandsEN</t>
  </si>
  <si>
    <t>eóHotels GranCanaria</t>
  </si>
  <si>
    <t>starzionprod : Canary Islands .. youve stolen my heart ❤️ #breathtaking #lovethisplace #canaryislands #ocean… … https://t.co/9fev9fVckN)</t>
  </si>
  <si>
    <t>Gran Canaria</t>
  </si>
  <si>
    <t>Enjoying the best climate in Europe now is easier, we have hotels and apartments in Maspalomas, Playa del Inglés and Puerto Rico in Gran Canaria Island.</t>
  </si>
  <si>
    <t>Javier Enrique BR 💙</t>
  </si>
  <si>
    <t>Galdo, España</t>
  </si>
  <si>
    <t>Mi cuenta de .@twitter Ciudadano de mundo, idealista, deportista y amante de la naturaleza. Valoro la amistad en las personas que aprecio. @verified by me.</t>
  </si>
  <si>
    <t>lobo isleño</t>
  </si>
  <si>
    <t>las Palmas G.C.</t>
  </si>
  <si>
    <t>idealista me atre lo que veo y me inspira lo que leo</t>
  </si>
  <si>
    <t>Věra Sychrová</t>
  </si>
  <si>
    <t>#FelizNavidad.V #LaOrotava dokončili betlém se sochami v životní velikosti.@LaOrotava #Tenerife #CanaryIslands… https://t.co/bwjW2fTtvx</t>
  </si>
  <si>
    <t>Brno, Czech republic</t>
  </si>
  <si>
    <t>Journalist from Brno. Interested mainly in the environment and politics. Traveler, vegetarian, nature and animal lover.</t>
  </si>
  <si>
    <t>Luxury Spain Travel</t>
  </si>
  <si>
    <t>RT @HotelBotanico: This could be your view tomorrow... #Tenerife #Teneriffa #CanaryIslands #LuxuryTravel https://t.co/Qwx6VSpahI https://t…</t>
  </si>
  <si>
    <t>Lifestyle Writer/Blogger, Trip Planner https://t.co/NII3c18WkR #BoutiqueHotel Reviewer Live in #Andalucia #food &amp; #wine AKA @spaniola https://t.co/Ykziw2CEKp</t>
  </si>
  <si>
    <t>Conde Jackson Tenis</t>
  </si>
  <si>
    <t>Head Trainner Dominic Conde #23grados #tennis #pro #trainning #23degrees #canaryislands #tenis</t>
  </si>
  <si>
    <t>Lo que en su momento fue un sueño,hoy convertido en un gran proyecto, Conde Jackson Tenis Club en Las Palmas de Gran Canaria</t>
  </si>
  <si>
    <t>Holiday Hypermarket</t>
  </si>
  <si>
    <t>Our #BlackFriday sale just got a lot more interesting now the #CanaryIslands have been added!… https://t.co/FMYeL9Vq1f</t>
  </si>
  <si>
    <t>Sprout Social</t>
  </si>
  <si>
    <t>UK</t>
  </si>
  <si>
    <t>We pride ourselves on having the best travel team in the UK - Tweet at us to find your next holiday! #holidayhype https://t.co/TBkOGv66Sh</t>
  </si>
  <si>
    <t>Eva Sait</t>
  </si>
  <si>
    <t>Le cactus du jour du #jardindecactus de #manrique à #lanzarote 🌵#cactus #canaries #islascanarias #canaryislands… https://t.co/qM5ZvwFL6W</t>
  </si>
  <si>
    <t>Sue's Travel News ✈️</t>
  </si>
  <si>
    <t>#suestravelnews #travel #grancanaria #CanaryIslands #amadores https://t.co/uX6ysTmIbJ</t>
  </si>
  <si>
    <t xml:space="preserve">Dublin City, Ireland </t>
  </si>
  <si>
    <t>#travelindustryexpert #tbex #representation #travelwriting #suestravelnews #travelmarketing #hireme #businessdevelopment RT's not endorsements @susanmaxwell777</t>
  </si>
  <si>
    <t>Rosa</t>
  </si>
  <si>
    <t>Las palmas de gran canaria</t>
  </si>
  <si>
    <t>NikoJardiner</t>
  </si>
  <si>
    <t>RT @LesRandosdeCaco: Le cactus du jour du #jardindecactus de #manrique à #lanzarote 🌵#cactus #canaries #islascanarias #canaryislands #piqua…</t>
  </si>
  <si>
    <t>piggy8</t>
  </si>
  <si>
    <t>Au Potager !!</t>
  </si>
  <si>
    <t>Tosky07</t>
  </si>
  <si>
    <t>Sin manual de instrucciones. Amante de todo lo bello que nos rodea. Y con una fuerza poderosa, una imaginación desbocada.</t>
  </si>
  <si>
    <t>Mayte PM</t>
  </si>
  <si>
    <t>aleSi</t>
  </si>
  <si>
    <t>RT @Tenerifesk: Playa de las vistas #canaryislands #tenerife #teneriffa #ilovearona #arona #gopro https://t.co/1ueJaXeM89</t>
  </si>
  <si>
    <t>tenerife</t>
  </si>
  <si>
    <t>libra</t>
  </si>
  <si>
    <t>Costa Adeje Hotels</t>
  </si>
  <si>
    <t>RT @HJardinTropical: One of our best moments is the sunset... Good night! https://t.co/sErHX9Akia #tenerife #Teneriffa #CanaryIslands Costa…</t>
  </si>
  <si>
    <t>costa adeje</t>
  </si>
  <si>
    <t>Welcome to Costa Adeje Hotels your local guide to hotel accommodation in Costa Adeje.Tenerife</t>
  </si>
  <si>
    <t>This trendy Alpine Club polo shirt is 100% cotton and quick drying! https://t.co/27wlOPCVA3 #canaryislands https://t.co/28GrmMtHpa</t>
  </si>
  <si>
    <t>@emocionesCan @paisajecanario @Salamanca_SSV @islaspromo @LpaVisit #CanaryIslands #goodnight #buonanotte… https://t.co/q4L7NX8jHZ</t>
  </si>
  <si>
    <t>PREVALERT</t>
  </si>
  <si>
    <t>RT @CanaryIslandsEN: The trouble with drinking white wine outdoors in November in the #CanaryIslands is that you need to keep it chilled ht…</t>
  </si>
  <si>
    <t>Australia</t>
  </si>
  <si>
    <t>PREVALERT has the leading Water Leak Alarm detectors, Dog Safety LED lit walking Harnesses, Magnetic Fastening kits for doorbells, CO alarms, and Smoke alarms</t>
  </si>
  <si>
    <t>RT @Selhso: @emocionesCan @paisajecanario @Salamanca_SSV @islaspromo @LpaVisit #CanaryIslands #goodnight #buonanotte #BuenasNoches Muelle…</t>
  </si>
  <si>
    <t>Mariola</t>
  </si>
  <si>
    <t>Ꮐ๏Ո乙ａＬ૦ Ⓜᵅʀtıｎ</t>
  </si>
  <si>
    <t>Palmas, Canary Islands</t>
  </si>
  <si>
    <t>Presentador de Noveleros RTVC/ Journalist/Tv Host/Announcer/Yogui-Ashtangui- Instagram &amp; periscope: gonzalomartin19/ redaccion7@sueltaelmando.com</t>
  </si>
  <si>
    <t>RT @bh_oceano: :) @EmocionesCan #lanzarote #canaryislands #islascanarias #beach #horizon #summer #vacation #sunrise #paradise #luxurytrav…</t>
  </si>
  <si>
    <t>We'd love if you'd come say hi in our stores and check out our products like these from VICTORINOX!… https://t.co/PbY2LS1y92</t>
  </si>
  <si>
    <t>José Manuel D.R.</t>
  </si>
  <si>
    <t>Madrileño, de izquierdas, Socialista, Licenciado en Derecho, #eb8cxw, Madridista y ex Profesor de Economía y Administración de Empresa.</t>
  </si>
  <si>
    <t>Kirstin Weber</t>
  </si>
  <si>
    <t>RT @HildegardWerth: 1. Advent #LaPalma #CanaryIslands https://t.co/ZL4UAJ9lE7</t>
  </si>
  <si>
    <t>Editorin @ZDF, sammelt am liebsten Sternenstaub..! sowas von privat hier</t>
  </si>
  <si>
    <t>Alethia</t>
  </si>
  <si>
    <t>RT @CanaryIslandsEN: What do you say? 1. Now 2. Yes 3. OMG #Papagayo #Lanzarote #CanaryIslands https://t.co/Q4ENsLyBFO</t>
  </si>
  <si>
    <t>🔝Nueva en Twitter 💜.Crítica TV Basura 📺 📢 Moda 🔱 🇸️eries ⚛ 📕Deportes 📸 Viajes ⛔️ Política 🔚 🆒 🆕 🆓 MIS PALABRAS 🇩️🇺️🇪️🇱️🇪️🇳️ 🐍porque la verdades duelen 🔥</t>
  </si>
  <si>
    <t>TripsMax</t>
  </si>
  <si>
    <t>#canaryislands - join over 10 million annual visitors to this Spanish archipelago for diverse cultural experiences!… https://t.co/gxQsYGyuqn</t>
  </si>
  <si>
    <t>Hootsuite</t>
  </si>
  <si>
    <t>worldwide</t>
  </si>
  <si>
    <t>At https://t.co/vHv5wskYZk, we know that where you book matters. Whether you're traveling for business or planning a holiday, we're available 24/7.</t>
  </si>
  <si>
    <t>Suzanne</t>
  </si>
  <si>
    <t>3 remarkable ocean conservation initiatives to support! https://t.co/ukwiuDOq3L #canaryislands</t>
  </si>
  <si>
    <t>Tweet Old Post</t>
  </si>
  <si>
    <t>Ocean</t>
  </si>
  <si>
    <t>Protecting our oceans through adventure, action &amp; stories #freedive #sailing #kitesurf #environmentalist</t>
  </si>
  <si>
    <t>dayes</t>
  </si>
  <si>
    <t>#Malvasia grape vine. #Lanzarote #CanaryIslands #OperationWorldDomination #travel #wine https://t.co/2h2NKWYivk</t>
  </si>
  <si>
    <t>Everywhere &amp; Nowhere</t>
  </si>
  <si>
    <t>♬ Always Coca-Cola ♬ I don't auto-follow, so if you want me to follow you, talk to me and say something interesting!</t>
  </si>
  <si>
    <t>#Lanzarote wine route. #CanaryIslands #OperationWorldDomination #travel #wine #Malvasia https://t.co/D4w0twunkO</t>
  </si>
  <si>
    <t>This family run winery makes good #malvasia #wine. #Lanzarote #CanaryIslands #OperationWorldDomination #travel https://t.co/m61J2p3CkC</t>
  </si>
  <si>
    <t>Sandra Danby</t>
  </si>
  <si>
    <t>Books seen by the pool #amreading #CanaryIslands STRANGERS by @paulfinchauthor LETHAL SEDUCTION by @jackiejcollins https://t.co/FGynuSe1IZ</t>
  </si>
  <si>
    <t>Proud Yorkshirewoman. Tennis nut. Tea drinker. Author of IGNORING GRAVITY about a woman, her adoption &amp; a generation of secrets. Coming soon: CONNECTEDNESS</t>
  </si>
  <si>
    <t>I may have bought a couple bottles...🍷 #Lanzarote #CanaryIslands #OperationWorldDomination #travel #wine #Malvasia https://t.co/VCabK9Kivz</t>
  </si>
  <si>
    <t>World Wanderista</t>
  </si>
  <si>
    <t>Who doesn't love a tropical #sunset? #grancanaria #spain #canaryislands @ Playa Taurito https://t.co/BQjxllp0Sg</t>
  </si>
  <si>
    <t>Antwerp, Belgium</t>
  </si>
  <si>
    <t>Wandering around the globe seeking adventure in life with a positive, creative mind &amp; an eye for snapping beautiful places!https://t.co/OcwCG6mwy5</t>
  </si>
  <si>
    <t>John G</t>
  </si>
  <si>
    <t>#Tenerife #CanaryIslands #CostaAdeje #Fañabe #Beach #Sea #Seaside #Holiday #Summer #Sun #Boat #Coast #Hot https://t.co/kB0N3aAXOS</t>
  </si>
  <si>
    <t>Bristol, UK</t>
  </si>
  <si>
    <t>Guitar Enthusiast, Gamer, Music Lover, Coffee &amp; Ale Snob, Biker, Guitarist for @iLLUSTR8ORS</t>
  </si>
  <si>
    <t>#Tenerife #CanaryIslands #CostaAdeje #Fañabe #Beach #Sea #Seaside #Holiday #Summer #Sun #Boat #Coast #Hot https://t.co/mCVSB2LKKz</t>
  </si>
  <si>
    <t>Mo Metzger</t>
  </si>
  <si>
    <t>Schön wars! #LaGomera #CanaryIslands https://t.co/sqpsV9goMG</t>
  </si>
  <si>
    <t>Zürich</t>
  </si>
  <si>
    <t>Stiftung Zürcher Schülerferien, Sportmanagement, Fotografie, Running, Fussball</t>
  </si>
  <si>
    <t>natasha caine</t>
  </si>
  <si>
    <t>RT @CanaryIslandsEN: RIP Cesar Manrique 25.11.1992: #CanaryIslands greatest artists who inspired #Lanzarote &amp; us all http://t.co/wVXosqxsr8…</t>
  </si>
  <si>
    <t>RT @travelsupport7: #suestravelnews #travel #grancanaria #CanaryIslands #amadores https://t.co/uX6ysTmIbJ</t>
  </si>
  <si>
    <t>Port Talk on #LaPalma @DorisVisits the #CanaryIslands https://t.co/OJYPZ3iyw4 https://t.co/7LLMWhmO5q</t>
  </si>
  <si>
    <t>Port Talk on #LaPalma @DorisVisits the #CanaryIslands https://t.co/u1cxEzLSI0 https://t.co/2tpy5U6i9H</t>
  </si>
  <si>
    <t>DORIS UK TRAVEL</t>
  </si>
  <si>
    <t>Port Talk on #LaPalma @DorisVisits the #CanaryIslands https://t.co/2xiAGO83um https://t.co/ByqAAv7etn</t>
  </si>
  <si>
    <t>Doris Visits is a #travel blog, and this is the #UKtravel blog for Doris. Where are you in the `UK~, what have you to offer. Tweet us for a retweet and follow.</t>
  </si>
  <si>
    <t>Port Talk on #LaPalma @DorisVisits the #CanaryIslands https://t.co/wOBhc1P7M3 https://t.co/yPLdtECxyM</t>
  </si>
  <si>
    <t>Guest Actor Shades</t>
  </si>
  <si>
    <t>Port Talk on #LaPalma @DorisVisits the #CanaryIslands https://t.co/f849SjTpSs https://t.co/15Ph33uaLX</t>
  </si>
  <si>
    <t>New Guest actor to complete season 3 is Nick Simons. Best episode ever. https://t.co/1fi02bvxrN</t>
  </si>
  <si>
    <t>Travel Show Director</t>
  </si>
  <si>
    <t>Port Talk on #LaPalma @DorisVisits the #CanaryIslands https://t.co/Ks19DW1dFE https://t.co/7KGoULMiUd</t>
  </si>
  <si>
    <t>Shades is a drama &amp; a spin off world cruise travel series. https://t.co/ILkbOkeUC7 Follow the main twitter channels @DorisVisits &amp; @Shades_of_bad_</t>
  </si>
  <si>
    <t>Port Talk on #LaPalma @DorisVisits the #CanaryIslands https://t.co/Ux8yzddNWQ https://t.co/vyJnl4U8zm</t>
  </si>
  <si>
    <t>Good Morning #Lanzarote #Canaryislands today Monday 23ºC https://t.co/XJlilJLlQ9 https://t.co/fFqnXdQy3h</t>
  </si>
  <si>
    <t>Juanma</t>
  </si>
  <si>
    <t xml:space="preserve">London-Teror-Las Canteras  </t>
  </si>
  <si>
    <t>OU Computer Science and Mathematics student. A Caffeine based life-form. 🇪🇺 European citizen.</t>
  </si>
  <si>
    <t>Tara Anthony Deery</t>
  </si>
  <si>
    <t>RT @SuneHolidays: Good Morning #Lanzarote #Canaryislands today Monday 23ºC https://t.co/XJlilJLlQ9 https://t.co/fFqnXdQy3h</t>
  </si>
  <si>
    <t>PⒶʇrioʇiɔ🏴Poɹɔupınǝ</t>
  </si>
  <si>
    <t>Catalunya</t>
  </si>
  <si>
    <t>Porcupin3volutioN #CATExit</t>
  </si>
  <si>
    <t>Marcos Rivero</t>
  </si>
  <si>
    <t>Playa de Benijo Tenerife. Fotografía de @Foto_MarcosR #paisaje #tenerife #playadebenijo #landscape #nocturna… https://t.co/YpCCSdMYaw</t>
  </si>
  <si>
    <t>Retweet if this looks like heaven #CanaryIslands https://t.co/6moOZUejEG</t>
  </si>
  <si>
    <t>CanaryIslandsEN: Retweet if this looks like heaven #CanaryIslands https://t.co/PU2AAEUO1D</t>
  </si>
  <si>
    <t>jonny foulkes</t>
  </si>
  <si>
    <t>RT @CanaryIslandsEN: Retweet if this looks like heaven #CanaryIslands https://t.co/6moOZUejEG</t>
  </si>
  <si>
    <t>United Kingdom</t>
  </si>
  <si>
    <t>Vince Portch</t>
  </si>
  <si>
    <t>London Underground line controller. Arsenal fan but soft spot for Leyton Orient. Husband and father. Last socialist in Essex. Views are my own.</t>
  </si>
  <si>
    <t>Lucy Mallows</t>
  </si>
  <si>
    <t>Does this look inviting @worldwithinher ? 😎#CanaryIslands https://t.co/PG41s6J7t4</t>
  </si>
  <si>
    <t>Award-winning photojourno travelwriter editor translator [HU-EN]. Central Europa-phile with 26yrs' experience in travel &amp; tourism, art &amp; adventure, food &amp; fun</t>
  </si>
  <si>
    <t>Sabina</t>
  </si>
  <si>
    <t>Maribor, Slovenia</t>
  </si>
  <si>
    <t>A part-time college student &amp; secretary, who ❤ movies, TV series, animals, books &amp; cooking &amp; gardening. Fan of Summer! 😎☉</t>
  </si>
  <si>
    <t>Darren smith</t>
  </si>
  <si>
    <t xml:space="preserve">Swansea </t>
  </si>
  <si>
    <t>I came here to chew bubblegum and kick ass!! and I'm all out of bubblegum!!!</t>
  </si>
  <si>
    <t>☀️GranCanariaInfo☀️</t>
  </si>
  <si>
    <t>Check the weather all over Gran Canaria in an instant with our super useful webcam page https://t.co/rvqn64EhQd… https://t.co/sImQ3PzCNy</t>
  </si>
  <si>
    <t>Gran Canaria, Spain</t>
  </si>
  <si>
    <t>Daily photos, articles and local tips from Gran Canaria's biggest website. #grancanariainfo</t>
  </si>
  <si>
    <t>Auto Reisen</t>
  </si>
  <si>
    <t>#CanaryIslands ain't just about #nature, how about; #architecture #citylife #SantaCruzDeTenerife #shopping… https://t.co/GYMO0Rf3PV</t>
  </si>
  <si>
    <t>Rent a car. Phone: 922 26 02 00 reservas@autoreisen.es bookings@autoreisen.es buchungs@autoreisen.es</t>
  </si>
  <si>
    <t>Ross Bailey</t>
  </si>
  <si>
    <t>Trying to decide where to visit next, Will it be the #CanaryIslands or the #Caribbean for a bit of #January2017 #Wintersun ?</t>
  </si>
  <si>
    <t>Leeds UK</t>
  </si>
  <si>
    <t>#selfemployed #joiner, Live in #Leeds, I'm a #avgeek Visit my local @LBIAirport, Supports @Arsenal and I'm a #YorkshireCCC @NatWestT20Blast season ticket holder</t>
  </si>
  <si>
    <t>Arte Popusoi</t>
  </si>
  <si>
    <t>Canzone viaggio mentale... -4 #canaryislands https://t.co/swolN2lDYs https://t.co/dt0xq6Hwhk</t>
  </si>
  <si>
    <t>Ceo &amp; Founder Eureka Recycling</t>
  </si>
  <si>
    <t>The Getaways</t>
  </si>
  <si>
    <t>Parrots at Cristoforo Colombo's house in Las Palmas #parrot #canaryislands #laspalmas #col… https://t.co/KX3LPJF39N https://t.co/XOowa703N0</t>
  </si>
  <si>
    <t>Around the world</t>
  </si>
  <si>
    <t>2⃣ Travel writers &amp; bloggers 🌍 The World is our home 📷 Pics of our travels 📄 Posts about our adventures and misadventures around the globe</t>
  </si>
  <si>
    <t>Annelise Meyer</t>
  </si>
  <si>
    <t>The best way to go is collaborating with other #coworking spaces #CWE16 #canaryislands</t>
  </si>
  <si>
    <t>France</t>
  </si>
  <si>
    <t>Traduction et blogging #écologie #economiepositive #transitioncitoyenne / GER/ENG into FR translator #sustainabledevelopment #ecology #transition #citizenship</t>
  </si>
  <si>
    <t>Still waiting to know these 70% of the planet? #TenDive #Tenerife #CanaryIslands #Scuba #Diving #PADi #UTD #Spain https://t.co/DsNiGKLRCG</t>
  </si>
  <si>
    <t>The Mortgage Shop</t>
  </si>
  <si>
    <t>https://t.co/aAG6qIwvxT #Spain #CostaBlanca #CostaDelSol #Ibiza #CanaryIslands</t>
  </si>
  <si>
    <t>Javea, Valencia</t>
  </si>
  <si>
    <t>At The Mortgage Shop, our professional and experienced #mortgage advisors are here to guide you through the process of buying your dream home in #Spain.</t>
  </si>
  <si>
    <t>Fenderstrat9</t>
  </si>
  <si>
    <t>IRC</t>
  </si>
  <si>
    <t>Thanxs to all the crowd at @EuropeCoworking for sharing some LOVE with the #CanaryIslands !! #CWE16 #coworking… https://t.co/JP6g8WPT5J</t>
  </si>
  <si>
    <t>Citizen of the world, islander, entrepreneur. Managing a workspace and community at @CwCanaryIslands. Leading innovation at @grancanariacb #EnjoyWhatYouDo</t>
  </si>
  <si>
    <t>CoWorKingC</t>
  </si>
  <si>
    <t>RT @IGROCA: Thanxs to all the crowd at @EuropeCoworking for sharing some LOVE with the #CanaryIslands !! #CWE16 #coworking #Coliving #colla…</t>
  </si>
  <si>
    <t>#Coworking space located in #LasPalmas, mixing local and international #entrepreneurs to promote #productivity in the #workspace ! #DigitalNomad #RemoteWork</t>
  </si>
  <si>
    <t>NomadCity</t>
  </si>
  <si>
    <t>Las Palmas de Gran Canaria, Es</t>
  </si>
  <si>
    <t>In December over 150 location independent entrepreneurs, digital nomads and freelancers will meet on the beautiful island of Gran Canaria. #NomadCity2016</t>
  </si>
  <si>
    <t>CoworkingEurope</t>
  </si>
  <si>
    <t>Europe</t>
  </si>
  <si>
    <t>The European Conference all about #Coworking. Coworking Europe 2016 will take place in Brussels, from Nov 28th-30th. Stay tuned !</t>
  </si>
  <si>
    <t>Speak Some Spanish</t>
  </si>
  <si>
    <t>Tenerife = missing summer like crazy! #summer #beach #tenerife #canaryislands #summer #tr… https://t.co/JyA9n4kXCw https://t.co/PbQ9Y41QFt</t>
  </si>
  <si>
    <t>Speak Some Spanish: Find Out How to Learn Spanish Fast. Learn spanish at home online in an easy way right from the front of your desk!</t>
  </si>
  <si>
    <t>Nicola Radde</t>
  </si>
  <si>
    <t>Mississauga, Ontario, Canada</t>
  </si>
  <si>
    <t>Luxury Rent Spain</t>
  </si>
  <si>
    <t>.Luxury Rent Spain emphasizes on a high level of personal service. We know Spain well and will be happy to help you find the perfect holiday rental for you.</t>
  </si>
  <si>
    <t>Formación Dual SB</t>
  </si>
  <si>
    <t>Formación Profesional Dual en el sector turístico de Canarias. Programas y metodologías de formación en establecimientos hoteleros</t>
  </si>
  <si>
    <t>#gonza #gonzalomartin19 #laspalmasdegrancanaria #canaryislands #spain #fall #time #2016 #amazing… https://t.co/jZnLpbzrls</t>
  </si>
  <si>
    <t>Come check out our Wenger range of bags at our stores in the #canaryislands! https://t.co/27wlOPCVA3 https://t.co/I4lu5aCsJK</t>
  </si>
  <si>
    <t>#Tenerife #Holiday #Cocktails #Drinks #Shisha #CanaryIslands #Spain https://t.co/f8rzCwQwyf</t>
  </si>
  <si>
    <t>#IgersTenerife</t>
  </si>
  <si>
    <t>#LaLagunaNocheenBlanco #CanaryIslands #tenerife https://t.co/gzJPe2CAEY</t>
  </si>
  <si>
    <t>Tenerife, Islas Canarias</t>
  </si>
  <si>
    <t>Comunidad virtual de instagramers y aficionados a la iphonegrafía de Tenerife || Nuestro hashtag #IgersTenerife || CM: @NexGlobal</t>
  </si>
  <si>
    <t>De Kamer</t>
  </si>
  <si>
    <t>Oosterhout, the Netherlands</t>
  </si>
  <si>
    <t>Open Coworking Managing Partner http://t.co/31nU6GKqjM Chief Troublemaker, de Kamer http://t.co/17dGcZjVYl</t>
  </si>
  <si>
    <t>GCUC</t>
  </si>
  <si>
    <t xml:space="preserve">next up USA in May! </t>
  </si>
  <si>
    <t>The Global Coworking Unconference Conference is called 'juicy' for short.</t>
  </si>
  <si>
    <t>Robbie Linden</t>
  </si>
  <si>
    <t>Portsmouth, England</t>
  </si>
  <si>
    <t>Coworkaholic</t>
  </si>
  <si>
    <t>#Coworking obsessed since 2013. Your go to source for news, learning and inspiration on the #futureofwork.</t>
  </si>
  <si>
    <t>r753</t>
  </si>
  <si>
    <t>Nowhere is safe from #Muslim terrorists now. #CanaryIslands #Spain #Islam #Migrants #EU https://t.co/dJkpcjqmwt</t>
  </si>
  <si>
    <t>Hotel Bahia Real</t>
  </si>
  <si>
    <t>#fuerteventura #corralejo #getaway #relax #luxury #beachfront #seaviews #escape #paradise #promotion #hotel #spa… https://t.co/31t9gQLIqa</t>
  </si>
  <si>
    <t>Corralejo, Fuerteventura</t>
  </si>
  <si>
    <t>Un Paraíso… Fuerteventura, Un Oasis... Corralejo Un Sueño…Gran Hotel Atlantis Bahía Real.</t>
  </si>
  <si>
    <t>RT @R753Rfw753: Nowhere is safe from #Muslim terrorists now. #CanaryIslands #Spain #Islam #Migrants #EU https://t.co/dJkpcjqmwt</t>
  </si>
  <si>
    <t>HM Insight Group</t>
  </si>
  <si>
    <t>EMEA</t>
  </si>
  <si>
    <t>The Herman Miller Knowledge and Insight Group shares workplace insights across EMEA</t>
  </si>
  <si>
    <t>debbie davidson</t>
  </si>
  <si>
    <t>belfast</t>
  </si>
  <si>
    <t>love westlife</t>
  </si>
  <si>
    <t>Acme Works</t>
  </si>
  <si>
    <t>Toronto</t>
  </si>
  <si>
    <t>Meet, connect, collaborate, innovate in the Queen West Neighbourhood. Join us! Acme Works.</t>
  </si>
  <si>
    <t>Spain in Russia</t>
  </si>
  <si>
    <t>RT @spain: All this volcanic territory makes the #CanaryIslands a perfect placer to enjoy some unique #experiences! @CanaryIslandsEN #vis…</t>
  </si>
  <si>
    <t>Добро пожаловать на официальный сайт Отдела Туризма Посольства Испании в России! (Tourist Office of the Embassy of Spain in Russia)</t>
  </si>
  <si>
    <t>Hands up for some #sunshine in the #CanaryIslands? Incl #golf on a SEVE designed course...… https://t.co/msHrc116z1</t>
  </si>
  <si>
    <t>@emocionesCan @paisajecanario @Salamanca_SSV @islaspromo @LpaVisit #CanaryIslands #GranCanaria #goodmorning… https://t.co/2TXAPCkbrR</t>
  </si>
  <si>
    <t>Jack Channon-Day</t>
  </si>
  <si>
    <t>#Lanzarote! @buckinghamhorne @Monarch ☺✈🌏🏊🏊 #2017SummerHoliday #CanaryIslands https://t.co/sYnPakUznA</t>
  </si>
  <si>
    <t>Palm Islands, Dubai - (FSX) ✈</t>
  </si>
  <si>
    <t>I'm a @WatfordFC, @Arsenal FC &amp; @Alexis_Sanchez (My inspiration) fan!⚽ I'm also a retired #FSX pilot living on Palm Islands in Dubai, UAE! ✈ Love my dog Oscar ❤</t>
  </si>
  <si>
    <t>Pamela Rattigan</t>
  </si>
  <si>
    <t>Presenting my research at the University of La Laguna, Tenerife #geology #volcanology #tenerife #canaryislands https://t.co/m07p4BHbwh</t>
  </si>
  <si>
    <t xml:space="preserve">West coast, Scotland </t>
  </si>
  <si>
    <t>PhD researcher at University of Glasgow | Graduate Engineering Geologist | @GU_Canaries</t>
  </si>
  <si>
    <t>RT @Selhso: @emocionesCan @paisajecanario @Salamanca_SSV @islaspromo @LpaVisit #CanaryIslands #GranCanaria #goodmorning #FelizLunes Antigu…</t>
  </si>
  <si>
    <t>Seven Islands Film</t>
  </si>
  <si>
    <t>Fitting time 🎥🎬 ⠀⠀⠀⠀⠀ #7ifilm #sevenislandsfilm #serviceproduction #filmproduction #location #canaryislands... https://t.co/r7nC2V2Jg0</t>
  </si>
  <si>
    <t>RT @CanaryIslandsEN: Mondays are better in the #CanaryIslands https://t.co/GVqbbbYf31</t>
  </si>
  <si>
    <t>Bernie J Mitchell</t>
  </si>
  <si>
    <t>Buenos Aires / London</t>
  </si>
  <si>
    <t>Blogger, Podcaster, #Freelance Writer, Showrunner, Purveyor of Tribes &amp; #Coworking. I ❤️ @OuiShare, #Trello, #Argentina, #Bowie, Kafka &amp; #Supercoolwife. You In?</t>
  </si>
  <si>
    <t>Boating and Dolphining #Tenerife #CanaryIslands #CostaAdeje #Fañabe #Beach #Sea #Seaside #Holiday #Summer #Sun #Bo… https://t.co/F8yrAaXkQz</t>
  </si>
  <si>
    <t>Boating and Dolphining #Tenerife #CanaryIslands #CostaAdeje #Fañabe #Beach #Sea #Seaside #Holiday #Summer #Sun #Bo… https://t.co/t1GLxYrBah</t>
  </si>
  <si>
    <t>Le vignoble de la Geria à #lanzarote Un paradis du #vinblanc #wine #canaries #islascanarias #canaryislands #lageria https://t.co/F6BwFRzL0j</t>
  </si>
  <si>
    <t>Boating and Dolphining #Tenerife #CanaryIslands #CostaAdeje #Fañabe #Beach #Sea #Seaside #Holiday #Summer #Sun #Bo… https://t.co/TOTaHX0nHD</t>
  </si>
  <si>
    <t>Marine Connection</t>
  </si>
  <si>
    <t>#Spanish park imports 4 #dolphins from #Germany for new dolphinarium at #Lanzarote, #CanaryIslands, #Spain https://t.co/qjACnhY4wp</t>
  </si>
  <si>
    <t>London, UK</t>
  </si>
  <si>
    <t>Protecting the world's dolphins and whales. http://t.co/mJaTyIFHrR</t>
  </si>
  <si>
    <t>Paige Nelson Ⓥ</t>
  </si>
  <si>
    <t>RT @MC_org: #Spanish park imports 4 #dolphins from #Germany for new dolphinarium at #Lanzarote, #CanaryIslands, #Spain https://t.co/qjACnh…</t>
  </si>
  <si>
    <t>Vegan. On Shore Volunteer Sea Shepherd Conservation Society. Defend. Conserve. Protect. #tweet4taiji #sealhunt #Blackfish *Opinions are my own</t>
  </si>
  <si>
    <t>Inachi ⓥ ت</t>
  </si>
  <si>
    <t>Parisienne et terrienne</t>
  </si>
  <si>
    <t>On n'a pas deux coeurs : l'un pour les hommes, l'autre pour les animaux. On n'en a qu'un ou on n'en a pas ! https://t.co/KNOYLBigCq</t>
  </si>
  <si>
    <t>Sell My Timeshare</t>
  </si>
  <si>
    <t>Top 7 #CanaryIslands explored: which island is perfect for you? #MondayMotivation https://t.co/SZO5xhNUTs https://t.co/PbwcEuqYQ2</t>
  </si>
  <si>
    <t>We are experts offering help whether you are looking to buy, sell or just gain advice on how to get the most out of your #Timeshare</t>
  </si>
  <si>
    <t>Sharing our LoVE for the #CanaryIslands and talking about @nomadcitylpa at @EuropeCoworking… https://t.co/kMh9NhfI14</t>
  </si>
  <si>
    <t>Tam</t>
  </si>
  <si>
    <t>Earth</t>
  </si>
  <si>
    <t>#NotMyPresident #BlackLivesMatter #TheResistance</t>
  </si>
  <si>
    <t>Sam Browne</t>
  </si>
  <si>
    <t>RT @lanzarote_visit: Mirador del Río 🌞🌊🌋 #mondaymotivation #Lanzarote #CanaryIslands @EmocionesCan @spain https://t.co/NceVu7qSvX</t>
  </si>
  <si>
    <t>Belfast</t>
  </si>
  <si>
    <t>Keyboard rattling software engineer who'd rather be swimming/cycling/running #triathlon</t>
  </si>
  <si>
    <t>SandSpice</t>
  </si>
  <si>
    <t>RT @sellmytshare: Top 7 #CanaryIslands explored: which island is perfect for you? #MondayMotivation https://t.co/SZO5xhNUTs https://t.co/Pb…</t>
  </si>
  <si>
    <t>Sri Lanka</t>
  </si>
  <si>
    <t>If you're planning a holiday around South East Asia anytime soon, take a look at some fresh itineraries and activities to spice up your trip.</t>
  </si>
  <si>
    <t>ChrisandRico</t>
  </si>
  <si>
    <t>RT sellmytshare: Top 7 #CanaryIslands explored: which island is perfect for you? #MondayMotivation https://t.co/7vB6afsFwj …</t>
  </si>
  <si>
    <t>A curious boy, a proud dad, &amp; the most fun places to #travel in #AsiawithKids . 360 #travelblogging . Follow us on Instagram @chrisandrico</t>
  </si>
  <si>
    <t>Anna F Beswick</t>
  </si>
  <si>
    <t>Kept Rescue Hens for 10 years,against any form of animal cruelty/abuse, factory animals, against big corporations and GMO, Big NO to shale oil/gas extraction</t>
  </si>
  <si>
    <t>Pedro Quixote ?</t>
  </si>
  <si>
    <t xml:space="preserve">Up creek; paddling like stink </t>
  </si>
  <si>
    <t>Vati, Advocate, Fixer, Europhile, Traveller, hippie comunista, Gixer git, arboramator, ornithologist. science geek, one time farm labourer/tractor driver</t>
  </si>
  <si>
    <t>Joseph Jackson</t>
  </si>
  <si>
    <t>#Dolphins</t>
  </si>
  <si>
    <t>Rafa Molina</t>
  </si>
  <si>
    <t>Cuando era niño 😂 #recuerdos #fotos #foto #años90 #canarias #galdar #grancanaria #canaryislands… https://t.co/h4ARJwfmK6</t>
  </si>
  <si>
    <t>Gran Canaria, España</t>
  </si>
  <si>
    <t>Músico, amante de la vida y del arte en general. Cantante de @playacocomusic ❤❤</t>
  </si>
  <si>
    <t>Come and drive by the sea. #Tenerife #Drive #SeaBreeze #Sea #Paradise #CanaryIslands #Landscape #Experience https://t.co/0rYD85aK9Q</t>
  </si>
  <si>
    <t>Natsume Reiko</t>
  </si>
  <si>
    <t>Morelos, México</t>
  </si>
  <si>
    <t>LMO</t>
  </si>
  <si>
    <t>#TheCove #Blackfish #Primates</t>
  </si>
  <si>
    <t>ACTION4 #Oceans ≈^≈ http://t.co/2J24N92Wrr #Forests 仌 #SaveTripa http://t.co/TMDMtee8qr #AnimalRights ☼ @NonHumanRights ☼ http://t.co/NsyFiAtiMu</t>
  </si>
  <si>
    <t>Orca S※O※S</t>
  </si>
  <si>
    <t xml:space="preserve">#Canada </t>
  </si>
  <si>
    <t>➤#US✏Ban #TarSandsTankers https://t.co/CApzfuoypz➤#POTUS #FreeTheSnake✏https://t.co/oxGsROh6rT➤#Blackfish to sea sanctuary✏https://t.co/f6KOvCco6g</t>
  </si>
  <si>
    <t>LindieO</t>
  </si>
  <si>
    <t>#DASW #Animals4Entertainment</t>
  </si>
  <si>
    <t>Canada—End #WildCapture→ http://t.co/NT8NHTSJmR ≈ #FreeDisneyDolphins→ http://t.co/8Di7YOCmRY ≈ #DOLPHINS #OCEANS #BLACKFISH ACTIONS</t>
  </si>
  <si>
    <t>BritsvisitingSpain</t>
  </si>
  <si>
    <t>Enjoying the #CanaryIslands this winter? Enjoy and #travelaware ! https://t.co/QnFk7B9vlh https://t.co/vDxCvBVkgn</t>
  </si>
  <si>
    <t>Official channel that shares tips that will help you have a safe &amp; enjoyable visit to #Spain. We will RT best tips you send us using #tips4spain</t>
  </si>
  <si>
    <t>Spanish in Newcastle</t>
  </si>
  <si>
    <t>Enjoying the #CanaryIslands this winter? Enjoy and #travelaware ! https://t.co/7b1U7uLZdf https://t.co/j7Oo5z0b0R via BritsvisitSpain</t>
  </si>
  <si>
    <t>Newcastle upon Tyne, England</t>
  </si>
  <si>
    <t>#Spanish language school in #Newcastle city centre. NE1 4SG. - info@ihnewcastle.com Telf:(0)191232 9551. DM us for queries RT ≠ endorsement. Tweets by MFL Team</t>
  </si>
  <si>
    <t>Christophe Berg</t>
  </si>
  <si>
    <t>#digitalnomads what's your favorite hot spot to work remotely? #jejuisland #ubud #chiangmai #GranCanaria #CanaryIslands #agility #minimalism</t>
  </si>
  <si>
    <t>Tazacorte, España</t>
  </si>
  <si>
    <t>Project Coordinator freelance • Cookbooks Author on plant-based cuisine (raw, vegan) • Trail-runner</t>
  </si>
  <si>
    <t>El Chico de Hojalata</t>
  </si>
  <si>
    <t>Ya te vale SONY... #sony #playstation #ps4 #lapalma #canaryislands #islascanarias #flípalogrego… https://t.co/wzJf59STbL</t>
  </si>
  <si>
    <t>A different kind of ride. #canaryislands #volcano #timanfaya #lanzarote #camels #vacation… https://t.co/PVnaAUu8OW</t>
  </si>
  <si>
    <t>Boats painted blue as the sea. #atlantic #sea #elgolfo #blacksand #boat #blue #canaryislands… https://t.co/nOXqJ5jPWe</t>
  </si>
  <si>
    <t>Green lagoon, blue sea. #cliffs #lanzarote #canaryislands #blue #green #lagoverde #lagoon… https://t.co/fFM0o0CS95</t>
  </si>
  <si>
    <t>Beth Cobo</t>
  </si>
  <si>
    <t>Sunny day.... #Lagomera #canaryislandhopping #canaryislands #beach #coast #atlanticocean… https://t.co/Bpz9UcO7Eh</t>
  </si>
  <si>
    <t>Guia La Garrotxa Volcanic Zone Natural Park</t>
  </si>
  <si>
    <t>#CanaryIslands #FelizLunes @DunasHoteles de Maspalomas #Maspalomas #Dunas #Fotos #PhotosMaspalomas #GranCanaria https://t.co/95Z4sSpeMt</t>
  </si>
  <si>
    <t>Teide volcano above the clouds from La Gomera! #Lagomera #canaryislandhopping #canaryislands… https://t.co/TBW4gk8y1f</t>
  </si>
  <si>
    <t>Compulsory vacation selfie. #cliffs #loshervideros #canaryislands #Lanzarote #sea #atlantic… https://t.co/7qBbjXEP78</t>
  </si>
  <si>
    <t>Interesting color palettes. #vacation #atlantic #sea #cliffs #volcano #lanzarote #canaryislands… https://t.co/oJLGwuMwGZ</t>
  </si>
  <si>
    <t>#CanaryIslands #FelizDomingo Dunas de Maspalomas #Maspalomas #Dunas #Fotos #PhotosMaspalomas #GranCanaria https://t.co/VBm73RAD4w</t>
  </si>
  <si>
    <t>The salt lake. #canaryislands #lanzarote #volcano #saltlake #lagoon #janubio #vacation @ Salinas… https://t.co/BAW1aAyrSJ</t>
  </si>
  <si>
    <t>#CanaryIslands #FelizDomingo Dunas de Maspalomas #Maspalomas #Dunas #Fotos #PhotosMaspalomas #GranCanaria https://t.co/TeN2ijg7yw</t>
  </si>
  <si>
    <t>The black sand beach. #vacation #janubio #beach #sea #atlantic #lanzarote #canaryislands… https://t.co/15g0jHp35L</t>
  </si>
  <si>
    <t>#CanaryIslands #Atardecer Dunas de Maspalomas #Maspalomas #Dunas #Fotos #Sunset #PhotosMaspalomas https://t.co/Q95GcoRvV0</t>
  </si>
  <si>
    <t>Take a Polaroid picture: Caleta del Golfo. #blacksand #canaryislands #lanzarote #atlantic #sea… https://t.co/JpGK5tZdp1</t>
  </si>
  <si>
    <t>Joan Reginaldo</t>
  </si>
  <si>
    <t>RT @elastword: The black sand beach. #vacation #janubio #beach #sea #atlantic #lanzarote #canaryislands… https://t.co/15g0jHp35L</t>
  </si>
  <si>
    <t>Tweetbot for iΟS</t>
  </si>
  <si>
    <t>Bay Area, CA</t>
  </si>
  <si>
    <t>Short Storyist. Developmental Editor. Co-founder of Black Hats Writers Group. Chaotic Neutral. #DiverseBooks https://t.co/krUAXqmqGp https://t.co/3hdCLdsIYL</t>
  </si>
  <si>
    <t>MojoAyanto</t>
  </si>
  <si>
    <t>Nuestra tapa del día #bacalao con #Mojo artesano #Ayanto. Codfish with #Mojo sauce from #CanaryIslands https://t.co/zamp5SweKE</t>
  </si>
  <si>
    <t>Ayanto, almuerzo de guanches origen de la gastronomía canaria. Mojo canario artesano. Artisan Mojo sauce from Canary Island. https://t.co/1mOyyJ8KTY</t>
  </si>
  <si>
    <t>A La Gomera viewpoint that looks out over paradise :-) https://t.co/FTJMc0DXkx #CanaryIslands https://t.co/478lB5nPad</t>
  </si>
  <si>
    <t>CanaryIslandsEN: A La Gomera viewpoint that looks out over paradise :-) https://t.co/zI4uEXbw37 #CanaryIslands https://t.co/xsAGCvZ0az</t>
  </si>
  <si>
    <t>RT @bermaxo09: #CanaryIslands #FelizDomingo Dunas de Maspalomas #Maspalomas #Dunas #Fotos #PhotosMaspalomas #GranCanaria https://t.co/TeN2i…</t>
  </si>
  <si>
    <t>Coral Dreams</t>
  </si>
  <si>
    <t>One of our private gardens in one of our studios! #happymonday #coraldreams #timetosmile #holidays #tenerife… https://t.co/x9dlfvwfRP</t>
  </si>
  <si>
    <t>Adeje, Spain</t>
  </si>
  <si>
    <t>Coral Hotels</t>
  </si>
  <si>
    <t>One of our private gardens in one of our studios! #happymonday #coraldreams #timetosmile #holidays #tenerife… https://t.co/6fSRgWmOZE</t>
  </si>
  <si>
    <t>Tenerife - Spain</t>
  </si>
  <si>
    <t>In Coral Hotels we work to please you and it is our desire to fulfil your yearned for holiday dreams.</t>
  </si>
  <si>
    <t>Sarah Hussey</t>
  </si>
  <si>
    <t>What a holiday! #Fuerteventura #CanaryIslands #offroadbuggys #tapas #sangria #sunshine https://t.co/BPugCxHe9m</t>
  </si>
  <si>
    <t xml:space="preserve">London / Hertfordshire </t>
  </si>
  <si>
    <t>Fisheries &amp; aquatic ecologist working for Ricardo Cascade. Supporter of the animal circus ban, keen angler and avid knitter! Views my own.</t>
  </si>
  <si>
    <t>Airports and hotels</t>
  </si>
  <si>
    <t>https://t.co/yr1ZJjSDU5 Flying to #Lanzarote airport (ACE) in #Spain. #Canaryislands #airports #airportlife #hotels #travel #Arrecife</t>
  </si>
  <si>
    <t>Global</t>
  </si>
  <si>
    <t>#Travel #Airports #Hotels #Lifestyle Contact: mariagomezinc@gmail.com</t>
  </si>
  <si>
    <t>surf+</t>
  </si>
  <si>
    <t>This Slab in the Canary Islands is One Beautiful Monster https://t.co/HuSqAIdDlc #photos #surf #canaryislands</t>
  </si>
  <si>
    <t>Google</t>
  </si>
  <si>
    <t>Social Surf News</t>
  </si>
  <si>
    <t>The Wild Side</t>
  </si>
  <si>
    <t>Arona, Islas Canarias</t>
  </si>
  <si>
    <t>Free your mind. Enjoy your passion. Come to take a look at The Wild side Tenerife. Los Cristianos, CC San Telmo, Playa de las Vistas.</t>
  </si>
  <si>
    <t>Maarten van Geest</t>
  </si>
  <si>
    <t>Owner &amp; Founder of @mountain_hub | Marketing consultant | Skier | Lives in Switzerland</t>
  </si>
  <si>
    <t>Dauphins Libres</t>
  </si>
  <si>
    <t>Bruxelles</t>
  </si>
  <si>
    <t>http://t.co/OoMLaItJ9E</t>
  </si>
  <si>
    <t>Euthymia K.</t>
  </si>
  <si>
    <t>Hi! #turistalanyfotoi #fuerteventura #lamb #sheep #utaznijo #canaryislands #loves_united_life… https://t.co/iFVUzT5sMd</t>
  </si>
  <si>
    <t>maría lapas</t>
  </si>
  <si>
    <t>RT @bermaxo09: #CanaryIslands #Atardecer Dunas de Maspalomas #Maspalomas #Dunas #Fotos #Sunset #PhotosMaspalomas https://t.co/Q95GcoRvV0</t>
  </si>
  <si>
    <t>volando los años... había también la palabra.</t>
  </si>
  <si>
    <t>clara</t>
  </si>
  <si>
    <t>Daria</t>
  </si>
  <si>
    <t>Saint-Petersburg</t>
  </si>
  <si>
    <t>Alfonso DeCarlo</t>
  </si>
  <si>
    <t>RT @CanaryIslandsEN: A La Gomera viewpoint that looks out over paradise :-) https://t.co/FTJMc0DXkx #CanaryIslands https://t.co/478lB5nPad</t>
  </si>
  <si>
    <t>California City, California</t>
  </si>
  <si>
    <t>Born in Cali, Colombia, raised in Las Palmas Canary Island Spain. Came to the USA in 1958, I retired in Sep 1979 from USAF and in 2011 from DOD</t>
  </si>
  <si>
    <t>An #ElHierro hamlet surrounded by lava and pineapples https://t.co/SP4ngVfc5t #CanaryIslands https://t.co/UGfEnThDEl</t>
  </si>
  <si>
    <t>CanaryIslandsEN: An #ElHierro hamlet surrounded by lava and pineapples https://t.co/1hzIIade9t #CanaryIslands https://t.co/qx9JdHFxNL</t>
  </si>
  <si>
    <t>Wilf Bennison</t>
  </si>
  <si>
    <t>RT @CanaryIslandsEN: An #ElHierro hamlet surrounded by lava and pineapples https://t.co/SP4ngVfc5t #CanaryIslands https://t.co/UGfEnThDEl</t>
  </si>
  <si>
    <t>María Méndez Castro</t>
  </si>
  <si>
    <t>Directora Gerente de Promotur Turismo de Canarias. Empresa Publica del Gobierno de Canarias para la promoción de la marca Islas Canarias</t>
  </si>
  <si>
    <t>MiRinconcito</t>
  </si>
  <si>
    <t>Sylvia</t>
  </si>
  <si>
    <t>The Netherlands</t>
  </si>
  <si>
    <t>*** We will never give up!! Be the voice of voiceless *** #Tweet4Taiji - #Blackfish - #BoycottCircuses - #FurFree -#BanTrophyHunting - #OpGrindini</t>
  </si>
  <si>
    <t>#PlayadelIngles #Maspalomas #GranCanaria #Fotos #Photos #CanaryIslands https://t.co/9xctaVrkmv</t>
  </si>
  <si>
    <t>Maspalomas Hotels</t>
  </si>
  <si>
    <t>We keep you informed about the hottest hotel offers in Maspalomas, Gran Canaria. Do you have a hotel recommendation in Maspalomas? Let us know</t>
  </si>
  <si>
    <t>RT @bermaxo09: #PlayadelIngles #Maspalomas #GranCanaria #Fotos #Photos #CanaryIslands https://t.co/9xctaVrkmv</t>
  </si>
  <si>
    <t>Diego Pérez González</t>
  </si>
  <si>
    <t>"I know it'll kill me when it's over I don't want to think about it". 💁🏻‍♂️🍸#canaryislands… https://t.co/ZDeKQ4j9hn</t>
  </si>
  <si>
    <t>León.</t>
  </si>
  <si>
    <t>Estudiante de Veterinaria en la Universidad de León. #Snapchat:diegopg3</t>
  </si>
  <si>
    <t>Centro Comercial Yumbo #PlayadelIngles #Maspalomas #GranCanaria #Fotos #Photos #CanaryIslands https://t.co/Bj8RxY1Puu</t>
  </si>
  <si>
    <t>Sandraphalicia</t>
  </si>
  <si>
    <t>@MC_org @Love4AnimalsNL Shame on #CanaryIslands #CAPTIVITYKILLS #DOLPHINS #BLACKFISH</t>
  </si>
  <si>
    <t>I discovered the story of Tilikum and since I think of him and his well-being.Discover what takes place in Seaworld, for him #FreeTilikum Watch #Blackfish</t>
  </si>
  <si>
    <t>#PlayadelIngles #Maspalomas #GranCanaria #Fotos #Photos #CanaryIslands https://t.co/YGMSYv6MaH</t>
  </si>
  <si>
    <t>Parc espagnol importe 4 dauphins pour les nouvelles installations! Shame on #CanaryIslands #CAPTIVITYKILLS #DOLPHINS https://t.co/hvIDcLEdyK</t>
  </si>
  <si>
    <t xml:space="preserve">Put your button on any page! </t>
  </si>
  <si>
    <t>Hotel Jardín Tecina</t>
  </si>
  <si>
    <t>Canary Island</t>
  </si>
  <si>
    <t>We are located in La Gomera, an Ideal destination if you are looking for peace and quiet in a spectacular landscape. Your journey starts here !</t>
  </si>
  <si>
    <t>#PlayadelIngles #Maspalomas #GranCanaria #Fotos #Photos #CanaryIslands https://t.co/rOTS8gBmWQ</t>
  </si>
  <si>
    <t>PLdesign</t>
  </si>
  <si>
    <t>#CanaryIslands #Grancanaria Photo Tamadaba's Landscape by Alejo A. Flórez-Estrada Fernández on 500px https://t.co/VqZcd15coI</t>
  </si>
  <si>
    <t>Pinterest</t>
  </si>
  <si>
    <t>@plovrin &amp; Mat unique vectors, graphic design, photos https://t.co/BUT8rp0fkP https://t.co/xuMwyZNkVv redbubble..</t>
  </si>
  <si>
    <t>pabloexcursions</t>
  </si>
  <si>
    <t>#pabloexcursions #losgigantes #tenerife #canarias #canaryislands #summer #beach #holidays … https://t.co/QKdddVj9o6 https://t.co/RWff8N5tmq</t>
  </si>
  <si>
    <t xml:space="preserve">Los Cristianos Tenerife </t>
  </si>
  <si>
    <t>selling excursions in tenerife , making your holiday even better , ask for my advice on any boat trip on the island</t>
  </si>
  <si>
    <t>Pepe Macías</t>
  </si>
  <si>
    <t>Las Palmas de Gran Canaria.</t>
  </si>
  <si>
    <t>Desarrollo en Comunicación, Protocolo Oficial, Social y Empresarial.</t>
  </si>
  <si>
    <t>Visit us in our stores to see our range of Swiss Military Hanowa watches... https://t.co/27wlOPCVA3 #CanaryIslands https://t.co/Olt4k5g0pd</t>
  </si>
  <si>
    <t>RT @Sandraphalicia: @MC_org @Love4AnimalsNL Shame on #CanaryIslands #CAPTIVITYKILLS #DOLPHINS #BLACKFISH</t>
  </si>
  <si>
    <t>Michael Hall</t>
  </si>
  <si>
    <t>RT @ZVitomirovic: #landscapephotography #fuerteventura #nature #CanaryIslands https://t.co/YOpiaEwzvN</t>
  </si>
  <si>
    <t>Post falls ID</t>
  </si>
  <si>
    <t>musician and news junkie seeking my daily workout, plant trees water plants move rocks create art grow grass play guitar cause i got the music in me!</t>
  </si>
  <si>
    <t>Top 5 Sun Escapes to Beat the European Winter (Lonely Planet) https://t.co/gLYvb2S7Ax #travel #lp #gambia #sicily #morocco #canaryislands</t>
  </si>
  <si>
    <t>Virginia</t>
  </si>
  <si>
    <t>Italy</t>
  </si>
  <si>
    <t>#art #photo #animals #prints #sales #landscape #portrait #arte #contemporaryart #paintings #virginiart #original #artworks</t>
  </si>
  <si>
    <t>Dani</t>
  </si>
  <si>
    <t>Lakeside, CA</t>
  </si>
  <si>
    <t>25.Dani. Gifs are Vida and these are my thoughts... ♌♑ listen in 432hz 🎵🎶🎵🎶</t>
  </si>
  <si>
    <t>Flavours &amp; Frosting</t>
  </si>
  <si>
    <t>Loro Parque in Tenerife, Canary Islands is a must to visit!! https://t.co/Bs9U52Xeh3 #travelblogger #canaryislands https://t.co/rVmPEMPhpd</t>
  </si>
  <si>
    <t>SA Expat Mom living in Spain Desserts | Travel | Social Media | Food Photography &amp; Styling Snapchat: Johlene_FlavoursandFrosting #dessert #travel #socialmedia</t>
  </si>
  <si>
    <t>Ceci Domínguez.</t>
  </si>
  <si>
    <t>Loneliness. #CanaryIslands #landscape https://t.co/VPdp3F02zS</t>
  </si>
  <si>
    <t>PLA, Paradise. Tenerife - ZGZ</t>
  </si>
  <si>
    <t>Mujer girasol, alma libre, escéptica por definición romántica y viceversa. Arrítmica en el baile y los latidos. Escribo, sonrío y estoy triste cuando quiero.</t>
  </si>
  <si>
    <t>Lynne Knightley</t>
  </si>
  <si>
    <t>Tenerife Specialist and Influencer.</t>
  </si>
  <si>
    <t>Franka Berger</t>
  </si>
  <si>
    <t>Traumhafter Blick. Seufz. #CostAdejeGHotel #Tenerife #Teneriffa #Spain #Spanien #Golf #Adeje #Urlaub… https://t.co/Woq4MVCtNg</t>
  </si>
  <si>
    <t>#golf #dive #dance #gclich #FCBayern #Bayern #Hessen #Marburg #ronifra💖</t>
  </si>
  <si>
    <t>paolo revelchione</t>
  </si>
  <si>
    <t>Le tradizioni vanno rispettate #hrc #hardrockcafe #tenerife #canaryislands #loscristianos #arona… https://t.co/1v7KKfe8LO</t>
  </si>
  <si>
    <t>Vivo a Torino, Lavoro a Milano</t>
  </si>
  <si>
    <t>Rachel</t>
  </si>
  <si>
    <t>Mobile Web (M5)</t>
  </si>
  <si>
    <t>Apasionada de la naturaleza, el turismo, el arte y la comida. Ciudadana de un lugar llamado mundo.</t>
  </si>
  <si>
    <t>by Mery del Bot</t>
  </si>
  <si>
    <t>〰 #Fuerteventura #costacalma #islascanarias #canaryislands #canarias #spain #beach #paradise… https://t.co/KEoJCtLlqZ</t>
  </si>
  <si>
    <t>Sevilla</t>
  </si>
  <si>
    <t>|Fotógrafa de lo Natural| Adventure |Blogger ❤| Instagram➡make_delbot | Shop Online: https://t.co/ToS7NHhzft</t>
  </si>
  <si>
    <t>Maria Eugenia Leon</t>
  </si>
  <si>
    <t>sending peace https://t.co/KhZavwSNji #peace #love #music #composer #LosAngeles #CanaryIslands #piano #voice #choir</t>
  </si>
  <si>
    <t>Living in Los Angeles, CA.</t>
  </si>
  <si>
    <t>Film Composer-Conductor born in The Canary Islands, Spain.</t>
  </si>
  <si>
    <t>MultitiendaPerfumeri</t>
  </si>
  <si>
    <t>RT @CanaryIslandsEN: Hello #ElHierro https://t.co/5o7RhhKyct #CanaryIslands #travel https://t.co/ugKNHxvy4H</t>
  </si>
  <si>
    <t>El Hierro, Islas Canarias</t>
  </si>
  <si>
    <t>Multitienda-Perfumería Abierto de 09.00 a 23.15 NON-STOP</t>
  </si>
  <si>
    <t>Travelsaurous</t>
  </si>
  <si>
    <t>@Steelcitygam3r has also given us another blog in the #Tenerife series https://t.co/wB1lQlNWAZ #canaryislands #travelbloggers #travel</t>
  </si>
  <si>
    <t>Sheffield, South Yorkshire</t>
  </si>
  <si>
    <t>Northerner. Yorkshire. Traveller.</t>
  </si>
  <si>
    <t>Ross MacLennan</t>
  </si>
  <si>
    <t>RT @CanaryIslandsEN: Dive head first into new sensations. Want to see more? Get excited in the #CanaryIslands https://t.co/gZOJ6n3vBl</t>
  </si>
  <si>
    <t>Cobham, Surrey, UK</t>
  </si>
  <si>
    <t>Event Architect &amp; Photographer. Stunning young wife, too cool daughters - best mate's the dog. The eclectic curiosity of an epileptic frog.</t>
  </si>
  <si>
    <t>MisstresAlexia</t>
  </si>
  <si>
    <t>Confirmo no solo visito Madrid tambien Canarias en Diciembre #CanaryIslands #Roleplay #FemDom #Goddess #BDSM… https://t.co/Qq0I3YZLMy</t>
  </si>
  <si>
    <t>Domina Profesional - Sensual latina mistress based in London mistressalexia97@gmail.com</t>
  </si>
  <si>
    <t>plastic sub</t>
  </si>
  <si>
    <t>RT @MistressAl: Confirmo no solo visito Madrid tambien Canarias en Diciembre #CanaryIslands #Roleplay #FemDom #Goddess #BDSM #Fetish #Femal…</t>
  </si>
  <si>
    <t>#canaryislands - join over 10 million annual visitors to this Spanish archipelago for diverse cultural experiences!… https://t.co/7lL4GOVtcy</t>
  </si>
  <si>
    <t>Air Traveller</t>
  </si>
  <si>
    <t>#Spanish military flies lab animals to #CanaryIslands after #airlines refuse to take them on board</t>
  </si>
  <si>
    <t>Worldwide</t>
  </si>
  <si>
    <t>serving air travellers</t>
  </si>
  <si>
    <t>Irene</t>
  </si>
  <si>
    <t>New England</t>
  </si>
  <si>
    <t>Mother of 3. Kindness &amp; Empathy! EARTH! Animals deserve freedom! #Blackfish #Tweet4Dolphins #EmptyTheTanks #Elephants #BanIvory @CWROrcas @DSWT @Dolphin_Project</t>
  </si>
  <si>
    <t>Михаил Шварц</t>
  </si>
  <si>
    <t>Пермь</t>
  </si>
  <si>
    <t>Веду блоги об Австрии, Чехии, Германии, Франции и Испании.</t>
  </si>
  <si>
    <t>No More</t>
  </si>
  <si>
    <t>Johannesburg, South Africa</t>
  </si>
  <si>
    <t>We raise awareness on all #Animals, &amp; interesting bits/ pieces. #Vegan #CrueltyFree #SeaShepherdSA #FurFreeSA #adopt never shop www.knowmore@no-more.co.za</t>
  </si>
  <si>
    <t>👑Fetish Machine ©👑</t>
  </si>
  <si>
    <t>Telf Humillación: 803 400 866</t>
  </si>
  <si>
    <t>(+18) Bisexual. Domina Profesional.Estricta,Sádica y Narcisista. Sesiones en Madrid #Femdom #Findom #Lezdom #Blackmail #RolePlay #EroticDominance #SmokeFetish</t>
  </si>
  <si>
    <t>#LasPalmas, a must-see place on your next trip to #CanaryIslands https://t.co/qlXsh1W38V https://t.co/SgjDfoJDRL</t>
  </si>
  <si>
    <t>Simon jagger</t>
  </si>
  <si>
    <t>South Wales</t>
  </si>
  <si>
    <t>Jagger from Heart, Wales No 1 breakfast show Jagger &amp; Woody click Listen live at https://t.co/UGqZoFCiBP and set to South Wales. follow us on Instagram jaggerwoody</t>
  </si>
  <si>
    <t>Jane Westcott</t>
  </si>
  <si>
    <t>Llanelli</t>
  </si>
  <si>
    <t>Tricia Campbell</t>
  </si>
  <si>
    <t>grandmother, teacher, mother and love life live for today.</t>
  </si>
  <si>
    <t>Still waiting to know these 70% of the planet? #TenDive #Tenerife #CanaryIslands #Scuba #Diving #PADi #UTD #Spain https://t.co/pNVAGCpd3P</t>
  </si>
  <si>
    <t>Buenos dias #FelizMartes Iglesia de San Fernando #PlayadelIngles #Maspalomas #GranCanaria #Fotos #Photos… https://t.co/d6a8xMukdZ</t>
  </si>
  <si>
    <t>Scuba Florida</t>
  </si>
  <si>
    <t>RT @_TenDive: Still waiting to know these 70% of the planet? #TenDive #Tenerife #CanaryIslands #Scuba #Diving #PADi #UTD #Spain https://t.c…</t>
  </si>
  <si>
    <t>Seaduction Retweeter</t>
  </si>
  <si>
    <t>Key Largo- Tavernier- MM 90.5</t>
  </si>
  <si>
    <t>Florida Diving Charters offers scuba training and charters in Florida! Let's #GoDiving!</t>
  </si>
  <si>
    <t>josh greedy ✈️️🎮🤓</t>
  </si>
  <si>
    <t>crosskeys south wales</t>
  </si>
  <si>
    <t>steak lover, aeroplane enthusiast and self proclaimed video game nerd 🎮 🤓 ✈️ (half life 1&amp;2, battlefield and rainbow six siege lover)</t>
  </si>
  <si>
    <t>♞Shelly Dominatriz♞</t>
  </si>
  <si>
    <t>De pie y mas alto que TU</t>
  </si>
  <si>
    <t>Que gran placer el dominar tu cuerpo y tu mente,ponte a mis pies slave!,como mis zapatos #BDSM #Femdom #Submissive #Madridmistress #Submission 24/7</t>
  </si>
  <si>
    <t>Anamari</t>
  </si>
  <si>
    <t>La gomera hiking @lagomeratravels @Gomeraisland @TurismoLaGomera #hikingadventures #travel #CanaryIslands https://t.co/wF875A2QVW</t>
  </si>
  <si>
    <t>Closet carnivore and occasional tweeter when amused or riled</t>
  </si>
  <si>
    <t>DOMINA CLOE</t>
  </si>
  <si>
    <t>SÍ NO TENGO TU MENTE, PARA K KIERO TU CUERPO??</t>
  </si>
  <si>
    <t>Nacho Rivera</t>
  </si>
  <si>
    <t>The idea. 2013. Spain. #tenerife #canaryislands #biblioteca #idea #nachorivera #artistfound… https://t.co/muCEIogUEq</t>
  </si>
  <si>
    <t xml:space="preserve">London, England </t>
  </si>
  <si>
    <t>Film photographer. Travel-Portraits-Fineart. / Contact: nacho@nacho-rivera.com / London-Madrid.</t>
  </si>
  <si>
    <t>Good Morning #Lanzarote #Canaryislands today Tuesday 21ºC https://t.co/XJlilJLlQ9 https://t.co/tO3q1TEW7B</t>
  </si>
  <si>
    <t>RT @SuneHolidays: Good Morning #Lanzarote #Canaryislands today Tuesday 21ºC https://t.co/XJlilJLlQ9 https://t.co/tO3q1TEW7B</t>
  </si>
  <si>
    <t>ICGEB</t>
  </si>
  <si>
    <t>#ICGEBSeminar A. Acevedo-Arozena, Unidad de Investigacíon, Tenerife #CanaryIslands Modelling #ALS in mice… https://t.co/JO7Tf5FQeo</t>
  </si>
  <si>
    <t>Italy - India - South Africa</t>
  </si>
  <si>
    <t>#International organisation for advanced research and training in molecular biology and #biotechnology #Developing #Knowledge</t>
  </si>
  <si>
    <t>RT @MedCruiseGuide: #LasPalmas, a must-see place on your next trip to #CanaryIslands https://t.co/qlXsh1W38V https://t.co/SgjDfoJDRL</t>
  </si>
  <si>
    <t>BUENOS DÍAS DE SOL Y VIENTO !!! #lanzarote #viento #wind #castillos #castillo #canaryislands… https://t.co/d1X38vSxXE</t>
  </si>
  <si>
    <t>Honest' JonWilliams</t>
  </si>
  <si>
    <t>Tenby Wales</t>
  </si>
  <si>
    <t>This is not the BBC, you're not going to get a repeat! Live, Love, Laugh and dance like no one's watching!!</t>
  </si>
  <si>
    <t>Gran Canaria Local</t>
  </si>
  <si>
    <t>Do the #CanaryIslands feature in your travel plans? If so, check out @MatthewHirtes' @weather2travel archive:… https://t.co/FKpXoldXWu</t>
  </si>
  <si>
    <t>The latest and greatest site to help you holiday on/move to GC. From the author of Going Local in Gran Canaria: How to Turn a Holiday Destination into a Home.</t>
  </si>
  <si>
    <t>La gomera black sand #CanaryIslands https://t.co/12RFtGLF7P</t>
  </si>
  <si>
    <t>Josefir Instantes</t>
  </si>
  <si>
    <t>Agua y tiempo. #water #photography #jla #slowshutter #lazyshutters #canarias #canaryislands… https://t.co/i1YeCPYiPa</t>
  </si>
  <si>
    <t>Firgas, España</t>
  </si>
  <si>
    <t>RT @mysweetapplexxx: If you live in #CanaryIslands you can check us on #Noveleros this Tuesday at 22:30 in #TelevisionCanaria 😜 @EliteCamB…</t>
  </si>
  <si>
    <t>StyleAt30</t>
  </si>
  <si>
    <t>The smell of the ocean never gets old! 👏🏼 Let the seas set you free! 🌊 #Lanzarote #CanaryIslands… https://t.co/1lf4cCkCdi</t>
  </si>
  <si>
    <t>Style inspiration across the world! ✨ Follow me as we step into the beautiful world of grown up style!</t>
  </si>
  <si>
    <t>Mistress SinPiedad</t>
  </si>
  <si>
    <t>Madrid, España</t>
  </si>
  <si>
    <t>#DOMINATRIX #Professionalmistress #Madridsessions #Fetishist #FEMDOM #Bdsm #Femalesupremacist #Femmefatale #Confinament #FIMDOM #Skypesessions +34 654851421</t>
  </si>
  <si>
    <t>TenerifeGolf</t>
  </si>
  <si>
    <t>Un café con vistas. Golf Las Américas. #Tenerife #Teneriffa #Golf #CanaryIslands https://t.co/wcT7FGKXau</t>
  </si>
  <si>
    <t>Tenerife Golf Tourism official Twitter. #IGTM2015. The most quality #Golf at the best climate place all year round.</t>
  </si>
  <si>
    <t>Turismo Arona</t>
  </si>
  <si>
    <t>RT @TwiTenerifeGolf: Un café con vistas. Golf Las Américas. #Tenerife #Teneriffa #Golf #CanaryIslands https://t.co/wcT7FGKXau</t>
  </si>
  <si>
    <t>Arona, Tenerife.</t>
  </si>
  <si>
    <t>Patronato de Turismo de Arona (Tenerife)</t>
  </si>
  <si>
    <t>Laura_Leyshon</t>
  </si>
  <si>
    <t>FOR SALE: A superb Las Canteras beachfront apartment with big terrace https://t.co/DMDaF7lhpU #LasPalmas… https://t.co/R50ywt736I</t>
  </si>
  <si>
    <t>elblogdemarianava</t>
  </si>
  <si>
    <t>Do you like this #monument ? It's super original !! Is on #canaryislands in my #holidays ✌😁. A… https://t.co/6hSTttdK8p</t>
  </si>
  <si>
    <t>Personal Blog ✳ London UK ✳ cosmetic▫ travel ▫fashion 👤facebook - 🔘 Instagram - 🐤Twitter</t>
  </si>
  <si>
    <t>Mun2travel</t>
  </si>
  <si>
    <t>Tenerife: Turismo, vacaciones, ocio, excursiones, visitas turísticas, senderismo, parques temáticos, espectáculos, alquiler de coches, 4X4</t>
  </si>
  <si>
    <t>MarioPhoto</t>
  </si>
  <si>
    <t>Tenerife - Canary Islands</t>
  </si>
  <si>
    <t>Photographer/Filmmaker Freelance.❤ Timelapse-B&amp;N. Member @QMovernos &amp; @LentesdColores.💚nature.⛔barriers.📷 Nikon. Canary islands.</t>
  </si>
  <si>
    <t>Hessle Travel</t>
  </si>
  <si>
    <t>Tenerife Late Deal El Sombrero #Spain, #CanaryIslands, #Tenerife, #LosGigantes 7 Nights, SC, 16 Dec 16, MAN £149pp… https://t.co/tqd5EYUgwF</t>
  </si>
  <si>
    <t>Hessle, England</t>
  </si>
  <si>
    <t>Book with Hessle Travel to get the best of both worlds. Online prices with the safety and security of booking with a local independent travel agency!</t>
  </si>
  <si>
    <t>AnimalJusticeProject</t>
  </si>
  <si>
    <t>#NEWS #Spanish military flies #LabAnimals to #CanaryIslands after airlines refuse: https://t.co/Bh6cbJtedi #AnimalAbuse</t>
  </si>
  <si>
    <t>Animal Justice Project is a proactive international animal rights organisation working to create a society where all animals are treated equally.</t>
  </si>
  <si>
    <t>Javier de Miguel</t>
  </si>
  <si>
    <t>Let the sun shine down on me #blonde #boudoir #swimsuit #summer #sexy #longhair #spain #canaryislands https://t.co/MB0sh2Yspq</t>
  </si>
  <si>
    <t>Multidisciplinary photographer, always forward, always learning</t>
  </si>
  <si>
    <t>Inmobiliaria Gonorsa</t>
  </si>
  <si>
    <t>Fotografías de nuestras #viviendas en #Lanzarote, ahora mismo 22º a la sombra... #Canarias #CanaryIslands. Info… https://t.co/EJGsG9TZTu</t>
  </si>
  <si>
    <t>Burgos.</t>
  </si>
  <si>
    <t>Empresa Promotora-Constructora de la ciudad de Burgos. Gestión de ventas, alquileres y servicios inmobiliarios en #Burgos y #Lanzarote.</t>
  </si>
  <si>
    <t>PROMAR</t>
  </si>
  <si>
    <t>Almería, Spain</t>
  </si>
  <si>
    <t>Organización sin ánimo de lucro para el estudio y la recuperación de la fauna marina / Nonprofit organization for the study and recovery of marine</t>
  </si>
  <si>
    <t>#SanFernandodeMaspalomas Amanecer #Maspalomas #GranCanaria #Fotos #Photos #CanaryIslands #Palmeras https://t.co/3WDngkG7lC</t>
  </si>
  <si>
    <t>#SanFernandodeMaspalomas Amanecer #Maspalomas #GranCanaria #Fotos #Photos #CanaryIslands #Palmeras https://t.co/Tfo9cZ2MEa</t>
  </si>
  <si>
    <t>#SanFernandodeMaspalomas Barranco y montañas #Maspalomas #GranCanaria #Fotos #Photos #CanaryIslands #Palmeras… https://t.co/RPBlIzqEpy</t>
  </si>
  <si>
    <t>Barranco y montañas #Maspalomas #GranCanaria #Fotos #Photos #CanaryIslands #Palmeras #VisitMaspalomas https://t.co/DgNwPvWJ0v</t>
  </si>
  <si>
    <t>RT @JAGreenhill: Boating and Dolphining #Tenerife #CanaryIslands #CostaAdeje #Fañabe #Beach #Sea #Seaside #Holiday #Summer #Sun #Bo… https…</t>
  </si>
  <si>
    <t>Waking on amazing geological paths! #Lagomera #canaryislandhopping #canaryislands #volcanicrock… https://t.co/XDZWH2iKGW</t>
  </si>
  <si>
    <t>#pabloexcursions #losgigantes #tenerife #canarias #canaryislands #summer #beach #holidays … https://t.co/E9GjoHuDqj https://t.co/va3xg2Jk2w</t>
  </si>
  <si>
    <t>RT @bermaxo09: Barranco y montañas #Maspalomas #GranCanaria #Fotos #Photos #CanaryIslands #Palmeras #VisitMaspalomas https://t.co/DgNwP…</t>
  </si>
  <si>
    <t>RT @bermaxo09: #SanFernandodeMaspalomas Barranco y montañas #Maspalomas #GranCanaria #Fotos #Photos #CanaryIslands #Palmeras #VisitMasp…</t>
  </si>
  <si>
    <t>RT @bermaxo09: #SanFernandodeMaspalomas Amanecer #Maspalomas #GranCanaria #Fotos #Photos #CanaryIslands #Palmeras https://t.co/Tfo9cZ2MEa</t>
  </si>
  <si>
    <t>RT @bermaxo09: #SanFernandodeMaspalomas Amanecer #Maspalomas #GranCanaria #Fotos #Photos #CanaryIslands #Palmeras https://t.co/3WDngkG7lC</t>
  </si>
  <si>
    <t>RT @kristofberg: #digitalnomads what's your favorite hot spot to work remotely? #jejuisland #ubud #chiangmai #GranCanaria #CanaryIslands #a…</t>
  </si>
  <si>
    <t>En compañía de #veroles #afortunadas #madeinspain #canaryislands #canarias #islascanarias… https://t.co/WaNBG6Dm7v</t>
  </si>
  <si>
    <t>La Palma 24® Tourism</t>
  </si>
  <si>
    <t>❤☀️ VISTA HERMOSA - #Tazacorte, from 378€ per week 2 person. Booking: ➡ https://t.co/VnvMg07DEb #LaPalma… https://t.co/8aeK1DS2Q3</t>
  </si>
  <si>
    <t>La Palma, Islas Canarias</t>
  </si>
  <si>
    <t>Holiday accommodation / Alojamientos turísticos y Rent a Car / Ferienunterkünfte und Mietwagen #LaPalma #KanarischeInseln #kanaren #canarias #ferien #islabonita</t>
  </si>
  <si>
    <t>Giorgio Donghi</t>
  </si>
  <si>
    <t>🌑⚡️ #surf #fuerteventura #waves #friends #ocean #power #canaryislands #water #black #white… https://t.co/ies0qBy2fS</t>
  </si>
  <si>
    <t>Italia</t>
  </si>
  <si>
    <t>Designer • Surfer • Lazy skater • Pirate</t>
  </si>
  <si>
    <t>RT https://t.co/cq9HxJozxp My #besttraveldeals are here! #CanaryIslands #Amsterdam #Miami #Cruise #DominicanRepub… https://t.co/YsKOPUNWNx</t>
  </si>
  <si>
    <t>DivemasterInternship</t>
  </si>
  <si>
    <t>Welcome to Richard from England starting his journey to become a #PADI #Pro #Tenerife #CanaryIslands #MYPADI… https://t.co/3YbawRDaP0</t>
  </si>
  <si>
    <t>PADI Divemaster internships in Tenerife. PADI Instructor Development Courses in Tenerife, Canary Islands. PADI 5 Star IDC Centre.</t>
  </si>
  <si>
    <t>DivingInternship</t>
  </si>
  <si>
    <t>Welcome to Richard from England starting his journey to become a #PADI #Pro #Tenerife #CanaryIslands #MYPADI… https://t.co/Sw0Az9AH0R</t>
  </si>
  <si>
    <t>Looking for a diving internship? Want to become a PADI Divemaster or PADI Instructor? We have the dive internship for you. http://t.co/o4IOAombWK</t>
  </si>
  <si>
    <t>lale Rodriguez</t>
  </si>
  <si>
    <t>tinerfeño canario y vamos tete💙💙💙👍</t>
  </si>
  <si>
    <t>Sandra Goose</t>
  </si>
  <si>
    <t>Peterborough, England</t>
  </si>
  <si>
    <t>Mature daughter, sister, mother, grandmother, great gran, and friend. Lover of life, positive thinker.Young in mind if not in body...</t>
  </si>
  <si>
    <t>Lord Jim Sailing</t>
  </si>
  <si>
    <t>Are you looking to escape this cold winter weather? #CanaryIslands #luxury #winter #sailing #holiday https://t.co/dnBaHiIsTd</t>
  </si>
  <si>
    <t>Come with us to explore the Canary Islands. Follow us on FB at Lord Jim Sailing</t>
  </si>
  <si>
    <t>5* Bahia Principe Costa Adeje #CanaryIslands, #Tenerife, #CostaAdeje 7nt AI MAN 20 Mar 17 £694pp… https://t.co/j1fcE5SmVf</t>
  </si>
  <si>
    <t>Lanzarote Concierge</t>
  </si>
  <si>
    <t>On the north side of the island. The view from La Santa #LaSanta #Lanzarote #CanaryIslands https://t.co/nNLF9zYHeT</t>
  </si>
  <si>
    <t>Lanzarote, Canary Islands</t>
  </si>
  <si>
    <t>We are the in-resort @SovereignLuxury team tweeting from Lanzarote; with updates on local events, the latest photos, video &amp; more.</t>
  </si>
  <si>
    <t>Cactus and windmkll. #vacation #cactus #windmill #jardindecactus #lanzarote #canaryislands… https://t.co/v4yAi2rCdd</t>
  </si>
  <si>
    <t>Flowers like spun sugar. #garden #plants #canaryislands #lanzarote #jardindecactus #flower… https://t.co/yUjxZUaQ7V</t>
  </si>
  <si>
    <t>Fingers reaching for the sky. #vacation #jardindecactus #lanzarote #canaryislands #cactus… https://t.co/kKuD7Q2tSp</t>
  </si>
  <si>
    <t>Ripe. #plants #cactus #canaryislands #lanzarote #windmill #jardindecactus #vacation @ Jardin De… https://t.co/afhLtF1G7k</t>
  </si>
  <si>
    <t>Take the long straight road. #vacation #lanzarote #canaryislands #volcano #road #haría @ Haría https://t.co/wpeRiSQGCK</t>
  </si>
  <si>
    <t>Weather2Travel.com</t>
  </si>
  <si>
    <t>RT @GranCanLocal: Do the #CanaryIslands feature in your travel plans? If so, check out @MatthewHirtes' @weather2travel archive: https://t.c…</t>
  </si>
  <si>
    <t>Tweeting the very best and latest travel deals for your holiday in the sun, plus tips on when and where to go, and news on all things travel...</t>
  </si>
  <si>
    <t>Stare into the abyss. #volcano #canaryislands #lanzarote #cave #cuevadelosverdes #vacation @… https://t.co/8eijoVjcVO</t>
  </si>
  <si>
    <t>It's all shades of blue, really. #vacation #lanzarote #canaryislands #jameosdelagua #pool #sea… https://t.co/fFQV8b5sFt</t>
  </si>
  <si>
    <t>The boats at Punta Mujeres. #atlantic #sea #boats #puntamujeres #lanzarote #canaryislands @… https://t.co/g5mmiwU5fE</t>
  </si>
  <si>
    <t>To walk over the waves. #canaryislands #lanzarote #walkway #arrieta #vacation #sea #atlantic @… https://t.co/ISuHhw3PeX</t>
  </si>
  <si>
    <t>Some doors are closed and never opened again. #canaryislands #lanzarote #arrieta #door… https://t.co/ToYwGFEBdB</t>
  </si>
  <si>
    <t>Mónica Gonzalez</t>
  </si>
  <si>
    <t>Dulce Las Palmas... #photography #grancanaria #canaryzone #paradise #islascanarias #CanaryIslands https://t.co/hCHk6oLDfb</t>
  </si>
  <si>
    <t>Las Palmas, Islas Canarias</t>
  </si>
  <si>
    <t>Mis momentos fotográficos / My photographic moments.</t>
  </si>
  <si>
    <t>If you read an article about the #CanaryIslands, there's a high chance it's been written by @MatthewHirtes:… https://t.co/7LD0305iY4</t>
  </si>
  <si>
    <t>MantaDivingLanzarote</t>
  </si>
  <si>
    <t>George and Debbie diving the Museo Atlantico today!! #lanzarote #scuba #diving #underwstermuseum #canaryislands... https://t.co/WV0t8qoU1E</t>
  </si>
  <si>
    <t>Puerto Del Carmen Lanzarote</t>
  </si>
  <si>
    <t>PADI 5* Resort Centre in Puerto Del Carmen. Aqualung Partner Centre. Follow us for what we get up to! But don't get jealous about our daily dives!</t>
  </si>
  <si>
    <t>RT @MokaGonzalez_: Dulce Las Palmas... #photography #grancanaria #canaryzone #paradise #islascanarias #CanaryIslands https://t.co/hCHk6oLD…</t>
  </si>
  <si>
    <t>#molinodeantigua #szélmalom #windmill #fuerteventura #turistalanyfotoi #utaznijo #canaryislands… https://t.co/KO21brLVhT</t>
  </si>
  <si>
    <t>TeresaSSicilia</t>
  </si>
  <si>
    <t>Siempre por aquí</t>
  </si>
  <si>
    <t>- No leo los manuales de instrucciones - ▪️Gastronomía▪️Arte▪️Historia▪️Tendencias▪️Ocio .Freelance. SocialMedia y Comunicación</t>
  </si>
  <si>
    <t>fuerteventura #turistalanyfotoi #utaznijo #canaryislands #passionpassport #travel_drops… https://t.co/ZWQ919bnPi</t>
  </si>
  <si>
    <t>Javier</t>
  </si>
  <si>
    <t>RT @ivanlesa: 📷🌃🇮🇨 #LasPalmasGC esta noche #GranCanaria #IslasCanarias #CanaryIslands #Tonight https://t.co/Rrhsq9gnFo</t>
  </si>
  <si>
    <t>Jose M Perdigón</t>
  </si>
  <si>
    <t>#Canarias #CanaryIslands 🏖🏖⛱ https://t.co/BFVROQQXyd</t>
  </si>
  <si>
    <t>TENERIFE  I.CANARIAS</t>
  </si>
  <si>
    <t>Para los qué dudan de mis informaciones Un pajaro no cantá por qué tiene una repuesta cantá porque tiene una canción</t>
  </si>
  <si>
    <t>Unser #Kurzurlaub neigt sich dem Ende 💗⛳💖 #Tenerife #Teneriffa #Spain #Spanien #Golf #Adeje #Urlaub… https://t.co/67ebG3kPjz</t>
  </si>
  <si>
    <t>José Carlos Gómez</t>
  </si>
  <si>
    <t>I recommend us #Tenerife #Teide #CanaryIslands https://t.co/it6VL4skSM</t>
  </si>
  <si>
    <t>Santa Cruz de Tenerife, España</t>
  </si>
  <si>
    <t>¡¡¡Defensor de las causas perdidas!!! https://t.co/g04wvfL1hH https://t.co/ZTEvAnJwfA</t>
  </si>
  <si>
    <t>TravelFree</t>
  </si>
  <si>
    <t>🎈PRICE DROP🎈 UK to CANARY ISLANDS for £16 round-trip! #uk #england #canaries #canaryislands #scotland #ryanair... https://t.co/cSn9zk09ug</t>
  </si>
  <si>
    <t>Travel Blog - best offers for flights, hotels, tours from Europe</t>
  </si>
  <si>
    <t>Shanelle</t>
  </si>
  <si>
    <t>travelfree_info: 🎈PRICE DROP🎈 UK to CANARY ISLANDS for £16 round-trip! #uk #england #canaries #canaryislands #sc… https://t.co/a5qwd6XwAB</t>
  </si>
  <si>
    <t>New York, NY</t>
  </si>
  <si>
    <t>24 year old Travelista</t>
  </si>
  <si>
    <t>Kirill Alexeev</t>
  </si>
  <si>
    <t>#ThePiratBay #Masca #Nature #Tenerife #Sunset #Morning #Sky #Town #GreatDay #CanaryIslands… https://t.co/b5LrifJksw</t>
  </si>
  <si>
    <t>Tenerifelicidad</t>
  </si>
  <si>
    <t>RT @JosCarlosGmez7: I recommend us #Tenerife #Teide #CanaryIslands https://t.co/it6VL4skSM</t>
  </si>
  <si>
    <t>Socialmatize App</t>
  </si>
  <si>
    <t xml:space="preserve">Tenerife, España </t>
  </si>
  <si>
    <t>Travel, fashion &amp; lifestyle bloggers Couple • Te mostramos los mejores lugares y nuestras experiencias en Tenerife ⭐ Etiqueta tus fotos con #Tenerifelicidad</t>
  </si>
  <si>
    <t>Vise</t>
  </si>
  <si>
    <t>Another prism; Images with a story. Un autre prisme; Des images avec une histoire.</t>
  </si>
  <si>
    <t>Walking on a beach with volcanic sand #lagomera #canaryislandhopping #canaryislands #beach… https://t.co/g7Ka5ATR5F</t>
  </si>
  <si>
    <t>Víctor Pérez Cazorla</t>
  </si>
  <si>
    <t>#PericosViajeros #RCDE #Teide #CanaryIslands #Tenerife https://t.co/bVqhCq1JH8</t>
  </si>
  <si>
    <t>Universitat de Girona</t>
  </si>
  <si>
    <t>Entrenador Pokémon frustrado y Turista de lo Estético. Descendiente de una amplia estirpe de pericos. Desde Sarrià hasta Cornellà. #RCDE</t>
  </si>
  <si>
    <t>نقطة</t>
  </si>
  <si>
    <t>#Maspalomas #GranCanaria #Fotos #Photos #CanaryIslands #Palmeras #VisitMaspalomas Parque Sur https://t.co/xsMkIq7w01</t>
  </si>
  <si>
    <t>#Maspalomas #GranCanaria #Fotos #Photos #CanaryIslands #Palmeras #VisitMaspalomas Parque Sur https://t.co/JR0Bk91ql5</t>
  </si>
  <si>
    <t>#Maspalomas #GranCanaria #Fotos #Photos #CanaryIslands #Palmeras #VisitMaspalomas Paseo a caballo https://t.co/nMbP4oJOEU</t>
  </si>
  <si>
    <t>RT @VicPCazorla: #PericosViajeros #RCDE #Teide #CanaryIslands #Tenerife https://t.co/bVqhCq1JH8</t>
  </si>
  <si>
    <t>Jennifer Tundis</t>
  </si>
  <si>
    <t>Argentina, Buenos Aires</t>
  </si>
  <si>
    <t>Estudiante de medicina</t>
  </si>
  <si>
    <t>#Maspalomas #GranCanaria #Fotos #Photos #CanaryIslands #Palmeras #VisitMaspalomas Jardines https://t.co/ryDy1aljj8</t>
  </si>
  <si>
    <t>#Maspalomas #GranCanaria #Fotos #Photos #CanaryIslands #Palmeras #VisitMaspalomas Jardines ...Palmeral https://t.co/EaxE7TmrVr</t>
  </si>
  <si>
    <t>RT @bermaxo09: #Maspalomas #GranCanaria #Fotos #Photos #CanaryIslands #Palmeras #VisitMaspalomas Jardines ...Palmeral https://t.co/EaxE7Tm…</t>
  </si>
  <si>
    <t>Migue Jorge Sánchez</t>
  </si>
  <si>
    <t>Las Palmas de Gran Canaria, Islas Canarias</t>
  </si>
  <si>
    <t>Canario, échale mojo al asunto. Periodismo en la Universidad de Sevilla.</t>
  </si>
  <si>
    <t>#Maspalomas #GranCanaria #Fotos #Photos #CanaryIslands #Palmeras #VisitMaspalomas Campo de Golf Campo Internacional https://t.co/oUTzNBrRV2</t>
  </si>
  <si>
    <t>Girls this bag from the brand WENGER is simply perfect for work during the day and fun at night 👌🏼… https://t.co/Duxxf5LmRz</t>
  </si>
  <si>
    <t>dreflexdigital</t>
  </si>
  <si>
    <t>#lapalma #laislabonita #landscape #landscapephotography #canaryislands #pic #picture… https://t.co/krwPxbZoMZ</t>
  </si>
  <si>
    <t>Tenerife - Islas Canarias</t>
  </si>
  <si>
    <t>Fotografía https://t.co/f268wMChUd dreflexdigital@gmail.com https://t.co/IHlB0WH3lD</t>
  </si>
  <si>
    <t>#Maspalomas #GranCanaria #Fotos #Photos #CanaryIslands #Palmeras #VisitMaspalomas Campo Internacional de Maspalomas https://t.co/YAC3zILk2W</t>
  </si>
  <si>
    <t>KRIS</t>
  </si>
  <si>
    <t>Gran Canaria✈Sevilla</t>
  </si>
  <si>
    <t>Hecha de personas. Una de las 7 afortunadas #Talasofilia💛💙 Periodismo y Comunicación Audiovisual - US</t>
  </si>
  <si>
    <t>Poi dalle nubi spunta lui #teide #sunshine #canaryislands #laorotava #nofilter #iphone… https://t.co/5F6m9UHQ5U</t>
  </si>
  <si>
    <t>#Maspalomas #GranCanaria #Fotos #Photos #CanaryIslands #Palmeras #VisitMaspalomas Playa de Maspalomas https://t.co/S6mQ1JzaJa</t>
  </si>
  <si>
    <t>GEOcanaries</t>
  </si>
  <si>
    <t>RT @MNCN_Col: #MineralMonday Dunite included in basalt from #Lanzarote #CanaryIslands #Spain. #MNCN #Geology #Rocks #Xenolith https://t.co/…</t>
  </si>
  <si>
    <t>Geography information of the Canary Islands and the world</t>
  </si>
  <si>
    <t>RT @teideano: Volcano outcrop at Fuerteventura #island #geology #landscape #canaryislands http://t.co/BxPzjBYMwz</t>
  </si>
  <si>
    <t>Debra King</t>
  </si>
  <si>
    <t>Medical negligence paralegal. Married mum of two beautiful children.</t>
  </si>
  <si>
    <t>RT @bermaxo09: #Maspalomas #GranCanaria #Fotos #Photos #CanaryIslands #Palmeras #VisitMaspalomas Parque Sur https://t.co/JR0Bk91ql5</t>
  </si>
  <si>
    <t>RT @bermaxo09: #Maspalomas #GranCanaria #Fotos #Photos #CanaryIslands #Palmeras #VisitMaspalomas Playa de Maspalomas https://t.co/S6mQ1Jza…</t>
  </si>
  <si>
    <t>Cande</t>
  </si>
  <si>
    <t>RT @Canariasconfort: “@AlexBramwellGC: Fun weekend at @PrincessHotels in #Maspalomas What a swimmingpool #GranCanaria #CanaryIslands http:/…</t>
  </si>
  <si>
    <t>@emocionesCan @paisajecanario @Salamanca_SSV @islaspromo @LpaVisit #CanaryIslands #goodnight #buonanotte… https://t.co/iukUazoDre</t>
  </si>
  <si>
    <t>Staysure</t>
  </si>
  <si>
    <t>Beyond the beach in the #CanaryIslands https://t.co/c0zseVGym9 #Spain #travel https://t.co/z43MiQy71n</t>
  </si>
  <si>
    <t>Northampton, UK</t>
  </si>
  <si>
    <t>Experts in travel insurance for over 50s and pre-existing medical condition cover. Call our UK based specialists free on 0800 033 4902</t>
  </si>
  <si>
    <t>RT @Selhso: @emocionesCan @paisajecanario @Salamanca_SSV @islaspromo @LpaVisit #CanaryIslands #goodnight #buonanotte #BuenasNoches #Sunset…</t>
  </si>
  <si>
    <t>We sell a wide range of products from the brand VICTORINOX like these bags... https://t.co/27wlOPCVA3… https://t.co/XlV8BtXf4e</t>
  </si>
  <si>
    <t>RaquelMaideuSoy_foto</t>
  </si>
  <si>
    <t>Alone #cactus #cactus🌵 #canaryislands #lanzarote #timanfaya #vulcans #vulcanic https://t.co/j1ANFhyC0j https://t.co/5rhQspar1f</t>
  </si>
  <si>
    <t>Freelance Photographer a Girona-Barcelona.</t>
  </si>
  <si>
    <t>Bruto Saraccini</t>
  </si>
  <si>
    <t>Gran Canaria https://t.co/KR8GD5wcFP #believeinfilm #filmisnotdead #canaryislands</t>
  </si>
  <si>
    <t>Milan, Lombardy</t>
  </si>
  <si>
    <t>Gentlemen take polaroids</t>
  </si>
  <si>
    <t>Pueblochico Tenerife</t>
  </si>
  <si>
    <t>Visiting Canaries... WHAT FOR?? #canaryislands https://t.co/EWGB7REn7P</t>
  </si>
  <si>
    <t>Pueblochico has been created as a centre of interest for the local population, as an exceptional meeting point for the visitors who come to Tenerife each year</t>
  </si>
  <si>
    <t>FUMAROLAS !!! #lanzarote #timanfaya #timanfayanationalpark #fumarola #fumaroles #canaryislands… https://t.co/lvSwzQCas5</t>
  </si>
  <si>
    <t>MySweetApple</t>
  </si>
  <si>
    <t>Check us now on #canaryislands tv 😍</t>
  </si>
  <si>
    <t>chaturbate.com/mysweetapple</t>
  </si>
  <si>
    <t>NSFW (+18) 🎈Cam Couple. World travelers. Outdoors Lovers. ✨Vids: https://t.co/nfRL3oYXRg ✨Mail: hello@mysweetapple.com</t>
  </si>
  <si>
    <t>Elite Extended</t>
  </si>
  <si>
    <t>RT @mysweetapplexxx: Check us now on #canaryislands tv 😍</t>
  </si>
  <si>
    <t>RoundTeam</t>
  </si>
  <si>
    <t>Global ✈</t>
  </si>
  <si>
    <t>⛔️ NO DM's ⛔️ #NSFW 18+ ONLY ☆ XXX Retweets ☆ #CamModels ☆ #CamGirls ☆ #Pornstars ☆ #Models ☆ #Promo ☆ RT support for the @EliteCamPromos Extended Family list</t>
  </si>
  <si>
    <t>Paysage volcanique à #orzola sur l'île de #lanzarote #canaries #islascanarias #canaryislands https://t.co/IrEmS3xR6T</t>
  </si>
  <si>
    <t>EN LA ANTIGUA MOLINA !! #lanzarote #viento #wind #molino #yaiza #playablanca #canaryislands… https://t.co/ikp4MLshjf</t>
  </si>
  <si>
    <t>#worldsmilearchive #uśmiech #smile #lächeln #smilecoaching #lekcjauśmiechu #losgigantes #canaryislands #spain… https://t.co/7uaXcnHgSd</t>
  </si>
  <si>
    <t>GranCanariaBeaches</t>
  </si>
  <si>
    <t>Tips of things to do in Gran Canaria, and in its world-class beaches.</t>
  </si>
  <si>
    <t>Christopher Lee</t>
  </si>
  <si>
    <t>Views from my bedroom window can be admired. Blessed 🙏 #Tenerife #Sunset #CanaryIslands #MiCasa https://t.co/EChmld82BA</t>
  </si>
  <si>
    <t>Santa Cruz de Tenerife</t>
  </si>
  <si>
    <t>Tottenham lad in Tenerife</t>
  </si>
  <si>
    <t>DELWEISS - Just because we're mad about the Swiss flag ⛑😋 https://t.co/27wlOPUwrB #canaryislands #swissbrands… https://t.co/AbO98ITImA</t>
  </si>
  <si>
    <t>claudio tapia</t>
  </si>
  <si>
    <t>WENGER SPORTS BAG They say, A healthy body is a healthy mind. We agree. https://t.co/27wlOPCVA3 #CanaryIslands https://t.co/l2AB7t9Mj6</t>
  </si>
  <si>
    <t>#TesorosCanarios</t>
  </si>
  <si>
    <t>RT @bermaxo09: Buenos días y feliz Sábado desde #GranCanaria #Barrancos #Sur #CanaryIslands #TesorosCanarios #SanBartolomedeTirajana #Photo…</t>
  </si>
  <si>
    <t>Acompañanos en la apasionante busqueda de los tesoros de nuestra tierra. Usa el #TesorosCanarios para destacar nuestra cultura, musica y naturaleza.</t>
  </si>
  <si>
    <t>Video Blogg with tips+clips on #cruise stop #GranCanaria #oldtown #CanaryIslands https://t.co/tZTBFkVPOZ</t>
  </si>
  <si>
    <t>Video Blogg with tips+clips on #cruise stop #GranCanaria #oldtown #CanaryIslands https://t.co/s8LiX1ACn4</t>
  </si>
  <si>
    <t>Video Blogg with tips+clips on #cruise stop #GranCanaria #oldtown #CanaryIslands https://t.co/mjmEFc8IHq</t>
  </si>
  <si>
    <t>Video Blogg with tips+clips on #cruise stop #GranCanaria #oldtown #CanaryIslands https://t.co/FQsSCH1fHr</t>
  </si>
  <si>
    <t>Video Blogg with tips+clips on #cruise stop #GranCanaria #oldtown #CanaryIslands https://t.co/smh0oUgZfw</t>
  </si>
  <si>
    <t>#Maspalomas #GranCanaria #Fotos #Photos #CanaryIslands #Palmeras #VisitMaspalomas https://t.co/UBVb5fLvvW</t>
  </si>
  <si>
    <t>BD feliz Miercoles #Maspalomas #GranCanaria #Fotos #Photos #CanaryIslands #Palmeras #VisitMaspalomas https://t.co/kRHEHKsj9k</t>
  </si>
  <si>
    <t>#Maspalomas #GranCanaria #Fotos #Photos #CanaryIslands #Palmeras #VisitMaspalomas #Canarias #IslasCanarias https://t.co/UNtgPzWdBu</t>
  </si>
  <si>
    <t>#Maspalomas #GranCanaria #Fotos #Photos #CanaryIslands #Palmeras #VisitMaspalomas #Canarias #IslasCanarias https://t.co/GN74ibW4QV</t>
  </si>
  <si>
    <t>Hermann Tibor</t>
  </si>
  <si>
    <t>#surf #ocean #bigwaves #CanaryIslands https://t.co/VS0LYLw7gy</t>
  </si>
  <si>
    <t>Balatonalmádi</t>
  </si>
  <si>
    <t>Still waiting to know these 70% of the planet? #TenDive #Tenerife #CanaryIslands #Scuba #Diving #PADi #UTD #Spain https://t.co/0Wszc3oLzG</t>
  </si>
  <si>
    <t>Cultura&amp;wine</t>
  </si>
  <si>
    <t>Enjoy #CanaryIslands #travel #winter vía @BritisvisitSpain | @BahiadelDuque https://t.co/r4UjGA8NcY</t>
  </si>
  <si>
    <t>Cultura internacional. Difusión de eventos, innovación y actividades de promoción cultural y turística.</t>
  </si>
  <si>
    <t>CositasCanarias</t>
  </si>
  <si>
    <t>CANARIAS</t>
  </si>
  <si>
    <t>@CositasCanarias! de aquí, de allí... tienes una foto estupenda? eres creativo? emprendedor? te gusta esta tierra? trabajas o vives en ella? pues CUENTANOS!</t>
  </si>
  <si>
    <t>Good Morning #Lanzarote #Canaryislands today Wednesday 24ºC https://t.co/XJlilJLlQ9 https://t.co/WzgRB0z6ea</t>
  </si>
  <si>
    <t>RT @SuneHolidays: Good Morning #Lanzarote #Canaryislands today Wednesday 24ºC https://t.co/XJlilJLlQ9 https://t.co/WzgRB0z6ea</t>
  </si>
  <si>
    <t>Who wants to sit on a perfect beach on a desert island? https://t.co/sicNFWeEzr #beaches #Fuerteventura… https://t.co/1I5kVgFuVY</t>
  </si>
  <si>
    <t>RelaxiaResorts</t>
  </si>
  <si>
    <t>RT @CanaryIslandsEN: Who wants to sit on a perfect beach on a desert island? https://t.co/sicNFWeEzr #beaches #Fuerteventura #CanaryIslands…</t>
  </si>
  <si>
    <t>Relaxia empresa de referencia en el sector turístico canario. Actualmente con 5 establecimientos ubicados en Gran Canaria, Lanzarote y Fuerteventura.</t>
  </si>
  <si>
    <t>LA PALMA RSS</t>
  </si>
  <si>
    <t>RT @lapalma24: ❤☀️ VISTA HERMOSA - #Tazacorte, from 378€ per week 2 person. Booking: ➡ https://t.co/VnvMg07DEb #LaPalma #CanaryIslands htt…</t>
  </si>
  <si>
    <t>La Palma, Canary Islands</t>
  </si>
  <si>
    <t>Información de La Palma y Servicios de Internet by @GladysRiego Facebook: https://t.co/AP59aZNFUs #LaPalma #Canarias</t>
  </si>
  <si>
    <t>#Canarias #CanaryIslands #Tenerife #Landscape #goodmorning #BuenosDiasATodos https://t.co/S57QNfpluc</t>
  </si>
  <si>
    <t>Verónica Lora</t>
  </si>
  <si>
    <t>#marinescience #offshore #research #Canarias #CanaryIslands https://t.co/Oo3Zrfdl76</t>
  </si>
  <si>
    <t>Las Palmas de G.C.</t>
  </si>
  <si>
    <t>Últimamente gestora de proyectos I+D+i, y otras veces traductora.</t>
  </si>
  <si>
    <t>CompetitionsToday</t>
  </si>
  <si>
    <t>Ends today: #Win a holiday to #Fuerteventura, #CanaryIslands https://t.co/DBcmPv7HOH</t>
  </si>
  <si>
    <t>Free UK competitions including cars, holidays, cash and more!</t>
  </si>
  <si>
    <t>Hello Gran Canaria https://t.co/1TKAc14Fgd #CanaryIslands #wintersun https://t.co/Z56BXCPJKC</t>
  </si>
  <si>
    <t>CanaryIslandsEN: Hello Gran Canaria https://t.co/irqMqzeKKL #CanaryIslands #wintersun https://t.co/MssM06qI2n</t>
  </si>
  <si>
    <t>LaGomera.travel</t>
  </si>
  <si>
    <t>RT @anamaribi: La gomera hiking @lagomeratravels @Gomeraisland @TurismoLaGomera #hikingadventures #travel #CanaryIslands https://t.co/wF875…</t>
  </si>
  <si>
    <t>Happy Hiker</t>
  </si>
  <si>
    <t>Planning a winter walking holiday in the #CanaryIslands? Have a look at my free #Lanzarote route descriptions.… https://t.co/8Wnp0k9ZaO</t>
  </si>
  <si>
    <t>Yorkshire</t>
  </si>
  <si>
    <t>Free walking routes with GPX downloads.Walker friendly accommodation. Advice on navigation and various walking issues. Follow to be informed of new walks.</t>
  </si>
  <si>
    <t>Happy Wednesday @EmocionesCan #lanzarote #canaryislands #islascanarias #beach #horizon #summer #vacation #sunrise… https://t.co/cuzU01VWLL</t>
  </si>
  <si>
    <t>REPUBLICANA✊✌</t>
  </si>
  <si>
    <t>Macondo</t>
  </si>
  <si>
    <t>Ciencias de la Información (UCM) Vive y deja vivir..Tu libertad termina donde empieza la mía, pero podemos compartirla. Gran Canaria</t>
  </si>
  <si>
    <t>rakhs</t>
  </si>
  <si>
    <t>On route to mount teidi #Teide #Tenerife #CanaryIslands The trees are beautiful and scenery like the death valley… https://t.co/j1aOJfCSrp</t>
  </si>
  <si>
    <t>world_is_your_oyster</t>
  </si>
  <si>
    <t>Elenα Mυvie</t>
  </si>
  <si>
    <t>Roque Nublo (Gran Canaria) #freedom #CanaryIslands #IslasCanarias #Spain #travel #mountains #landscapes #paisajes https://t.co/jDKpbfSGL5</t>
  </si>
  <si>
    <t>Barcelona - Spain</t>
  </si>
  <si>
    <t>Ad astra per aspera ✨</t>
  </si>
  <si>
    <t>15 Fuerteventura</t>
  </si>
  <si>
    <t>Caleta de Fuste</t>
  </si>
  <si>
    <t>Where the menu works as a league table of 15 favourite meals. Visit us in Castillo Centro and become part of the world of 15. Food evolves...</t>
  </si>
  <si>
    <t>Outsmart</t>
  </si>
  <si>
    <t>A simple but very effective way to highlight the difference between the #CanaryIslands and #London… https://t.co/NwJnyxdWka</t>
  </si>
  <si>
    <t>Outsmart is the marketing body for the Out of Home industry. We're here to inform, educate and inspire people to do wonderful things in Out of Home.</t>
  </si>
  <si>
    <t>Go To Gate 12</t>
  </si>
  <si>
    <t>☀️ - Sun Chaser - Stuck in a Village, somewhere over there.....</t>
  </si>
  <si>
    <t>The perfect business pull around bag - WENGER TRANSFER. https://t.co/27wlOPCVA3 #canaryislands #Spain https://t.co/nNSsTnR2r3</t>
  </si>
  <si>
    <t>BulaQuo</t>
  </si>
  <si>
    <t>P&amp;O #Cruise #Ship #Britannia in #CanaryIslands #B708 https://t.co/T99POlgBYa https://t.co/xCmGQnA1jo</t>
  </si>
  <si>
    <t>FIJI</t>
  </si>
  <si>
    <t>It started with guitars... and ended with guns. charted at no9 in the UK cinema chart the day of release, and the album went top ten. On Amazon.</t>
  </si>
  <si>
    <t>Lovitz in Bula Quo</t>
  </si>
  <si>
    <t>P&amp;O #Cruise #Ship #Britannia in #CanaryIslands #B708 https://t.co/9yO21c5XK7 https://t.co/D35FSYlz85</t>
  </si>
  <si>
    <t>Fiji</t>
  </si>
  <si>
    <t>Jon Lovitz with rock legends STATUS QUO, who opened Live Aid in 1985, in a Beatles: Hard Days Night, like, fun romp movie.</t>
  </si>
  <si>
    <t>P&amp;O #Cruise #Ship #Britannia in #CanaryIslands #B708 https://t.co/ax7zWYCALx https://t.co/GnZk44nE77</t>
  </si>
  <si>
    <t>P&amp;O #Cruise #Ship #Britannia in #CanaryIslands #B708 https://t.co/wpWTh2i7Rd https://t.co/x8fdBMIdLB</t>
  </si>
  <si>
    <t>P&amp;O #Cruise #Ship #Britannia in #CanaryIslands #B708 https://t.co/kdeFx8QcRl https://t.co/F62qN84Yg4</t>
  </si>
  <si>
    <t>P&amp;O #Cruise #Ship #Britannia in #CanaryIslands #B708 https://t.co/6n1IeosS9A https://t.co/8Bh2DFhwST</t>
  </si>
  <si>
    <t>P&amp;O #Cruise #Ship #Britannia in #CanaryIslands #B708 https://t.co/fRxZ8Ah3rD https://t.co/ivzJpbku3A</t>
  </si>
  <si>
    <t>Film Cheat Guide</t>
  </si>
  <si>
    <t>P&amp;O #Cruise #Ship #Britannia in #CanaryIslands #B708 https://t.co/K7ZNJrCoSb https://t.co/8plocZRibO</t>
  </si>
  <si>
    <t>London</t>
  </si>
  <si>
    <t>Be the show! Tips from from film makers with movies released by ICON &amp; Universal with a #webseries at ep 49 &amp; still going. https://t.co/g8exlGySlt #filmtalk</t>
  </si>
  <si>
    <t>Freight the movie</t>
  </si>
  <si>
    <t>P&amp;O #Cruise #Ship #Britannia in #CanaryIslands #B708 https://t.co/Tuh82hdfNi https://t.co/EmlS0A5zZT</t>
  </si>
  <si>
    <t>Leeds, England</t>
  </si>
  <si>
    <t>A Russian gang try to take Leeds, Billy Murray and Craig Fairbrass stop them</t>
  </si>
  <si>
    <t>P&amp;O #Cruise #Ship #Britannia in #CanaryIslands #B708 https://t.co/5LTL40i7iW https://t.co/KfKgiPdpz2</t>
  </si>
  <si>
    <t>P&amp;O #Cruise #Ship #Britannia in #CanaryIslands #B708 https://t.co/wcIk3y50wc https://t.co/8YrH9cpYca</t>
  </si>
  <si>
    <t>P&amp;O #Cruise #Ship #Britannia in #CanaryIslands #B708 https://t.co/sug07UBFFl https://t.co/yRHfqgyQru</t>
  </si>
  <si>
    <t>Is there too much sangria in spain Not if it is with a large portion of paella. #paella #sangria #Espana #Tenerife… https://t.co/EIJnyMCXmi</t>
  </si>
  <si>
    <t>John Macleod</t>
  </si>
  <si>
    <t>RT @Freightmovie: P&amp;O #Cruise #Ship #Britannia in #CanaryIslands #B708 https://t.co/Tuh82hdfNi https://t.co/EmlS0A5zZT</t>
  </si>
  <si>
    <t>Glasgow Scotland</t>
  </si>
  <si>
    <t>Middle aged grump Likes Music,art theatre and cinema.🎷🎹🎨🎦🎬😎😊 LGBT 🎊😊😎 Atheist. Pro-European Centrist. Peace and love👍👍😊🌿🌾</t>
  </si>
  <si>
    <t>Reflejos de #laisleta ✨ #afortunadas #islascanarias #canaryislands #canarias #grancanaria https://t.co/3nzshawhVd</t>
  </si>
  <si>
    <t>20 Fun Things to do in the Canary Islands (Lonely Planet) https://t.co/K6ZChQQrRw #travel #lp #canaryislands #spain</t>
  </si>
  <si>
    <t>#grancanaria #canaryislands #travel https://t.co/Z6QPH4cqY4</t>
  </si>
  <si>
    <t>Lanzarote Marathon</t>
  </si>
  <si>
    <t>The Final Countdown... ¡¡10 días!! 🔜🏃🏻‍♀️🏃🏻 #lanzamarathon #nevergiveup #lanzaroteesd #canaryislands #marathon https://t.co/sSeZdq5t6W</t>
  </si>
  <si>
    <t>The Lanzarote International Marathon will take place on Saturday the 10th of December 2016 #LanzaMarathon</t>
  </si>
  <si>
    <t>Sunbonoo</t>
  </si>
  <si>
    <t>And this, my friends, is how #beautiful #Tenerife can be! 😍😍 #sunset #clouds #pink #gold #CanaryIslands #Canarias https://t.co/lOsZEXbz7s</t>
  </si>
  <si>
    <t>Palma de Mallorca</t>
  </si>
  <si>
    <t>Die besten Ausflüge + Aktivitäten auf den Balearen + Kanaren bei Sunbonoo buchen ☀️ Book the best activities + tours on the Balearic + Canary Islands.</t>
  </si>
  <si>
    <t>UCAmI &amp; IWAAL 2016</t>
  </si>
  <si>
    <t>Last presentation of the morning before the Opening #UCAmI2016 #AmIHEALTH Welcome everyone! #Canaryislands https://t.co/jELIVRMUGC</t>
  </si>
  <si>
    <t>10h UCAmI. Canary Islands, Spain. November 29th - December 2nd, 2016</t>
  </si>
  <si>
    <t>Jason Hall</t>
  </si>
  <si>
    <t>RT @IamHappyHiker: Planning a winter walking holiday in the #CanaryIslands? Have a look at my free #Lanzarote route descriptions. https://t…</t>
  </si>
  <si>
    <t>Burnley, England</t>
  </si>
  <si>
    <t>Enjoys a stroll!</t>
  </si>
  <si>
    <t>Share your experience! #UCAmI2016 #CanaryIslands https://t.co/JbrDELf8Sk</t>
  </si>
  <si>
    <t>The sexiest accent in Spain https://t.co/KhqIBUyOUK #CanaryIslands https://t.co/34Igj7k4rH</t>
  </si>
  <si>
    <t>Aine Dempsey</t>
  </si>
  <si>
    <t>#Lanzarote #canaryislands https://t.co/kYOM38oKI0</t>
  </si>
  <si>
    <t>Dublin</t>
  </si>
  <si>
    <t>Politics nerd &amp; Mistress of all evil. I have a macaroon addiction that's not fully under control.</t>
  </si>
  <si>
    <t>Abu Trawally Flores</t>
  </si>
  <si>
    <t>Telde</t>
  </si>
  <si>
    <t>Gran Canario , Grado en Médicina (UAB), Amante de la risa floja, del FCBarcelona y de la UDLas Palmas.</t>
  </si>
  <si>
    <t>Daniel St.</t>
  </si>
  <si>
    <t>RT @AlexBramwellGC: The sexiest accent in Spain https://t.co/KhqIBUyOUK #CanaryIslands https://t.co/34Igj7k4rH</t>
  </si>
  <si>
    <t>Monaco Beach</t>
  </si>
  <si>
    <t>Brrr.... it must be time to plan your winter sun holiday! #caribbean #CanaryIslands #Marocco #swimsuit #swimwear https://t.co/ELxbiw7JkS</t>
  </si>
  <si>
    <t>Cotswolds, UK /International</t>
  </si>
  <si>
    <t>Fabulous figure-fixing #swimwear for smart #women. Styles inc. #retro,sporty,#mastectomy #glamour #swimsuit #bikini &amp; more #sizes 10-24 #plus cups B-F</t>
  </si>
  <si>
    <t>Bodegas El Penitente</t>
  </si>
  <si>
    <t>Viva San Andrés ! SALU;D! #SanAndres206 #descorche #castañas #bacalao #tradicion #canaryislands #gastronomia... https://t.co/y0HXNKRLAy</t>
  </si>
  <si>
    <t>La Orotava (Tenerife). España</t>
  </si>
  <si>
    <t>Bodega creada en 1998 en el Valle de la Orotava,Tenerife. 4 marcas: Bodegas de Miranda, Arautava, Tanganillo y Cruz del Teide. Contacto T: (0034)922309024</t>
  </si>
  <si>
    <t>DRAGO SIAM</t>
  </si>
  <si>
    <t>FIESTA DE NAVIDAD #Tenerife #FelizMiercoles #navidad #Canarias #CanaryIslands #adeje https://t.co/xeOVxutQAE</t>
  </si>
  <si>
    <t>Adeje, España</t>
  </si>
  <si>
    <t>Parque infantil</t>
  </si>
  <si>
    <t>Beto Mavare Porras</t>
  </si>
  <si>
    <t>New commission! // ¡Nuevo encargo! #tenerife #canaryislands #islascanarias #alicante… https://t.co/KLU0qm0UnC</t>
  </si>
  <si>
    <t>Youtube (Beto Mavare Porras), blogger Wordpress y amante de la arquitectura y el mundo gráfico.</t>
  </si>
  <si>
    <t>Jozef Simo</t>
  </si>
  <si>
    <t>My #remotework spot for the past 2w at #SantaCruz #Tenerife #CanaryIslands ☀️🌴🌊 - wonderful library with 24/7 openi… https://t.co/XBHfBsd4On</t>
  </si>
  <si>
    <t>Aarhus/Copenhagen/Denmark</t>
  </si>
  <si>
    <t>product designer at @joblicate</t>
  </si>
  <si>
    <t>Dunas Hotels&amp;Resorts</t>
  </si>
  <si>
    <t>RT @bermaxo09: #CanaryIslands #FelizLunes @DunasHoteles de Maspalomas #Maspalomas #Dunas #Fotos #GranCanaria https://t.co/PaCPkcDNk3</t>
  </si>
  <si>
    <t>Grupo hotelero con hoteles de 3 y 4 estrellas en privilegiadas ubicaciones de Gran Canaria. Hotel group with 3 and 4 stars hotels in Gran Canaria.</t>
  </si>
  <si>
    <t>Daniel Quintana</t>
  </si>
  <si>
    <t>Traveller, food-lover, Hotel critic, translator #GranCanaria +20K TripAdvisor readers #travel #flight #food #tripadvisor</t>
  </si>
  <si>
    <t>icelolly Support</t>
  </si>
  <si>
    <t>Official customer support page of https://t.co/MRg8Be4SqH - the holiday price comparison website! Tweet us for any help, support or feedback, weekdays 9am-5pm.</t>
  </si>
  <si>
    <t>Rakhee</t>
  </si>
  <si>
    <t>Ready for a day out with the 'rents. 😎 #Tenerife #spain #canaryislands #holiday #beach #sun… https://t.co/C3yfxpRE2q</t>
  </si>
  <si>
    <t>Pronounced Raa-kee! CEO of @dancetribenet Online magazine, social/professional network for #dancers, fans, industry professionals &amp; businesses</t>
  </si>
  <si>
    <t>#timanfaya #NationalPark #Lanzarote #canaryislands #canarias #volcano https://t.co/aiuFpkCPGp https://t.co/9NEDgszd0x</t>
  </si>
  <si>
    <t>#Hotels in the #CanaryIslands: Exe Hotel Las Canteras beach. https://t.co/ivB5XaWTF9 #business #leisure #surf… https://t.co/YrEczEWbvV</t>
  </si>
  <si>
    <t>#Golf en La Gomera. #CanaryIslands #golf https://t.co/jOKWK0oSow</t>
  </si>
  <si>
    <t>Audry</t>
  </si>
  <si>
    <t>RT @DunasHoteles: RT @bermaxo09: #CanaryIslands #FelizLunes @DunasHoteles de Maspalomas #Maspalomas #Dunas #Fotos #GranCanaria https://t.c…</t>
  </si>
  <si>
    <t>De familia minera. Diferente...</t>
  </si>
  <si>
    <t>#GranCanaria, all you expect from your #holiday within the same #island. All you need now is a car to #explore and… https://t.co/yi8T7Sst7U</t>
  </si>
  <si>
    <t>@emocionesCan @paisajecanario @Salamanca_SSV @islaspromo @LpaVisit #CanaryIslands #BuenosDias #goodmorning… https://t.co/3jZWvTQVK1</t>
  </si>
  <si>
    <t>Psycho_Bitch</t>
  </si>
  <si>
    <t>Esto no se hace en USA,made in #CanaryIslands xaxoo! chiquitoo tema #Canaryfornia Agüita el estri con @whoisdae https://t.co/geUh9x4YeA</t>
  </si>
  <si>
    <t>Canarias-Puerto Rico-Miami</t>
  </si>
  <si>
    <t>(love music-gamer-bilingual-kinkgirl-bisexual),if you don't meet me you shouldn't judge me! so shut up I'm a psycho girl ;)</t>
  </si>
  <si>
    <t>Dae got the answers</t>
  </si>
  <si>
    <t>RT @24_psycho: Esto no se hace en USA,made in #CanaryIslands xaxoo! chiquitoo tema #Canaryfornia Agüita el estri con @whoisdae https://t.co…</t>
  </si>
  <si>
    <t>ℭanaryfornia</t>
  </si>
  <si>
    <t>Singer / Songwriter / Grammy material 🏆🎤 Lately prod. by @stevelean4real out now https://t.co/dyIqy4DfPe</t>
  </si>
  <si>
    <t>BSGC</t>
  </si>
  <si>
    <t>We provide a quality, diverse, and stimulating education in an English- speaking environment on Gran Canaria, in our two centres; El Hornillo and Tafira Alta.</t>
  </si>
  <si>
    <t>rossylsd</t>
  </si>
  <si>
    <t>#spain #lanzarote #canaryislands #foodtravelanddrinks #myownlane #myownway #chefslife… https://t.co/BmAvozrd4p</t>
  </si>
  <si>
    <t>Midtown, Atlanta</t>
  </si>
  <si>
    <t>I'm just all over the place !</t>
  </si>
  <si>
    <t>New Year's Eve in Las Palmas de Gran Canaria! https://t.co/lpymQP58yj #LPAvisit #CanaryIslands #NewYearsEve… https://t.co/rh0FmUyZnQ</t>
  </si>
  <si>
    <t>Erika</t>
  </si>
  <si>
    <t>RT @jozef_simo: My #remotework spot for the past 2w at #SantaCruz #Tenerife #CanaryIslands ☀️🌴🌊 - wonderful library with 24/7 opening hours…</t>
  </si>
  <si>
    <t>Mobile Web (M2)</t>
  </si>
  <si>
    <t>@ Earth Planet.</t>
  </si>
  <si>
    <t>A free spirit of a sui generis mind.</t>
  </si>
  <si>
    <t>#spain #canaryislands #foodtravelanddrinks #myownlane #myownway #chefslife #solotraveler… https://t.co/DsHPknuaAe</t>
  </si>
  <si>
    <t>Und ab geht's via Kälte 🐧 ☃❄#Condor #Urlaubsende #Teneriffa #Tenerife #Spanien #Spain #CanaryIslands #Urlaub… https://t.co/cs95CJGAjj</t>
  </si>
  <si>
    <t>LTCI</t>
  </si>
  <si>
    <t>Take a luxury break in #canaryislands https://t.co/564yPGXfcj https://t.co/jMImn553vW</t>
  </si>
  <si>
    <t>jets, villas &amp; hotels, yachts, vip transfer, exclusive rental cars, concierge, experiences, mice</t>
  </si>
  <si>
    <t>Jackie Collins</t>
  </si>
  <si>
    <t>RT @SandraDanby: Books seen by the pool #amreading #CanaryIslands STRANGERS by @paulfinchauthor LETHAL SEDUCTION by @jackiejcollins https:/…</t>
  </si>
  <si>
    <t>Hollywood, CA</t>
  </si>
  <si>
    <t>Kick-ass writer!</t>
  </si>
  <si>
    <t>Driving through the area of #LaGeria in #Lanzarote is very differentto driving through any other plantation, don't… https://t.co/PD1zM7UAxY</t>
  </si>
  <si>
    <t>TEA Tenerife</t>
  </si>
  <si>
    <t>Tenerife. Islas Canarias.</t>
  </si>
  <si>
    <t>TEA Tenerife Espacio de las Artes es un centro del Cabildo de Tenerife, abierto a la participación social en los ámbitos de la cultura y el arte contemporáneos.</t>
  </si>
  <si>
    <t>Araphant</t>
  </si>
  <si>
    <t>Bogotá (Colombia)</t>
  </si>
  <si>
    <t>Un canario en Colombia.Lo que aquí escribo son son mis opiniones personales, si no le gustan sepa que no tengo otras.</t>
  </si>
  <si>
    <t>Coworking in the Sun</t>
  </si>
  <si>
    <t>Make your #digitalnomad dreams come true at Sunny Office in Gran Canaria. https://t.co/I4CVLQ4oIj #workation… https://t.co/Ay7sJMckAT</t>
  </si>
  <si>
    <t>Puerto de la Cruz, España</t>
  </si>
  <si>
    <t>Your workation destination in Tenerife. We provide a workspace, coliving &amp; a lot of know-how about our two favorite things: Online Marketing and our Island.</t>
  </si>
  <si>
    <t>valeria</t>
  </si>
  <si>
    <t>ÜT: 28.464152,-16.250596</t>
  </si>
  <si>
    <t>Espectacular dia soleado para despedir Noviembre en @Visitlpa #lasPalmas ##turismo #fotos #canarias #GranCanaria… https://t.co/kcry2XyoZk</t>
  </si>
  <si>
    <t>Matthew Hirtes</t>
  </si>
  <si>
    <t>One of the island's best rural hotels. @KaterinaBom @estodotuyo @TesorosCanarios @islaspromo #CanaryIslands #Spain https://t.co/r2Z9hgeo9i</t>
  </si>
  <si>
    <t>Going Local in Gran Canaria author covers Spain+ for the likes of Telegraph Travel &amp; The Huffington Post. Also Tweets as @GranCanLocal.</t>
  </si>
  <si>
    <t>Tweetaholiday</t>
  </si>
  <si>
    <t>RT @CanaryIslandsEN: 11 excellent reasons to visit #Tenerife https://t.co/4aYDJY0SgD #CanaryIslands #latitudeoflife via @eDreams_en https:/…</t>
  </si>
  <si>
    <t>Unforgettable holidays at discounted prices... Get in touch with one of our travel experts for that sunshine break in Paradise 🌴 (0161) 8182096 🌴</t>
  </si>
  <si>
    <t>RT @MatthewHirtes: One of the island's best rural hotels. @KaterinaBom @estodotuyo @TesorosCanarios @islaspromo #CanaryIslands #Spain https…</t>
  </si>
  <si>
    <t>RT @Selhso: @emocionesCan @paisajecanario @Salamanca_SSV @islaspromo @LpaVisit #CanaryIslands #BuenosDias #goodmorning #FelizMiercoles htt…</t>
  </si>
  <si>
    <t>Noita</t>
  </si>
  <si>
    <t xml:space="preserve">Iván </t>
  </si>
  <si>
    <t>De once mil maneras💫</t>
  </si>
  <si>
    <t>Hernàn Gòmez</t>
  </si>
  <si>
    <t>Profesional del Marketing, Innovación y Gestión Deportiva</t>
  </si>
  <si>
    <t>@IFA_Dunamar #Smile #HappyHolidays #ifadunamar #Maspalomas #GranCanaria #Photos #CanaryIslands #PlayadelIngles… https://t.co/kCHqZXsZwA</t>
  </si>
  <si>
    <t>Record-breaking ARC yacht arrives in Saint Lucia from the #CanaryIslands Read more at https://t.co/DwhbfaK6Jt</t>
  </si>
  <si>
    <t>CanaryIslandsEN: Record-breaking ARC yacht arrives in Saint Lucia from the #CanaryIslands Read more at https://t.co/DHm2zrgSVQ</t>
  </si>
  <si>
    <t>@IFA_Dunamar #Smile #HappyHolidays #ifadunamar #Maspalomas #GranCanaria #Photos #CanaryIslands #PlayadelIngles… https://t.co/S536VFCH3f</t>
  </si>
  <si>
    <t>@IFA_Dunamar #Smile #HappyHolidays #ifadunamar #Maspalomas #GranCanaria #Photos #CanaryIslands #PlayadelIngles… https://t.co/sFAUt38APU</t>
  </si>
  <si>
    <t>#Smile #HappyHolidays #Maspalomas #GranCanaria #Photos #CanaryIslands #PlayadelIngles #Canarias #IslasCanarias https://t.co/Z01MMQ3Nnt</t>
  </si>
  <si>
    <t>Un Paseo desde #PlayadelIngles a #SanAgustin #Smile #HappyHolidays #Maspalomas #GranCanaria #Photos… https://t.co/c5F0dHswTT</t>
  </si>
  <si>
    <t>The Canary</t>
  </si>
  <si>
    <t>From Gran Canaria: Gran Canaria wins 15 World #Cheese #Awards https://t.co/JhUqZt2loe #sunshine #canaryislands</t>
  </si>
  <si>
    <t>El Periódico Inglés de Gran Canaria - The Canary News. The only English language newspaper, for residents and visitors, reporting direct from Gran Canaria.</t>
  </si>
  <si>
    <t>TEXTURAS #lanzarote #loscharcones #texturas #charcones #grietas #paisaje #canaryislands… https://t.co/sjOu4t49TY</t>
  </si>
  <si>
    <t>gpriccardi</t>
  </si>
  <si>
    <t>che strano un paese che si chiama La Oliva ma ci sono solo palme #Fuerteventura #Canarias #Canarie #CanaryIslands https://t.co/vjz1NZ6VsW</t>
  </si>
  <si>
    <t>Milano, Lombardia</t>
  </si>
  <si>
    <t>fotografo-viaggiatore-vawehunter. que mas? ah si, il mio eroe è Arsenio Lupin. instagram: gpriccardi</t>
  </si>
  <si>
    <t>Karlos Alipio ☮✌</t>
  </si>
  <si>
    <t>Atardecer en #LasCanteras Love ❤ #sunset #GranCanaria #CanaryIslands #Canarias #ig_laspal… https://t.co/QDWxEEEgAZ https://t.co/O8AptAjN6C</t>
  </si>
  <si>
    <t>Gran Canaria &amp; Cantabria</t>
  </si>
  <si>
    <t>Aficionado a la fotografía, amante de la vida, la naturaleza, el internete y la tecnología.</t>
  </si>
  <si>
    <t>RT @DaQuteTravel: New Year's Eve in Las Palmas de Gran Canaria! https://t.co/lpymQP58yj #LPAvisit #CanaryIslands #NewYearsEve #NewYear #Las…</t>
  </si>
  <si>
    <t>Official translator, Ultra-Trail runner, 2-time-UTMB Finisher, 6-time-TransGC Finisher, Kilimanjaro summitter, traveller, Gran Canaria lover.</t>
  </si>
  <si>
    <t>Lisa Oram</t>
  </si>
  <si>
    <t>#beautiful #CanaryIslands https://t.co/gSdYbs1UWw</t>
  </si>
  <si>
    <t>Statesboro, GA</t>
  </si>
  <si>
    <t>Spirituality is an expression: I convey thoughts, words, pictures, videos in an attempt to touch the human pulse of our I AM/SOURCE of ALL THAT IS.</t>
  </si>
  <si>
    <t>RT @KarlosAlipio: Atardecer en #LasCanteras Love ❤ #sunset #GranCanaria #CanaryIslands #Canarias #ig_laspal… https://t.co/QDWxEEEgAZ https…</t>
  </si>
  <si>
    <t>PD. Pasito Blanco</t>
  </si>
  <si>
    <t>SWAN 80' ⛵️⚓️🇪🇸 #swan80 #canaryislands #puertodeportivopasitoblanco #pasitoblanco #grancanaria… https://t.co/4uPqCpnD8C</t>
  </si>
  <si>
    <t>San Bartolomé de Tirajana, España</t>
  </si>
  <si>
    <t>Alquiler de atraques, reparación y mantenimiento de embarcaciones, alquiler de yates, ...</t>
  </si>
  <si>
    <t>Kayak Bak</t>
  </si>
  <si>
    <t>The best skyline is here... #lanzarote #oceanlove #sunset #sky #canaryislands https://t.co/eHaUOOQolC https://t.co/lV2VYXWCme</t>
  </si>
  <si>
    <t>Isole Canarie, Spagna</t>
  </si>
  <si>
    <t>like my page https://t.co/k9OCxQgYrk</t>
  </si>
  <si>
    <t>Mari Ramos</t>
  </si>
  <si>
    <t>San Sebastián de La Gomera</t>
  </si>
  <si>
    <t>Todo en esta vida es más cuestión de ganas que de tiempo. Protección Civil La Gomera.</t>
  </si>
  <si>
    <t>White houses and white clouds. #lanzarote #atlantic #sea #canaryislands #caletadesebo… https://t.co/somnzaAFJW</t>
  </si>
  <si>
    <t>Uncertainty. #vacation #island #lagraciosa #canaryislands #lanzarote #sand #clouds @ Isla La… https://t.co/V9lYJll5mW</t>
  </si>
  <si>
    <t>A swirl of stone. #lanzarote #canaryislands #lagraciosa #volcano #vacation @ Isla La Graciosa https://t.co/V5SL2grt1l</t>
  </si>
  <si>
    <t>Infinity. #vacation #lagraciosa #canaryislands #lanzarote #road #sea #atlantic @ Isla La Graciosa https://t.co/gUGJhTpSEs</t>
  </si>
  <si>
    <t>It was all yellow. #atlantic #sea #lanzarote #canaryislands #volcano #lagraciosa #mountain… https://t.co/IgxoZ4cgh9</t>
  </si>
  <si>
    <t>Distance is relative. #lagraciosa #volcano #canaryislands #mountain #island #sea #atlantic… https://t.co/QBYKTJjj61</t>
  </si>
  <si>
    <t>Red mountain. #vacation #atlantic #sea #island #mountain #volcano #lanzarote #canaryislands #red… https://t.co/scaz3BNhMy</t>
  </si>
  <si>
    <t>Contrasts. #canaryislands #lanzarote #volcano #beach #atlantic #sea #island #lagraciosa @ Playa… https://t.co/5RmFJWFaVA</t>
  </si>
  <si>
    <t>lisiteasa</t>
  </si>
  <si>
    <t>The elusive sunshine. #lagraciosa #island #sea #atlantic #beach #lanzarote #canaryislands… https://t.co/kUM90h2dMY</t>
  </si>
  <si>
    <t>Mordor? #vacation #canaryislands #lanzarote #volcano #road #cloudsfactory @ Isla La Graciosa https://t.co/MN7M5nokZe</t>
  </si>
  <si>
    <t>Hugo Figueras Blanco</t>
  </si>
  <si>
    <t>RT @LanzMarathon: The Final Countdown... ¡¡10 días!! 🔜🏃🏻‍♀️🏃🏻 #lanzamarathon #nevergiveup #lanzaroteesd #canaryislands #marathon https://t.…</t>
  </si>
  <si>
    <t>Cervera, Catalunya</t>
  </si>
  <si>
    <t>Professor Educació Física https://t.co/KYa7e0mExH Atleta patrocinat https://t.co/TdNdAzvR0a i col•laboradors https://t.co/XhjcjGwa2m https://t.co/xiIKsxLC8j</t>
  </si>
  <si>
    <t>Majesty. #volcano #lanzarote #canaryislands #lagraciosa #vacation #mountain @ Isla La Graciosa https://t.co/60yuVVrI7f</t>
  </si>
  <si>
    <t>Leaving La Graciosa. #vacation #lagraciosa #canaryislands #lanzarote #port #sea #atlantic… https://t.co/FmyXZAUnc6</t>
  </si>
  <si>
    <t>Take a Polaroid picture: La Graciosa. #lagraciosa #lanzarote #canaryislands #volcano #polaroid… https://t.co/KZ4vF2YBod</t>
  </si>
  <si>
    <t>San Sebastian de la Gomera, a perfect sunny getaway https://t.co/8H38sgwiwO #CanaryIslands https://t.co/qlKyeLp3Ov</t>
  </si>
  <si>
    <t>It's time for a beer ;-) #CanaryIslands #latitudeoflife https://t.co/14Y0RUaDBB</t>
  </si>
  <si>
    <t>NickWoodIfHeCould</t>
  </si>
  <si>
    <t>RT @CanaryIslandsEN: It's time for a beer ;-) #CanaryIslands #latitudeoflife https://t.co/14Y0RUaDBB</t>
  </si>
  <si>
    <t>Barnsley, England</t>
  </si>
  <si>
    <t>https://t.co/nXAUoghSzE go have a little look :)</t>
  </si>
  <si>
    <t>Florencia González Q</t>
  </si>
  <si>
    <t>Regresos de un día especial... #tenerife #islascanarias #canaryislands #adeje @ Tenerife https://t.co/JiiodVOgQC</t>
  </si>
  <si>
    <t>Amante de la pintura, el dibujo, la fotografia, Disfruto del arte en todas sus manifestaciones. Facebook: Florencia Gonzalez Quiñones &amp; Arte y Fotografía</t>
  </si>
  <si>
    <t>CanaryIslandsEN: It's time for a beer ;-) #CanaryIslands #latitudeoflife https://t.co/MK7DHiZP08</t>
  </si>
  <si>
    <t>does e. toats</t>
  </si>
  <si>
    <t>MySweetApple Ass</t>
  </si>
  <si>
    <t>I love you more today than yesterday, but not as much as I shall tomorrow. Like my pussy pic? https://t.co/TuAW3DO36A</t>
  </si>
  <si>
    <t>imasillypirate</t>
  </si>
  <si>
    <t>RT @elastword: Distance is relative. #lagraciosa #volcano #canaryislands #mountain #island #sea #atlantic… https://t.co/QBYKTJjj61</t>
  </si>
  <si>
    <t>TweetCaster for Android</t>
  </si>
  <si>
    <t>San Diego, Ca</t>
  </si>
  <si>
    <t>I like physics, tea, math, and writing... and I'm rad. Check out my fiction at http://t.co/w9sST0kU7o</t>
  </si>
  <si>
    <t>Sol Duna</t>
  </si>
  <si>
    <t>Si la vida no te sonríe...¡¡¡hazle cosquillas!!!. Soy de Madrid y del Madrid.</t>
  </si>
  <si>
    <t>elena artuso</t>
  </si>
  <si>
    <t>• FLORES 🌷 • #Galdar #canaryislands #texture #architecture @ Gáldar Gran Canaria https://t.co/dAWNlyi7I7</t>
  </si>
  <si>
    <t>CF Cardiff Directory</t>
  </si>
  <si>
    <t>Wales, United Kingdom</t>
  </si>
  <si>
    <t>#Cardiff #Business and #Community Directory. Bringing local business to local people. Plus providing valuable information to welcome visitors of Cardiff</t>
  </si>
  <si>
    <t>#islabaja #lossilos #tenerife #tenerifelicidad #canarias #canaryislands #canariashoy… https://t.co/bBgnUu3uoG</t>
  </si>
  <si>
    <t>Vivian Machado Ytter</t>
  </si>
  <si>
    <t>SOS INTEGRAL,PORTAVOZ. SOCORRISTAS DE CANARIAS,PARTICIPNTE RESCUE 3 ESPAÑA</t>
  </si>
  <si>
    <t>#SantaCruzdeTenerife, get in the carnival mood https://t.co/zadc4ac3Lk #CanaryIslands https://t.co/dU2GSrzWiK</t>
  </si>
  <si>
    <t>¡Ñam ñam! #CanaryIslands #food @canarias_es @gastrocanarias @TenerifeBonjour @devourspain https://t.co/Gx1R1yhl9m</t>
  </si>
  <si>
    <t>Lucia</t>
  </si>
  <si>
    <t>Schwiiz , Sardigna</t>
  </si>
  <si>
    <t>CulturaNaturaMusicaChitarraTodoFlamencoSwimmingFree.D`Schwiiz hat es grosses Herz.What a Beautiful World we have</t>
  </si>
  <si>
    <t>Maria</t>
  </si>
  <si>
    <t>RT @MedCruiseGuide: San Sebastian de la Gomera, a perfect sunny getaway https://t.co/8H38sgwiwO #CanaryIslands https://t.co/qlKyeLp3Ov</t>
  </si>
  <si>
    <t>TheBrandAnalyst</t>
  </si>
  <si>
    <t>When did @McDonalds have their own ketchup? #CanaryIslands https://t.co/7ijSynhc48</t>
  </si>
  <si>
    <t>Exploring the World of Brands! Logos, Strategy, Advertising &amp; Marketing. https://t.co/9vtLARgs8F T|B|A</t>
  </si>
  <si>
    <t>Los Mandos De Borja</t>
  </si>
  <si>
    <t>Caminata de hoy 🚶🚶🚶 #NoFilter #Fuerteventura #IslasCanarias #ElCastillo #CanaryIslands #playa #beach #sun #sol… https://t.co/jvnnMllnE7</t>
  </si>
  <si>
    <t>Fuerteventura / Madrid</t>
  </si>
  <si>
    <t>Pole dance, games, movies &amp; more! MADRID / FUERTEVENTURA PSN: Borch_The_Posh YouTube: LosMandosDeBorja Fb: LosMandosDeBorja</t>
  </si>
  <si>
    <t>Tenerife SOCIAL</t>
  </si>
  <si>
    <t>Blogging about Los Cristianos, Tenerife! https://t.co/6LVdAkeXvr #tenerife #teneriffa #teneriffe #canarias… https://t.co/t1BBVXm3IN</t>
  </si>
  <si>
    <t>Exploring the hidden gems of TENERIFE</t>
  </si>
  <si>
    <t>Barbara Svehlakova</t>
  </si>
  <si>
    <t>Make your life a useful one, make this world a better place. I tweet and RT to support local &amp; global matters.</t>
  </si>
  <si>
    <t>mariajose lasala</t>
  </si>
  <si>
    <t>RT @UCAmIIWAAL: Share your experience! #UCAmI2016 #CanaryIslands https://t.co/JbrDELf8Sk</t>
  </si>
  <si>
    <t>Aprenc ensenyant. Aficions: TIC/TAC i els mons virtuals 3D. Equip Projecte Espurn@. Coordinació Espurnik (ICE-UAB). Coordinació Virtual Touch (UAM)</t>
  </si>
  <si>
    <t>GroovyHistorian</t>
  </si>
  <si>
    <t>RT @TheBrandAnalyst: When did @McDonalds have their own ketchup? #CanaryIslands https://t.co/7ijSynhc48</t>
  </si>
  <si>
    <t xml:space="preserve">london based but worldwide </t>
  </si>
  <si>
    <t>#history , all kinds of odd, old &amp; fun historical facts (anything to do with history) #groovyhistorian https://t.co/LA46j7CkFI</t>
  </si>
  <si>
    <t>No one said dressing up warm should be unstylish... ;-) https://t.co/27wlOPCVA3 #Canarias #CanaryIslands https://t.co/6xNE7W1xVq</t>
  </si>
  <si>
    <t>Los hervideros tout simplement #lanzarote #canaries #islascanarias #canaryislands #beach #loshervideros #playa https://t.co/brStwizpvQ</t>
  </si>
  <si>
    <t>Loro Parque in Tenerife, Canary Islands is a must to visit!! https://t.co/Bs9U52Xeh3 #travelblogger #canaryislands https://t.co/eNFw8LFjQi</t>
  </si>
  <si>
    <t>latiniqe</t>
  </si>
  <si>
    <t>@LocalizaloCan @TesorosCanarios @canarias_es @iFuerteventura @camaraftv #Fuerteventura #Canarias #CanaryIslands 🌅 https://t.co/d3fWzRykJr</t>
  </si>
  <si>
    <t>Gáldar, España</t>
  </si>
  <si>
    <t>Gran Canaria🛫 ✌Все происходит по причине💘</t>
  </si>
  <si>
    <t>Heather Parsons</t>
  </si>
  <si>
    <t>Tasmania</t>
  </si>
  <si>
    <t>Born in Aldershot Hampshire England 1964. I have been happily married to my husband Ray now for 19 years. Love learning about Ancient Greek and Roman history.</t>
  </si>
  <si>
    <t>Localízalo Canarias</t>
  </si>
  <si>
    <t>RT @DakotaLatiniqe: @LocalizaloCan @TesorosCanarios @canarias_es @iFuerteventura @camaraftv #Fuerteventura #Canarias #CanaryIslands 🌅 http…</t>
  </si>
  <si>
    <t>Tu guía de empresas canarias. Descárgate nuesta App gratuita para Android y para iOS: LocalizaloApp. Contrata tu publicidad en: info@localizaloencanarias.com</t>
  </si>
  <si>
    <t>Christian Baldi</t>
  </si>
  <si>
    <t>Non pretendere che gli altri facciano quello che vuoi...fai tu quello che ritieni sia giusto</t>
  </si>
  <si>
    <t>Érika Maciá</t>
  </si>
  <si>
    <t>Campaña en los medios de transporte londinenses para promover el turismo en las Islas canarias.FLIPO #CanaryIslands https://t.co/kTgFaxsIVY</t>
  </si>
  <si>
    <t>No todas las mujeres somos iguales, algunas somos publicistas. Graduada en Publicidad y RRPP.</t>
  </si>
  <si>
    <t>Tenerife Kitesurf</t>
  </si>
  <si>
    <t>#navidad #hohoho #santa #diciembre #christmas #december #kitesurf #kiteboarding #tenerife #canaryislands #spain… https://t.co/Bqyg90Yuib</t>
  </si>
  <si>
    <t>El Medano, Tenerife Spain</t>
  </si>
  <si>
    <t>Tenerife Kitesurf Official School since 1999 on Canary Islands by Sofia Rodriguez spanish champion 2002 info@tenerifekitesurf.com https://t.co/ctqvNkefOt</t>
  </si>
  <si>
    <t>By Anni Desings®</t>
  </si>
  <si>
    <t>Preparando chaquetas para las mamis y para las niñas......#handmade #regalaartesania #canaryislands</t>
  </si>
  <si>
    <t>Trabajos artesanales en ropa y complementos.</t>
  </si>
  <si>
    <t>QUESTION OF THE DAY from what Country do our products come? https://t.co/27wlOPCVA3 #CanaryIslands</t>
  </si>
  <si>
    <t>BARBARA</t>
  </si>
  <si>
    <t>Vicenza, Veneto</t>
  </si>
  <si>
    <t>Video #cruisechat, clips+tips on #Madeira, #Iberia #CanaryIslands #Cruise.https://t.co/xvEVulH1C3 https://t.co/Q2BCkHJa8p</t>
  </si>
  <si>
    <t>Video #cruisechat, clips+tips on #Madeira, #Iberia #CanaryIslands #Cruise.https://t.co/SM4udSrRDr https://t.co/6m6GqC8LKf</t>
  </si>
  <si>
    <t>Video #cruisechat, clips+tips on #Madeira, #Iberia #CanaryIslands #Cruise.https://t.co/oodFxcvZ31 https://t.co/AsKZCTTKNy</t>
  </si>
  <si>
    <t>Video #cruisechat, clips+tips on #Madeira, #Iberia #CanaryIslands #Cruise.https://t.co/Amvs2Y5Ln4 https://t.co/5Nu12G6emA</t>
  </si>
  <si>
    <t>Video #cruisechat, clips+tips on #Madeira, #Iberia #CanaryIslands #Cruise.https://t.co/er4wYhKP7Q https://t.co/aBGut6gYrK</t>
  </si>
  <si>
    <t>A very varied country is #Spain. You can find all of these in the #CanaryIslands alone. https://t.co/jhj4mpcp7D</t>
  </si>
  <si>
    <t>RT https://t.co/kD9FFa05kS Video #cruisechat, clips+tips on #Madeira, #Iberia #CanaryIslands #Cruise.https://… https://t.co/Idrm779FGg</t>
  </si>
  <si>
    <t>RT https://t.co/5tUvV6pOC2 Video #cruisechat, clips+tips on #Madeira, #Iberia #CanaryIslands #Cruise.https://… https://t.co/4rpTzsTEOV</t>
  </si>
  <si>
    <t>RT https://t.co/Ud9n1rM3Uo Video #cruisechat, clips+tips on #Madeira, #Iberia #CanaryIslands #Cruise.https://… https://t.co/Wx5ycaAgAN</t>
  </si>
  <si>
    <t>RT https://t.co/KpYgBzaisJ Video #cruisechat, clips+tips on #Madeira, #Iberia #CanaryIslands #Cruise.https://… https://t.co/dHrxEqFoDS</t>
  </si>
  <si>
    <t>RT https://t.co/tPI0WTWfaB Video #cruisechat, clips+tips on #Madeira, #Iberia #CanaryIslands #Cruise.https://… https://t.co/eJyYQIyztz</t>
  </si>
  <si>
    <t>Frank Magnin</t>
  </si>
  <si>
    <t>Maassluis, The Netherlands</t>
  </si>
  <si>
    <t>Implementatiemanager - Eigenaar Magnin Advies - Service Management - Hardloper - Reizen</t>
  </si>
  <si>
    <t>nala</t>
  </si>
  <si>
    <t>RT @bermaxo09: Un Paseo desde #PlayadelIngles a #SanAgustin #Smile #HappyHolidays #Maspalomas #GranCanaria #Photos #CanaryIslands #Ca…</t>
  </si>
  <si>
    <t>NY</t>
  </si>
  <si>
    <t>married to Kim and have a great son Kyle,who's 12 yrs old</t>
  </si>
  <si>
    <t>RT @bermaxo09: #Smile #HappyHolidays #Maspalomas #GranCanaria #Photos #CanaryIslands #PlayadelIngles #Canarias #IslasCanarias https://t.…</t>
  </si>
  <si>
    <t>RT @bermaxo09: @IFA_Dunamar #Smile #HappyHolidays #ifadunamar #Maspalomas #GranCanaria #Photos #CanaryIslands #PlayadelIngles #Canarias #…</t>
  </si>
  <si>
    <t>morrigans</t>
  </si>
  <si>
    <t>Una campaña que sólo se ve cuando se empaña el autobús #CanaryIslands - https://t.co/YuC4MyVKxn via @tiempodepubli</t>
  </si>
  <si>
    <t>Por cada respuesta que obtengo aparecen no una sino múltiples preguntas. Siempre adelante, siempre aprendiendo...</t>
  </si>
  <si>
    <t>Still waiting to know these 70% of the planet? #TenDive #Tenerife #CanaryIslands #Scuba #Diving #PADi #UTD #Spain https://t.co/7GBm4qrply</t>
  </si>
  <si>
    <t>#Meloneras #Smile #HappyHolidays #Maspalomas #GranCanaria #Photos #CanaryIslands #Canarias https://t.co/1Z05jLfIfM</t>
  </si>
  <si>
    <t>#Buenosdias #FelizJueves @Costa_Meloneras #Meloneras #Smile #HappyHolidays #Maspalomas #GranCanaria #Photos… https://t.co/L5ckBuDOUw</t>
  </si>
  <si>
    <t>Playa de Maspalomas #Meloneras #Smile #HappyHolidays #Maspalomas #GranCanaria #Photos #CanaryIslands… https://t.co/ePiDmcCPJ6</t>
  </si>
  <si>
    <t>Lighthouse in Black and White #FarodeMaspalomas #Meloneras #Smile #HappyHolidays #Maspalomas #GranCanaria… https://t.co/GkMQuO7Wp5</t>
  </si>
  <si>
    <t>Lighthouse in Black and White #FarodeMaspalomas #Meloneras #Smile #HappyHolidays #Maspalomas #GranCanaria… https://t.co/FwrR4e5z82</t>
  </si>
  <si>
    <t>Piolina Colt</t>
  </si>
  <si>
    <t>RT @morrigans: Una campaña que sólo se ve cuando se empaña el autobús #CanaryIslands - https://t.co/YuC4MyVKxn via @tiempodepubli</t>
  </si>
  <si>
    <t>¿Ubiqué?</t>
  </si>
  <si>
    <t>Disparando tonterías. Tcht... https://t.co/kj1t89LukJ https://t.co/CLKKYdRbdn</t>
  </si>
  <si>
    <t>Seen the I.N.O.X. PROFESSIONAL DIVER watch? Available in our stores! https://t.co/27wlOPCVA3 #canaryislands https://t.co/ytro632qso</t>
  </si>
  <si>
    <t>Love ❤ #sunrise 01/12/16 #Salinetas #Telde #GranCanaria #CanaryIslands #Canarias #ig_laspa… https://t.co/MLOcbxwjIM https://t.co/m8gr0wABAX</t>
  </si>
  <si>
    <t>ま＠札幌の人™</t>
  </si>
  <si>
    <t>RT @KarlosAlipio: Love ❤ #sunrise 01/12/16 #Salinetas #Telde #GranCanaria #CanaryIslands #Canarias #ig_laspa… https://t.co/MLOcbxwjIM https…</t>
  </si>
  <si>
    <t>Sapporo, JAPAN</t>
  </si>
  <si>
    <t>写真、詩、たま～にお絵描き（アナログ）。綺麗なものやお絵かきなどのRT多いです。その他雑多なツイート。男。※アイコンは頂いたものです。㌠。 Manga, photo, poetry, art lover. Male.</t>
  </si>
  <si>
    <t>Nora Walker</t>
  </si>
  <si>
    <t>If you want to know where your heart is look where your mind goes when it wanders.</t>
  </si>
  <si>
    <t>Amanecer #Diciembre #meteo #Tiempo #Maspalomas #GranCanaria #CanaryIslands https://t.co/xqsyLXSdtQ</t>
  </si>
  <si>
    <t>Ligeras nubes en este amanecer #Maspalomas #GranCanaria #meteo #CanaryIslands https://t.co/Iq6TiVJZqX</t>
  </si>
  <si>
    <t>Hike Tenerife</t>
  </si>
  <si>
    <t>A record-breaking 1553282 Britons visited Tenerife between January-September 2016 - https://t.co/oUHtF0GdZk #tenerife #canaryislands</t>
  </si>
  <si>
    <t>beautiful Tenerife</t>
  </si>
  <si>
    <t>we do walking holidays on the stunning island of Tenerife</t>
  </si>
  <si>
    <t>Cervantes School Ltd</t>
  </si>
  <si>
    <t>Sunny and warm Christmas anyone? #CanaryIslands #SunnySpain https://t.co/SBYBYD1akU</t>
  </si>
  <si>
    <t>School Online/offline: Helping students everywhere with Spanish, English, Portuguese, French, Italian, German, Chinese and more. cervanteslanguages@gmail.com</t>
  </si>
  <si>
    <t>Good Morning #Lanzarote #Canaryislands today Thursday 24ºC https://t.co/XJlilK2XeJ https://t.co/ildlCAjVF1</t>
  </si>
  <si>
    <t>Gary Hollywood</t>
  </si>
  <si>
    <t>🙀Happy 1st December all, time to start Xmas shopping 😂🎉#Christmas #December #Lanzarote #spain #CanaryIslands</t>
  </si>
  <si>
    <t>Scottish. Actor. Currently starring as Dino Doyle in the multi award winning Mrs Brown's Boys on @BBCone @mrsbrownsboys</t>
  </si>
  <si>
    <t>Ernesto Ancel</t>
  </si>
  <si>
    <t>Cuidado con llevarse piedras del Parque Nacional del Teide #IslasCanarias #CanaryIslands https://t.co/3zVqx9O4Sx</t>
  </si>
  <si>
    <t>#Marketing, #Graphicdesign, #CM, #Gamification. Politólogo en formación. Co-fundador del proyecto FS-freestyle, vinculado a deportes extremos y outdoor.</t>
  </si>
  <si>
    <t>RT @SuneHolidays: Good Morning #Lanzarote #Canaryislands today Thursday 24ºC https://t.co/XJlilK2XeJ https://t.co/ildlCAjVF1</t>
  </si>
  <si>
    <t>Hello December! #CanaryIslands #latitudeoflife https://t.co/g2i4duo8uF</t>
  </si>
  <si>
    <t>CanaryIslandsEN: Hello December! #CanaryIslands #latitudeoflife https://t.co/SvezZIwfIJ</t>
  </si>
  <si>
    <t>RT @CanaryIslandsEN: Hello December! #CanaryIslands #latitudeoflife https://t.co/g2i4duo8uF</t>
  </si>
  <si>
    <t>Ariel</t>
  </si>
  <si>
    <t>Cityzen #peakdistrict</t>
  </si>
  <si>
    <t>Francisco Javier</t>
  </si>
  <si>
    <t>A single idea from the human mind can build cities. An idea can transform the world and rewrite all the rules.</t>
  </si>
  <si>
    <t>agua de niebla garoé</t>
  </si>
  <si>
    <t>Twitter for Windows Phone</t>
  </si>
  <si>
    <t>Única agua premium obtenida directamente de las nubes mediante captadores de #niebla #mist #aguadeniebla #mistwater #garoe #agualternativa.com #agua #de #niebla</t>
  </si>
  <si>
    <t>Jesús</t>
  </si>
  <si>
    <t>Great presentation of #mk-sense platform by #JesusFavela #UCAmI2016 @UCAmIIWAAL #CanaryIslands #AmIHEALTH https://t.co/YugSfKjFoB</t>
  </si>
  <si>
    <t>PhD in Computer Science. Keep pushing!</t>
  </si>
  <si>
    <t>RT @jesus_fontecha: Great presentation of #mk-sense platform by #JesusFavela #UCAmI2016 @UCAmIIWAAL #CanaryIslands #AmIHEALTH https://t.co/…</t>
  </si>
  <si>
    <t>Viajes Teide</t>
  </si>
  <si>
    <t>Here a beautiful picture taken this morning in the south of #Tenerife The good weather still be here #canaryislands… https://t.co/y18FNmn0Tx</t>
  </si>
  <si>
    <t>The best way to discover to Tenerife with the best pice. Great excursions and great experience.</t>
  </si>
  <si>
    <t>James Beckley</t>
  </si>
  <si>
    <t>Owner @pearly_grey Timeshare/Holiday Resort ,Tenerife, this account is managed by my PA @lorah2k</t>
  </si>
  <si>
    <t>Let's start with a new conference day plenty of presentations #UCAmI2016 #Canaryislands #AmIHEALTH #IWAAL #HCI #IoT #Adhoc #Sensors</t>
  </si>
  <si>
    <t>Around here, we believe in keeping things warm #CanaryIslands #Latitudeoflife https://t.co/GXNkKwCDjN</t>
  </si>
  <si>
    <t>CanaryIslandsEN: Around here, we believe in keeping things warm #CanaryIslands #Latitudeoflife https://t.co/UhIDr9r5Jw</t>
  </si>
  <si>
    <t>Wonderful view of La Gomera from @Abama_Golf #Tenerife #LaGomera #CanaryIslands #golf https://t.co/8YYociwnGI</t>
  </si>
  <si>
    <t>Terrie Weather</t>
  </si>
  <si>
    <t>Weekly weather ☀️🌤😎reports on The Mix radio and filmed in #Lanzarote If you would like me to broadcast from where you are get in touch.</t>
  </si>
  <si>
    <t>This is what #GranCanaria looks like in December https://t.co/E5LOXuhrnG #CanaryIslands #wintersun https://t.co/zX1hhTLLAq</t>
  </si>
  <si>
    <t>Inmobiliaria ROCA</t>
  </si>
  <si>
    <t>Goodbye November Hello December.... #christmastime #🎄 #happypeople #CanaryIslands #lovecanarias… https://t.co/QgZv48AjRF</t>
  </si>
  <si>
    <t>Mogán, Islas Canarias</t>
  </si>
  <si>
    <t>Venta y alquiler de inmuebles.Todo el contenido de la inmobiliaria Roca en https://t.co/ybai1siNfz</t>
  </si>
  <si>
    <t>⚡Sara R.Ojeda⚡</t>
  </si>
  <si>
    <t>RT @AlexBramwellGC: This is what #GranCanaria looks like in December https://t.co/E5LOXuhrnG #CanaryIslands #wintersun https://t.co/zX1hhTL…</t>
  </si>
  <si>
    <t>Interesada en Derecho, ADR, privacidad y TIC's. Series, música, cine, deporte y libros. Filias sanas y fobias escasas.</t>
  </si>
  <si>
    <t>Goodbye November Hello December.... #christmastime #🎄 #happypeople #CanaryIslands #lovecanarias… https://t.co/h61vCPRxrm</t>
  </si>
  <si>
    <t>kristel</t>
  </si>
  <si>
    <t>love,laugh,Walt Disney,Prince,pizza.</t>
  </si>
  <si>
    <t>Hotel Botanico</t>
  </si>
  <si>
    <t>You deserve an unforgettable Christmas Eve, try something different: https://t.co/lN7xsNZ0mV #newyear #travel… https://t.co/4QkryZgwZZ</t>
  </si>
  <si>
    <t>Puerto de la Cruz (Tenerife)</t>
  </si>
  <si>
    <t>Hotel Gran Lujo 5 estrellas by @LeadingHotels en el Puerto de la Cruz (Tenerife) con el galardonado Oriental Spa Garden. Visite nuestra web y conózcanos.</t>
  </si>
  <si>
    <t>Everything you need, right by your side :-) Available in stores @ https://t.co/27wlOPCVA3 #canaryislands https://t.co/RGmaDuBRjO</t>
  </si>
  <si>
    <t>Joe Rafferty</t>
  </si>
  <si>
    <t>Northern Ireland</t>
  </si>
  <si>
    <t>Geek, PHD Candidate, Computer Scientist, Coffee Addict</t>
  </si>
  <si>
    <t>video #cruisechat +tips #GranCanaria #CanaryIslands #Cruise #Azura https://t.co/KaICmuG9db https://t.co/bluOdOdDdX</t>
  </si>
  <si>
    <t>RT @UCAmIIWAAL: Last presentation of the morning before the Opening #UCAmI2016 #AmIHEALTH Welcome everyone! #Canaryislands https://t.co/jEL…</t>
  </si>
  <si>
    <t>RT https://t.co/EDG1FP4lD7 video #cruisechat +tips #GranCanaria #CanaryIslands #Cruise #Azura … https://t.co/7ggzgJMvaX</t>
  </si>
  <si>
    <t>Top Ten Things to do at Christmas in Gran Canaria https://t.co/3Ypt1N18KZ #CanaryIslands #wintersun https://t.co/q57V9UHQsN</t>
  </si>
  <si>
    <t>Stephanie</t>
  </si>
  <si>
    <t>Throwback to Chilling like a Villain in the Sun 😢 #tbt #tenerife #canaryislands #holiday… https://t.co/ab3g41xQLM</t>
  </si>
  <si>
    <t>Showing the world how cool #Naturalhair is</t>
  </si>
  <si>
    <t>From Gran Canaria: ##Weather: Autumnal start to the #weekend https://t.co/PiLho8AnHV #news #canaryislands</t>
  </si>
  <si>
    <t>Flying over paradise / Isla de La Palma #CanaryIslands https://t.co/9taaLA1SzI @lapalma24 #Travel #IslaBonita</t>
  </si>
  <si>
    <t>A Beliebers Mum</t>
  </si>
  <si>
    <t>RT @mrgaryhollywood: 🙀Happy 1st December all, time to start Xmas shopping 😂🎉#Christmas #December #Lanzarote #spain #CanaryIslands</t>
  </si>
  <si>
    <t>Brisbane</t>
  </si>
  <si>
    <t>Im a Mum ! My passions are music, animals, Australia Zoo &amp; Melbourne Storm &amp; Mrs Browns Boys. Be the light in someones darkness</t>
  </si>
  <si>
    <t>Lorraine Black</t>
  </si>
  <si>
    <t>Gryffidndor Tower</t>
  </si>
  <si>
    <t>Computer Engineer and PhD student. Gryffindor lover of knowledge and Tea Addict.</t>
  </si>
  <si>
    <t>Keynote talk: "living in real and virtual worlds" by #XavierAlaman #UCAmI2016 #CanaryIslands https://t.co/g02wTRjrF7</t>
  </si>
  <si>
    <t>RT @swisshop4uEs: Everything you need, right by your side :-) Available in stores @ https://t.co/27wlOPCVA3 #canaryislands https://t.co/RGm…</t>
  </si>
  <si>
    <t>RT @swisshop4uEs: Seen the I.N.O.X. PROFESSIONAL DIVER watch? Available in our stores! https://t.co/27wlOPCVA3 #canaryislands https://t.co/…</t>
  </si>
  <si>
    <t>Dicky Morgan</t>
  </si>
  <si>
    <t>#tbt 🌺💐🎈#sisters #dickymorgan #lalaguna #tenerife #canaryislands https://t.co/8IaVsT6l6Z</t>
  </si>
  <si>
    <t>Dicky Morgan Vintage Boutique &amp; Gallery. Moda &amp; Arte C/ San Agustín, 75 La Laguna Tenerife Spain</t>
  </si>
  <si>
    <t>RT @TwiTenerifeGolf: Wonderful view of La Gomera from @Abama_Golf #Tenerife #LaGomera #CanaryIslands #golf https://t.co/8YYociwnGI</t>
  </si>
  <si>
    <t>Mandy Terbrueggen</t>
  </si>
  <si>
    <t>Manhattan, NY</t>
  </si>
  <si>
    <t>2017: Working Remotely &amp; traveling! January: Bali staying with Roam! February: Thailand, South Korea &amp; Australia!</t>
  </si>
  <si>
    <t>snookie66</t>
  </si>
  <si>
    <t>Hotels.tvGranCanaria</t>
  </si>
  <si>
    <t>RT @AlexBramwellGC: Top Ten Things to do at Christmas in Gran Canaria https://t.co/3Ypt1N18KZ #CanaryIslands #wintersun https://t.co/q57V9U…</t>
  </si>
  <si>
    <t>We are your local hotel booking agents in Gran Canaria, specialising in hand selecting hotels to suit individuals, families and group events.</t>
  </si>
  <si>
    <t>Carmelo Ruiz</t>
  </si>
  <si>
    <t>Nubes altas y bajas hoy en #grancanaria que no impiden ver #Fuerteventura con claridad. #canaryislands https://t.co/Lt3MtTCq32</t>
  </si>
  <si>
    <t>Gran Canaria - España</t>
  </si>
  <si>
    <t>Persiguiendo luz.Ciclista y aficionado a la fotografía.Enganchado a la montaña. --- Chasing light.Biker &amp; mountain jounkie. #mtb #photography #travel #meteo</t>
  </si>
  <si>
    <t>piscos y buches</t>
  </si>
  <si>
    <t>Como acabará este pulpo?? #MaestroJuan #piscosybuches #mercadodelpuerto #canaryislands #tasty #pulpo #food #foodie https://t.co/GYLPqN5FuX</t>
  </si>
  <si>
    <t>mercado del puerto, local 5</t>
  </si>
  <si>
    <t>Gourmet Canario con gastronomía canaria Y vinos exclusivamente de las islas</t>
  </si>
  <si>
    <t>quantom_food_bot</t>
  </si>
  <si>
    <t>RT @piscosybuches: Como acabará este pulpo?? #MaestroJuan #piscosybuches #mercadodelpuerto #canaryislands #tasty #pulpo #food #foodie https…</t>
  </si>
  <si>
    <t>quantom_nom</t>
  </si>
  <si>
    <t>@quantomworks' retweet bot! Follow me and @quantomworks with hashtags #food and #recipe for increased retweet chance!! Happy noming!</t>
  </si>
  <si>
    <t>Dawn Walker (Kilbee)</t>
  </si>
  <si>
    <t>One day I will spend #Xmas at @CorralejoLive 😍 Beautiful!! #takemeback #CanaryIslands #Fuerteventura https://t.co/57Ut9197TL</t>
  </si>
  <si>
    <t xml:space="preserve">Eynsham ~ Witney </t>
  </si>
  <si>
    <t>Married to @walks82 • 3 Lush Children • Love Kate Bush, Boats, Skiing, Planes • ECA @ @scas999 • Ambassador for @annsummers •</t>
  </si>
  <si>
    <t>Corralejo Live</t>
  </si>
  <si>
    <t>RT @ladywalks83: One day I will spend #Xmas at @CorralejoLive 😍 Beautiful!! #takemeback #CanaryIslands #Fuerteventura https://t.co/57Ut9197…</t>
  </si>
  <si>
    <t>Fuerteventura / Corralejo</t>
  </si>
  <si>
    <t>Live Daily Photos of the town we love / Fotos diarias de la ciudad que amamos!!! #Corralejo</t>
  </si>
  <si>
    <t>RT @swisshop4uEs: No one said dressing up warm should be unstylish... ;-) https://t.co/27wlOPCVA3 #Canarias #CanaryIslands https://t.co/6xN…</t>
  </si>
  <si>
    <t>Enrique</t>
  </si>
  <si>
    <t>#momentodulce #dulceria El relieve #laorotava #tenerife #islascanarias #canaryislands #canarias https://t.co/iB4a2o2ELS</t>
  </si>
  <si>
    <t>La Laguna</t>
  </si>
  <si>
    <t>Técnico Superior de Prevención de Riesgos Laborales - Doctor en Ciencias Químicas.</t>
  </si>
  <si>
    <t>Megg</t>
  </si>
  <si>
    <t>RT @bh_oceano: Happy Wednesday @EmocionesCan #lanzarote #canaryislands #islascanarias #beach #horizon #summer #vacation #sunrise #paradise…</t>
  </si>
  <si>
    <t>Twitter for Windows</t>
  </si>
  <si>
    <t>Sueña, Siente, Mira</t>
  </si>
  <si>
    <t>Check out the top three MOST POPULAR WINTER DESTINATIONS https://t.co/yiaAGZt3ay @GHmagazine #CanaryIslands https://t.co/3yVlFxIUg2</t>
  </si>
  <si>
    <t>Grasias de nuevo 🌊⚡️ #surf #waves #fuerteventura #canaryislands #friends #ocean #water #nature… https://t.co/RVV2DJOxyN</t>
  </si>
  <si>
    <t>Meirion Jones</t>
  </si>
  <si>
    <t xml:space="preserve"> Llanrhos - North Wales</t>
  </si>
  <si>
    <t>⛳ Golfer (4 h'cap) - Cycling - Leeds Utd -Bangor City - F&amp;B - Coffee &amp; Ice cream -Events @mochaexpressNW ☕🍦 Instagram:meirion1965</t>
  </si>
  <si>
    <t>Karmele</t>
  </si>
  <si>
    <t>Beach ❤</t>
  </si>
  <si>
    <t>Surf ✈ Enganchada ✈♥✈aeronáutica ✈♥ ✴Ametsik gabeko bizia, izarrik gabeko gaua✴</t>
  </si>
  <si>
    <t>meteograncanaria.com</t>
  </si>
  <si>
    <t>RT @meloki2: Nubes altas y bajas hoy en #grancanaria que no impiden ver #Fuerteventura con claridad. #canaryislands https://t.co/Lt3MtTCq32</t>
  </si>
  <si>
    <t>Recopilatorio de información meteorológica de las Islas Canarias https://t.co/KDl9VH3zff</t>
  </si>
  <si>
    <t>Melia Hacienda</t>
  </si>
  <si>
    <t>It's December and we have these views... Only possible in The Canary Islands ;) #CanaryIslands #MeliaHacienda… https://t.co/OS80Pkn6Gg</t>
  </si>
  <si>
    <t>Buenavista del Norte, España</t>
  </si>
  <si>
    <t>Hotel de lujo, sólo para adultos, situado en un enclave privilegiado frente al mar.</t>
  </si>
  <si>
    <t>Tiny boats. #vacation #canaryislands #lanzarote #arrecife #boat #sea #atlantic #charcodesangines… https://t.co/kBldcOJQjw</t>
  </si>
  <si>
    <t>The gates to the castle. #atlantic #sea #arrecife #castle #lanzarote #canaryislands #vacation… https://t.co/qF3CCIVYhy</t>
  </si>
  <si>
    <t>Guarding the city. #castillodesangabriel #vacation #canaryislands #lanzarote #castle #sea… https://t.co/2F43UA4V8A</t>
  </si>
  <si>
    <t>Calm. #atlantic #sea #lanzarote #canaryislands #arrecife #boats @ Arrecife https://t.co/XQltgF0yLf</t>
  </si>
  <si>
    <t>Goodbye clear waters of Lanzarote. #arrecife #canaryislands #lanzarote #sea #atlantic #beach… https://t.co/TjuT9njoZS</t>
  </si>
  <si>
    <t>Lanzarote ESD</t>
  </si>
  <si>
    <t>If you love sports, you want to train thoroughly and relax between magical volcanic landscapes under the sun, Lanzarote is your sports destination.</t>
  </si>
  <si>
    <t>#LaDolceVita #Tenerife #canaryislands #spain #holiday #vacation @ Tenerife, Playa De Las Americas https://t.co/pN7Z8buMg4</t>
  </si>
  <si>
    <t>Take a Polaroid picture: Arrecife. #vacation #atlantic #sea #lanzarote #canaryislands #polaroid… https://t.co/MQpEyumOVL</t>
  </si>
  <si>
    <t>An awesome place to be this Festive Season! :) #CanaryIslands https://t.co/9vqo0fP96V</t>
  </si>
  <si>
    <t>Meteo RTVC</t>
  </si>
  <si>
    <t>Vicky Palma. Física. Cuenta oficial de Meteorología de @RTVCes y @Laautonomica. Medalla de Oro de Canarias 2014. Email: meteo@tvcanaria.tv</t>
  </si>
  <si>
    <t>TfeStandUpPaddle</t>
  </si>
  <si>
    <t>RT @TfeKitesurf: #navidad #hohoho #santa #diciembre #christmas #december #kitesurf #kiteboarding #tenerife #canaryislands #spain #holidays…</t>
  </si>
  <si>
    <t xml:space="preserve">El Medano, Tenerife </t>
  </si>
  <si>
    <t>Tenerife Stand Up Paddle School based in El Medano and powered by @tfekitesurf School. Excursions, tríps and much fun around the island.</t>
  </si>
  <si>
    <t>RT @MeliaHacienda: It's December and we have these views... Only possible in The Canary Islands ;) #CanaryIslands #MeliaHacienda #AlwaysSu…</t>
  </si>
  <si>
    <t>Pedro D. Carballo</t>
  </si>
  <si>
    <t>#Beach #walks #Tenerife #canaryislands #Spain #holiday #vacation #sun #sunshine #clouds #sky… https://t.co/9xIYQVbk7R</t>
  </si>
  <si>
    <t>Abama Golf</t>
  </si>
  <si>
    <t>Kitesurfer</t>
  </si>
  <si>
    <t>Kitesurfers.io GH</t>
  </si>
  <si>
    <t>Marseille, France</t>
  </si>
  <si>
    <t>#kitesurf, news et dépressions généralisées à moins de 1023 hPa avec de la glisse, du vent et de l'eau salée. Back to the roots of flying clean #oceans.</t>
  </si>
  <si>
    <t>Michelle Macneil</t>
  </si>
  <si>
    <t>Federica Carducci</t>
  </si>
  <si>
    <t>#surfing in #bajamar #surfingphotography #surfeando #surf #ocean #atlanticocean #canaryislands… https://t.co/fJvq2Dn2EK</t>
  </si>
  <si>
    <t>woosh and #pwoosh</t>
  </si>
  <si>
    <t>Eynur Çetin</t>
  </si>
  <si>
    <t>RT @bermaxo09: Ligeras nubes en este amanecer #Maspalomas #GranCanaria #meteo #CanaryIslands https://t.co/Iq6TiVJZqX</t>
  </si>
  <si>
    <t>Körfez, Türkiye</t>
  </si>
  <si>
    <t>100/100. geri dönüş.....</t>
  </si>
  <si>
    <t>Karry Boo</t>
  </si>
  <si>
    <t>France.</t>
  </si>
  <si>
    <t>BluesRock Music, Harley Davidson, Formula1, McLaren Team F1; Canary islands</t>
  </si>
  <si>
    <t>Teresa Clemente Diaz</t>
  </si>
  <si>
    <t>#Atardecer #Secuencias de #hoy 🍂 #Microclima ☁ #tenerifereviews #Tenerife #canaryislands… https://t.co/ujTfHlne0d</t>
  </si>
  <si>
    <t>NO PREGUNTES POR SABER.... EL TIEMPO TE LO DIRÁ...... http://t.co/uPjeCA8VlH Y http://t.co/IWjntewMLB http://t.co/vwX1yAf6AP</t>
  </si>
  <si>
    <t>TravelwithMatt</t>
  </si>
  <si>
    <t>Relaxing @pandocruises around #CanaryIslands &amp; #Portugal. 12 nights, 2 April. Family of 4 from £4716:… https://t.co/2Z5aBkzFki</t>
  </si>
  <si>
    <t>Merton, London</t>
  </si>
  <si>
    <t>Helping you find the holiday you deserve | 0203 642 6570 | matt.hills@travelcounsellors.com</t>
  </si>
  <si>
    <t>#benijo beach in #Tenerife. One of the most photogenic beaches of the #CanaryIslands. Shot with @LucrOit,… https://t.co/OUbuf4cqiG</t>
  </si>
  <si>
    <t>JPinFuerteventura</t>
  </si>
  <si>
    <t>Stunning sunset tonight on the dog walk #Fuerteventura #sunset #CanaryIslands https://t.co/S95JF1Iy8f</t>
  </si>
  <si>
    <t>Fuerteventura</t>
  </si>
  <si>
    <t>Living and playing in Fuerteventura in the Canary islands. Make Youtube videos - https://t.co/km5CejvPAU</t>
  </si>
  <si>
    <t>Ramón Suárez Ojeda</t>
  </si>
  <si>
    <t>maspalomas</t>
  </si>
  <si>
    <t>Concejal de Turismo de San Bartolomé de Tirajana - Maspalomas CostaCanaria (Gran Canaria) - #climasaludable</t>
  </si>
  <si>
    <t>Me and Daddy Cool. #father #daughter #parent #child #family #Tenerife #spain #canaryislands… https://t.co/1PPKe4zYkd</t>
  </si>
  <si>
    <t>#sunset #blancoynegro #tenerife #tenerifelicidad #canarias #canaryislands #canariashoy… https://t.co/nu9mVEQ27U</t>
  </si>
  <si>
    <t>Danny Smith</t>
  </si>
  <si>
    <t>Fantastic Canary Islands Christmas Cruise only £999! More here https://t.co/Bk2qfp7PwI Image @pandocruises… https://t.co/vYAggp7AYY</t>
  </si>
  <si>
    <t>Digital Marketing VA for the Cruise and Travel Industries.</t>
  </si>
  <si>
    <t>About2Cruise</t>
  </si>
  <si>
    <t>Fantastic Canary Islands Christmas Cruise only £999! More here https://t.co/kVcLgYh2cv Image @pandocruises… https://t.co/QJxe0nA7sg</t>
  </si>
  <si>
    <t>Read our Cruise Blog here http://t.co/dMrshvR4sO</t>
  </si>
  <si>
    <t>Disfrutando del mar #PaseodeMeloneras #Meloneras #Smile #HappyHolidays #Maspalomas #GranCanaria #Photos… https://t.co/vfd4jDV7t9</t>
  </si>
  <si>
    <t>Atardecer frente al Faro de Maspalomas #FarodeMaspalomas #Meloneras #Smile #HappyHolidays #Maspalomas… https://t.co/MtIa4t4h8P</t>
  </si>
  <si>
    <t>Atardecer paseando en Maspalomas #FarodeMaspalomas #Meloneras #Smile #HappyHolidays #Maspalomas #GranCanaria… https://t.co/c6kA1XFStH</t>
  </si>
  <si>
    <t>Playa de Maspalomas #PlayadeMaspalomas #Meloneras #Smile #HappyHolidays #Maspalomas #GranCanaria #Photos… https://t.co/3kh8xNoaLF</t>
  </si>
  <si>
    <t>Sunset @playasencanto Maspalomas #PlayadeMaspalomas #Meloneras #Smile #HappyHolidays #Maspalomas #GranCanaria… https://t.co/VRqGZ2pFiH</t>
  </si>
  <si>
    <t>Dunas @playasencanto Maspalomas #PlayadeMaspalomas #Meloneras #Smile #HappyHolidays #Maspalomas #GranCanaria… https://t.co/11aTbUiLkt</t>
  </si>
  <si>
    <t>Emma Thomas</t>
  </si>
  <si>
    <t>In Gran Canaria for a couple of days. Always a good spot for sand dunes and sunsets #Travel #Spain #CanaryIslands https://t.co/77qrLPmmQT</t>
  </si>
  <si>
    <t>Bedford UK</t>
  </si>
  <si>
    <t>Passionate about travel, conservation, adventure, skiing and diving.</t>
  </si>
  <si>
    <t>The #CanaryIslands Photo Of The Month could be yours #photography #competition https://t.co/sEUugXMv5S</t>
  </si>
  <si>
    <t>CanaryIslandsEN: The #CanaryIslands Photo Of The Month could be yours #photography #competition https://t.co/dLM15FoYk7</t>
  </si>
  <si>
    <t>Zippy Sandler</t>
  </si>
  <si>
    <t>RT @dansmithVL: Fantastic Canary Islands Christmas Cruise only £999! More here https://t.co/Bk2qfp7PwI Image @pandocruises #canaryislands #…</t>
  </si>
  <si>
    <t xml:space="preserve">MIA to MCO, BOS, &amp; LGA to EWR </t>
  </si>
  <si>
    <t>Travel/lifestyle blogger &amp; freelance journalist #influencer Pitch #presstrips, products, events to: zippy@champagnelivingmedia.com</t>
  </si>
  <si>
    <t>@playasencanto Maspalomas #PlayadeMaspalomas #Meloneras #Smile #HappyHolidays #Maspalomas #GranCanaria #Photos… https://t.co/hNpKQEWNRa</t>
  </si>
  <si>
    <t>Sunset Maspalomas #PlayadeMaspalomas #Meloneras #Smile #HappyHolidays #Maspalomas #GranCanaria #Photos… https://t.co/eAt60gLVGs</t>
  </si>
  <si>
    <t>Canary WaterSports</t>
  </si>
  <si>
    <t>Today was #magical @ https://t.co/We21Y5hR4s 💙 #watersport #jetski #puertorico #amadores #mogan #grancanaria… https://t.co/tV0gZg4tLY</t>
  </si>
  <si>
    <t>Canary WaterSports offers 5 activities; Parascending, Jet Ski and Banana ride, get an adrenaline rush on the Jet Boat or learn to fly with the Jetovator!!!</t>
  </si>
  <si>
    <t>Marlowe</t>
  </si>
  <si>
    <t>Los Gigantes, Tenerife #cliff #cliffs #losgigantes #tenerife #canarias #canaryislands #nof… https://t.co/1IFMgNJHqe https://t.co/AbqWToFHQa</t>
  </si>
  <si>
    <t>Manchester, Kraków, Andrychów</t>
  </si>
  <si>
    <t>Director at Total Entertainment Ltd. TotalGames.pl | TotalKawalerski.pl | autor marlowe.pl</t>
  </si>
  <si>
    <t>Krasnov</t>
  </si>
  <si>
    <t>#CanaryIslands of #Spain, where 85,000 #podencos live and die in horrendous conditions https://t.co/viUoVIjWYK #StopGreyhoundTorture #News</t>
  </si>
  <si>
    <t>Voice for the voiceless Earthlings=ALLOfUs #SaveThePlanet #friendsnotfood #ARA #vegan #AnimalsHaveRights #veganssupportingvegans #BC2M #OpBeast #PayItForward 💜</t>
  </si>
  <si>
    <t>RT @bermaxo09: Sunset Maspalomas #PlayadeMaspalomas #Meloneras #Smile #HappyHolidays #Maspalomas #GranCanaria #Photos #CanaryIslands ht…</t>
  </si>
  <si>
    <t>JESS Kalinowsky</t>
  </si>
  <si>
    <t>#Tenerife is the largest of the #CanaryIslands, a chain in the eastern #Atlantic Ocean off the coast of #Africa.... https://t.co/mQkJFsUd4R</t>
  </si>
  <si>
    <t>West Hollywood CA 90069-9309</t>
  </si>
  <si>
    <t>Professional Travel Consultant 25+ years same location in Los Angeles CA USA Traveled to 133 destinations around the world EMAIL JESS@FriendsTravel.com 24/7/365</t>
  </si>
  <si>
    <t>Martin A.</t>
  </si>
  <si>
    <t>RT @greennomad61: #CanaryIslands of #Spain, where 85,000 #podencos live and die in horrendous conditions https://t.co/viUoVIjWYK #StopGreyh…</t>
  </si>
  <si>
    <t>Deutschland</t>
  </si>
  <si>
    <t>I know it's only rock and roll but I like it! Love QUEEN! Vegetarian, animal lover,dog owner( GSD)or should I say: my dog owns me?End all animal abuse!</t>
  </si>
  <si>
    <t>RT @CanaryIslandsEN: Around here, we believe in keeping things warm #CanaryIslands #Latitudeoflife https://t.co/GXNkKwCDjN</t>
  </si>
  <si>
    <t>Navin Khemlani</t>
  </si>
  <si>
    <t>The #CanaryIslands attract 43% more #conference #tourism and generate almost 31m€ https://t.co/29qaQ9qADX #tourismconvention #hub</t>
  </si>
  <si>
    <t>expert in guiding #SMEs for #internationalisation in #WestAfrica &amp; #FDI in the #CanaryIslands. General Secretary of the West African City Network</t>
  </si>
  <si>
    <t>Gerson Diaz</t>
  </si>
  <si>
    <t>#Arrecife #Lanzarote #CanaryIslands #spain #xiaomionly #xiaomi #vsco #everydaycanaryislands… https://t.co/E0urwLhe9d</t>
  </si>
  <si>
    <t>Photographer and survivor.</t>
  </si>
  <si>
    <t>Le vignoble de la Geria à #lanzarote au soleil couchant #canaries #islascanarias #canaryislands #lageria #wine… https://t.co/upvOi5M4je</t>
  </si>
  <si>
    <t>Thereza Pérez</t>
  </si>
  <si>
    <t>#lascanteras #playadelascanteras @Kaliseparatodos @asi_esta_GC @Canarias_Hoy #grancanaria #canarias #islascanarias… https://t.co/nsxhWtkSbT</t>
  </si>
  <si>
    <t>Le jardin de cactus de Manrique à #lanzarote #canaries #islascanarias #canaryislands #cactus #cactusparadise… https://t.co/lDStyo0O6w</t>
  </si>
  <si>
    <t>#PalmitosPark #GranCanaria #islascanarias#canarias #IslasCanarias #CanaryIslands https://t.co/sCenT7vgu4</t>
  </si>
  <si>
    <t>Visit our four stores in the #canaryislands and see the new cool range called SWATCH POP... https://t.co/27wlOPCVA3 https://t.co/ELh5Hut0uc</t>
  </si>
  <si>
    <t>-0 Lanzarote. 😍🏝 #canaryislands https://t.co/DIlcfA0cUv</t>
  </si>
  <si>
    <t>IG:ibizaLuci</t>
  </si>
  <si>
    <t>#TBT Enjoying the epic views on the #CanaryIslands 💚 🌴 #Holiday #pblove #whooty #wanderlust #happyhiking… https://t.co/p9JoPUotdd</t>
  </si>
  <si>
    <t>Snapchat: ibizaLuci.com</t>
  </si>
  <si>
    <t>Only 18+ 🌟 Bi | WorldTravelling | Brazilian | Camgirl | Model 🌟 My store https://t.co/mYaHd3yls8 🌞 Free Live Chat &amp; 24/7 https://t.co/DWvXLmKp5r 🌞</t>
  </si>
  <si>
    <t>Jana Cova</t>
  </si>
  <si>
    <t>RT @IbizaLuci: #TBT Enjoying the epic views on the #CanaryIslands 💚 🌴 #Holiday #pblove #whooty #wanderlust #happyhiking #Thonglessthursday…</t>
  </si>
  <si>
    <t xml:space="preserve">Czech Republic </t>
  </si>
  <si>
    <t>Int'l Glamour model, 100's of Mag &amp; Vid credits &amp; worked with the best productions and photographers in the adult business. http://t.co/DVgKLeiGXn</t>
  </si>
  <si>
    <t>Elena В®</t>
  </si>
  <si>
    <t>*\(^o^)/* - любое совместное существование превращается в «войну всех против всех». Юмор ... ⚔️🛩</t>
  </si>
  <si>
    <t>саша удут</t>
  </si>
  <si>
    <t>Leg Lover</t>
  </si>
  <si>
    <t>Chicago, IL</t>
  </si>
  <si>
    <t>(18+) Sharing my love of the much under appreciated female lower body. Just the hottest women with the sexiest #LEGS 📷 IG leg.lover 📷 Avi is @lisaboyle09</t>
  </si>
  <si>
    <t>B</t>
  </si>
  <si>
    <t xml:space="preserve">Baltimore, MD </t>
  </si>
  <si>
    <t>It's like deja vu all over again! * #StayHorny my friends * 18+ only * Helping support the #GirlsOfTwitter * This ain't my first rodeo</t>
  </si>
  <si>
    <t>@emocionesCan @paisajecanario @Salamanca_SSV @islaspromo @LpaVisit #CanaryIslands #goodnight #buonanotte… https://t.co/1hZPzeq2r1</t>
  </si>
  <si>
    <t>Leo</t>
  </si>
  <si>
    <t>Mexico</t>
  </si>
  <si>
    <t>Only 18+ years old.What can I say, I just love girls.</t>
  </si>
  <si>
    <t>Just Hot Chicks</t>
  </si>
  <si>
    <t>Hotchickland</t>
  </si>
  <si>
    <t>The name says it all. Hot chicks, no dicks. You have a retweet button, USE IT! Don't quote me.</t>
  </si>
  <si>
    <t>Penelope Oliver</t>
  </si>
  <si>
    <t>RT @MandosDeBorja: Caminata de hoy 🚶🚶🚶 #NoFilter #Fuerteventura #IslasCanarias #ElCastillo #CanaryIslands #playa #beach #sun #sol #verano #…</t>
  </si>
  <si>
    <t>Massachusetts</t>
  </si>
  <si>
    <t>Hi i'm Lindsey and Hunter is perfect 7/6/13 &amp; 5/3/14 &amp; 5/31/15</t>
  </si>
  <si>
    <t>Canarias Cycling</t>
  </si>
  <si>
    <t>Sharing this nice photo of our friend Omar Medina riding around Tenerife. #loveride #tenerife #canaryislands https://t.co/nF758RK8c9</t>
  </si>
  <si>
    <t>Personal planner for cycling holidays in Canary Islands. Hotels, bikes, tours, routes, guide, rent a car. Face the challenge!!!</t>
  </si>
  <si>
    <t>jose rs</t>
  </si>
  <si>
    <t>OPERADOR DE TRACTOCAMION</t>
  </si>
  <si>
    <t>RT @Tenerife_Photo: #benijo beach in #Tenerife. One of the most photogenic beaches of the #CanaryIslands. Shot with @LucrOit, @FormattHite…</t>
  </si>
  <si>
    <t>Avinash K Singh</t>
  </si>
  <si>
    <t>WanderCrumbs bot</t>
  </si>
  <si>
    <t>Bengaluru, India</t>
  </si>
  <si>
    <t>Wander | Earth | Nature Designer/Developer/Traveller Follow my crumbs to WanderLust. Experience Comic Con 2016</t>
  </si>
  <si>
    <t>We have some new products in store... 👌🏼 https://t.co/27wlOPCVA3 #VICTORINOX #CanaryIslands https://t.co/Ff1noiWbht</t>
  </si>
  <si>
    <t>I♥girls</t>
  </si>
  <si>
    <t>Venezuela</t>
  </si>
  <si>
    <t>soy fiel fan de las mujeres con ansias de sexo, aquellas que llevan la pasion mas alla. fiel seguidor del porno. el sexo no tiene limites. I love oral sex</t>
  </si>
  <si>
    <t>AlexanderGeistlinger</t>
  </si>
  <si>
    <t>Vivir en El Golfo - Leben im El Golfo - Living in El Golfo. #ElHierro #Canarias #Kanaren #CanaryIslands #ElGolfo… https://t.co/y4IAetrYou</t>
  </si>
  <si>
    <t>Tengo sangre europea ... Lo que me importa también en https://t.co/GLj9S8EzOT</t>
  </si>
  <si>
    <t>The Honey Hole</t>
  </si>
  <si>
    <t>* MALE *</t>
  </si>
  <si>
    <t>18+ NSFW - This is your Honey Hole of the sexiest ladies on twitter, among other things. DM me S/O pics. Snapchat promo honey-hole2 《Header: @Ashley_Haze 》</t>
  </si>
  <si>
    <t>#MerryChristmas from sunny #CanaryIslands #Travel #Tourism @ Canary Islands https://t.co/KXhc8RZc4l</t>
  </si>
  <si>
    <t>Gustavo Domínguez</t>
  </si>
  <si>
    <t>Gran Canaria (Tejeda y LPGC)</t>
  </si>
  <si>
    <t>37 años observando el cielo cada día y nunca he visto uno igual que otro...</t>
  </si>
  <si>
    <t>Barbie</t>
  </si>
  <si>
    <t>Best Stars of Porn</t>
  </si>
  <si>
    <t>san francisco</t>
  </si>
  <si>
    <t>Home of the friendly, fun, and super hot ladies who make adult movies and much more.</t>
  </si>
  <si>
    <t>Rito Vieira</t>
  </si>
  <si>
    <t>Sintra. Portugal</t>
  </si>
  <si>
    <t>Sou filho de Deus.</t>
  </si>
  <si>
    <t>Cheché!</t>
  </si>
  <si>
    <t>Aprendí de la universidad de la vida que lo que anhelas debes luchar por conseguirlo, no te entregues al conformismo,siempre inténtalo.La vida es una sola.</t>
  </si>
  <si>
    <t>@josdaz841</t>
  </si>
  <si>
    <t xml:space="preserve">C R </t>
  </si>
  <si>
    <t>Mmmm me encanta las damas muy sexi i caliente.....</t>
  </si>
  <si>
    <t>Books seen by the pool #amreading #CanaryIslands RAZOR GIRL by Carl Hiassen THE WIDOW by @figbarton https://t.co/z22b7jlHwx</t>
  </si>
  <si>
    <t>Angelique</t>
  </si>
  <si>
    <t>18+ Dec 2014&amp; Nov 2015 In #Passie magazine Febr 2015 in #Foxy Magazine March 2015 in #Panorama Magazine :) #TGOT18 #KKsAngels #TeamBoudoir #MilfieClub #KBGIRL</t>
  </si>
  <si>
    <t>Lanzarote we are coming. 🏖🏝🙌 #mancamelissa #mancamasse #canaryislands — in viaggio verso Lanzarote da Orio... https://t.co/VST6FZgrLO</t>
  </si>
  <si>
    <t>Hotel @IFAFaro #PlayadeMaspalomas #Meloneras #Smile #HappyHolidays #Maspalomas #GranCanaria #Photos… https://t.co/EE6lE93sKN</t>
  </si>
  <si>
    <t>Hotel @IFAFaro #PlayadeMaspalomas #Meloneras #travel #Smile #HappyHolidays #Maspalomas #GranCanaria #Photos… https://t.co/RMPSRjBXcS</t>
  </si>
  <si>
    <t>Carril Bici... Running #PlayadeMaspalomas #Meloneras #travel #Smile #HappyHolidays #Maspalomas #GranCanaria… https://t.co/Sdmqsv4Y61</t>
  </si>
  <si>
    <t>Magico Sunset #PlayadeMaspalomas #Meloneras #travel #FarodeMaspalomas #Smile #HappyHolidays #Maspalomas… https://t.co/fQss7qppxO</t>
  </si>
  <si>
    <t>Magico Sunset #PlayadeMaspalomas #Meloneras #travel #FarodeMaspalomas #Smile #HappyHolidays #Maspalomas… https://t.co/rCdp73jik3</t>
  </si>
  <si>
    <t>Magico Sunset #PlayadeMaspalomas #Meloneras #travel #FarodeMaspalomas #Smile #HappyHolidays #Maspalomas… https://t.co/pLZ8UZWWhR</t>
  </si>
  <si>
    <t>Magico Sunset #PlayadeMaspalomas #Meloneras #travel #FarodeMaspalomas #Smile #HappyHolidays #Maspalomas… https://t.co/OPTpo83DMN</t>
  </si>
  <si>
    <t>LAVLAV</t>
  </si>
  <si>
    <t>Somos Patrimonio Cultural ❤ #CanaryIslands #IsoleCanarie #nature #heritage #spain https://t.co/z7X20lVvoz</t>
  </si>
  <si>
    <t>Diseñadores, Pensadores y Artistas |DiseñoWeb | EducaciónCreativa |</t>
  </si>
  <si>
    <t>Micoo</t>
  </si>
  <si>
    <t>Alexandria, Egypt</t>
  </si>
  <si>
    <t>Photography Beauty TV Movies</t>
  </si>
  <si>
    <t>Here comes Friday 👍❤️💃🏻#Lanzarote #spain #canaryislands #happiness https://t.co/KBLYiSZyB5</t>
  </si>
  <si>
    <t>Gala dinner #foodie #CanaryIslands #Travel #Tourism #BarceloHotelGroup barcelohotelsresorts @… https://t.co/7l0z1LIVhj</t>
  </si>
  <si>
    <t>#Work #teambuilding #galadinner #CanaryIslands #Travel #Tourism #BarceloHotelGroup… https://t.co/QLXeQ5wX49</t>
  </si>
  <si>
    <t>Visit to #CanaryIslands starts with #Arrecife, the capital of #Lanzarote https://t.co/lRYVXNMUmb https://t.co/ytG5xtNzBg</t>
  </si>
  <si>
    <t>Still waiting to know these 70% of the planet? #TenDive #Tenerife #CanaryIslands #Scuba #Diving #PADi #UTD #Spain https://t.co/YejhVEz7de</t>
  </si>
  <si>
    <t>April Williams</t>
  </si>
  <si>
    <t>RT @bermaxo09: Playa de Maspalomas #Meloneras #Smile #HappyHolidays #Maspalomas #GranCanaria #Photos #CanaryIslands #Canarias https:…</t>
  </si>
  <si>
    <t>Illinois</t>
  </si>
  <si>
    <t>I love country,nature,all animals,plus other interest! I am very much in love with my soul mate, not looking for romance.DM only from good Twitter friends❌Porn</t>
  </si>
  <si>
    <t>Last day of presentations at #UCAmI2016 #smartcities #security #CanaryIslands</t>
  </si>
  <si>
    <t>Gran Canaria Playa del Inglés | Beaches in #GranCanaria #CanaryIslands https://t.co/eRA1UitVqD https://t.co/gCn8ngJD1S</t>
  </si>
  <si>
    <t>Good Morning #Lanzarote #Canaryislands today Friday 24ºC https://t.co/XJlilJLlQ9 https://t.co/dBn2u83X0O</t>
  </si>
  <si>
    <t>Last presentations of #IoT start at 8:30h #UCAMI2016 #CanaryIslands</t>
  </si>
  <si>
    <t>Fiona Barton</t>
  </si>
  <si>
    <t>RT @SandraDanby: Books seen by the pool #amreading #CanaryIslands RAZOR GIRL by Carl Hiassen THE WIDOW by @figbarton https://t.co/z22b7jlHwx</t>
  </si>
  <si>
    <t>Author of Sunday Times and New York Times Bestseller, The Widow, Trainer of Journalists, Francophile</t>
  </si>
  <si>
    <t>Co Co Lingua</t>
  </si>
  <si>
    <t>RT @SuneHolidays: Good Morning #Lanzarote #Canaryislands today Friday 24ºC https://t.co/XJlilJLlQ9 https://t.co/dBn2u83X0O</t>
  </si>
  <si>
    <t>Lanzarote - Canary Islands</t>
  </si>
  <si>
    <t>Cursos de español para extranjeros (ELE). In-Company training para empresas. Wide variety of Spanish courses. Vielseitige Auswahl an Spanisch-Kursen. Lanzarote</t>
  </si>
  <si>
    <t>karakule</t>
  </si>
  <si>
    <t>iskenderundan gay bayan sexs yapcak kişileri bekliyorum aktifim ...</t>
  </si>
  <si>
    <t>Lanzarote Business</t>
  </si>
  <si>
    <t>We do agree! #LoveLanzarote #CanaryIslands @Viaggiando_nM @CanaryIslandsEN @TurismoLZT https://t.co/BSuz6JGOdC</t>
  </si>
  <si>
    <t>We are a multi-lingual, non profit, general interest group that combines the strength of both businesses and residents in Lanzarote.</t>
  </si>
  <si>
    <t>Beach island has over 150 kilometres of sand https://t.co/sQlq3haRwA #Fuerteventura #CanaryIslands https://t.co/XONMs6H3Xt</t>
  </si>
  <si>
    <t>Álvaro</t>
  </si>
  <si>
    <t>RT @CanaryIslandsEN: Beach island has over 150 kilometres of sand https://t.co/sQlq3haRwA #Fuerteventura #CanaryIslands https://t.co/XONMs6…</t>
  </si>
  <si>
    <t>Las Palmas de Gran Canaria💖 💛💙💛💙💛💙💛💙💛💙💛</t>
  </si>
  <si>
    <t>Gheorghescu Liliana</t>
  </si>
  <si>
    <t>RT @ZVitomirovic: #landscapephotography #fuerteventura #nature #CanaryIslands https://t.co/6VeCFZuDAw</t>
  </si>
  <si>
    <t>Timişoara, România</t>
  </si>
  <si>
    <t>Advocacy is my nature,to take photos is a hobby. All photos were taken by me,except the retweets. https://t.co/GhEXf0wfAQ https://t.co/S7TAcBd2jC</t>
  </si>
  <si>
    <t>Centro ApPROBA</t>
  </si>
  <si>
    <t>#FF Centro ApPROBA recommends you to follow The Best Resorts in #GranCanaria: @IFAFaro @IFACatarina @IFA_Dunamar #CanaryIslands #Canarias</t>
  </si>
  <si>
    <t>Twuffer</t>
  </si>
  <si>
    <t>Centro de Formación ApPROBA. Especializados en Primaria, ESO, Bachillerato, Universidad, Ciclos, FF.AA., Adultos. #TenisPlaya https://t.co/jHeRKTB6nn</t>
  </si>
  <si>
    <t>Antes, Javier....!</t>
  </si>
  <si>
    <t>Barcelona, España</t>
  </si>
  <si>
    <t>No se, no contesto....! Comparto....! Si quiero...! O no....!</t>
  </si>
  <si>
    <t>Golf Costa Adeje #Tenerife #CanaryIslands wonderful #golf spot which boasts an 18hole course of par72 and a 9hole… https://t.co/OPT764IkgU</t>
  </si>
  <si>
    <t>Power On FM</t>
  </si>
  <si>
    <t>Tenerife's newest and biggest English language radio station serving the Canary Islands. https://t.co/erISRuu7Pl</t>
  </si>
  <si>
    <t>CUCHILLO SANTOKU - The Japanese take on the general-purpose kitchen knife... https://t.co/27wlOPCVA3 #canaryislands https://t.co/wRxMozkakP</t>
  </si>
  <si>
    <t>Diciembre y estas vistas. Sólo es posible en Canarias. #CanaryIslands #MeliaHacienda #AlwaysSummer @twitenerife… https://t.co/QspoHx7hG1</t>
  </si>
  <si>
    <t>RT @TwiTenerifeGolf: Golf Costa Adeje #Tenerife #CanaryIslands wonderful #golf spot which boasts an 18hole course of par72 and a 9hole cou…</t>
  </si>
  <si>
    <t>Fototenerife</t>
  </si>
  <si>
    <t>observando el mundo - just looking around - einfach beobachten</t>
  </si>
  <si>
    <t>Vallehermoso, great name for that site! #lagomera #canaryislandhopping #canaryislands #valley… https://t.co/8R53gOMx4D</t>
  </si>
  <si>
    <t>From Gran Canaria: 16.1% increase in tourist visits in October https://t.co/QL3zGf8cCb #tourism #canaryislands</t>
  </si>
  <si>
    <t>James Ross</t>
  </si>
  <si>
    <t>St. Louis</t>
  </si>
  <si>
    <t>Author of character-based, realistic fiction from a STL golf setting. The cozy mystery novels are Kindle eBook favorites! Join me @golfnovels</t>
  </si>
  <si>
    <t>BBC News - Obituary: Andrew Sachs, Fawlty Towers' Manuel https://t.co/M2hop66HOg R.I.P Manuel "Andrew Sachs D. E.P. #CanaryIslands</t>
  </si>
  <si>
    <t>Almuñécar Info</t>
  </si>
  <si>
    <t>Hit #Tenerife for an authentic taste of the #CanaryIslands: https://t.co/J6aBJ4rFEd via @Iberia_en's @MatthewHirtes… https://t.co/4z7LW9kfBU</t>
  </si>
  <si>
    <t>Almuñécar, Andalucía</t>
  </si>
  <si>
    <t>Almuñécar Info - #Expat, #Travel #Tourist information about #Almuñécar, #Spain Things to do, Places to see, Business Directory, Transportation, Shopping &amp; more!</t>
  </si>
  <si>
    <t>Wallace Arnold</t>
  </si>
  <si>
    <t>Remember our 1 + 1 = 3 promotion is available until the 31st of August... https://t.co/27wlOPCVA3 #canaryislands https://t.co/Tniv21JoYG</t>
  </si>
  <si>
    <t>Airbus Helicopters</t>
  </si>
  <si>
    <t>.@EjercitoAire welcomed the first #SuperPuma #H215 #SAR (aka #AS332 C1e) in the #CanaryIslands (Spain)… https://t.co/sodzDe8vfj</t>
  </si>
  <si>
    <t>World-leading #rotorcraft manufacturer, committed to the #quality, #safety and #availability of our #helicopters for our 3,000 plus customers.</t>
  </si>
  <si>
    <t>José Luis Ríos</t>
  </si>
  <si>
    <t>RT @AirbusHC: .@EjercitoAire welcomed the first #SuperPuma #H215 #SAR (aka #AS332 C1e) in the #CanaryIslands (Spain) #SearchAndRescue https…</t>
  </si>
  <si>
    <t>H225News</t>
  </si>
  <si>
    <t>Bartek B</t>
  </si>
  <si>
    <t>Łódź</t>
  </si>
  <si>
    <t>🎁 Weihnachten und Neujahr in La Palma? ❤☀️ CASA CAMELBACK, ab 936€ pro Woche 2P. Anfrage: ➡… https://t.co/0DVZbaoiOq</t>
  </si>
  <si>
    <t>it's a beautiful day in #lanzarote #canaryislands #sky https://t.co/gFbmrmQbGC https://t.co/ExOy7i2Qsx</t>
  </si>
  <si>
    <t>Airbus Defence&amp;Space</t>
  </si>
  <si>
    <t>Official account of Airbus Defence and Space.</t>
  </si>
  <si>
    <t>김창수 옴부즈맨뉴스</t>
  </si>
  <si>
    <t>seoul koera</t>
  </si>
  <si>
    <t>도망처 도착한 곳에 낙원은 없다</t>
  </si>
  <si>
    <t>Brian Corona</t>
  </si>
  <si>
    <t>Private pilot, Plane Spotter and an aviation Lover. Snapchat: briancoronas</t>
  </si>
  <si>
    <t>IridiumManufacturing</t>
  </si>
  <si>
    <t>Michigan, USA</t>
  </si>
  <si>
    <t>DJ Vik Toreus</t>
  </si>
  <si>
    <t>Not bad view at all.... #djlife #djbreak #canaryislands #tenerife https://t.co/zbDwFETMVz https://t.co/RmveM5ib8y</t>
  </si>
  <si>
    <t>London, ENG</t>
  </si>
  <si>
    <t>Vik Toreus - Club DJ / Remix Producer from London UK. Resident DJ at The Roof Gardens, Mahiki and Zebrano. MD at BlueBerry Nation UK. IG/Snapchat: @viktoreus</t>
  </si>
  <si>
    <t>CombatAir</t>
  </si>
  <si>
    <t>Military aerospace and air warfare. Assistant Editor Combat Aircraft Monthly http://t.co/BrMWf0mvda. Contact me t.newdick (at) gmail. RT ≠ endorsement.</t>
  </si>
  <si>
    <t>CMRLimited</t>
  </si>
  <si>
    <t>Norwich, England</t>
  </si>
  <si>
    <t>#Calibration laboratory dedicated to #vibration control and #monitoring equipment. #calibrationlab #accelerometer #torquewrenches #Ukas #ISO</t>
  </si>
  <si>
    <t>Tom Segers</t>
  </si>
  <si>
    <t>MARIO QUIROZ TREGUER</t>
  </si>
  <si>
    <t>Antofagasta, Chile</t>
  </si>
  <si>
    <t>I'm a power plant engineer, general aviation private pilot, amateur astronomer,...</t>
  </si>
  <si>
    <t>戦艦ブリ秋＠のんびり提督業</t>
  </si>
  <si>
    <t>トラック泊地</t>
  </si>
  <si>
    <t>ファボよりＲＴ派。プラモデルと東側の兵器に興味を持つお年頃。</t>
  </si>
  <si>
    <t>Mundo Sefarad</t>
  </si>
  <si>
    <t>Man Nam</t>
  </si>
  <si>
    <t>LIVE</t>
  </si>
  <si>
    <t>Tomorrow's Friend</t>
  </si>
  <si>
    <t>Philippe Top-Action</t>
  </si>
  <si>
    <t>Passion Sentinelle des mers et des airs, de l'ombre à la lumière, l’intelligence est le croisement de l’information et de la stratégie. Le prisme est donc large</t>
  </si>
  <si>
    <t>Antoine</t>
  </si>
  <si>
    <t>Plougonvelin, France</t>
  </si>
  <si>
    <t>GEA - Il y a toujours une chance -</t>
  </si>
  <si>
    <t>Kirill Bandrovsky</t>
  </si>
  <si>
    <t>Moscow</t>
  </si>
  <si>
    <t>Damian Markowski</t>
  </si>
  <si>
    <t>Piotrków Trybunalski, Polska</t>
  </si>
  <si>
    <t>Jestem i będę taki jaki jestem ;) #sport #motoryzacja #wojsko #lotnictwo #EPPT #DNMI RT v Follow ≠ poparcie</t>
  </si>
  <si>
    <t>Ejército del Aire</t>
  </si>
  <si>
    <t>Madrid. España</t>
  </si>
  <si>
    <t>Twitter Oficial de la Oficina de Comunicación del Ejército del Aire. Gobierno de España. Fotos en http://t.co/NgE9SHTKNw</t>
  </si>
  <si>
    <t>(((Luis Maria)))</t>
  </si>
  <si>
    <t>Luis Reyes</t>
  </si>
  <si>
    <t>Ana Soriano</t>
  </si>
  <si>
    <t>Michał Gajzler</t>
  </si>
  <si>
    <t>Polska</t>
  </si>
  <si>
    <t>DziennikZbrojny.pl</t>
  </si>
  <si>
    <t>TEGUILEHA ™</t>
  </si>
  <si>
    <t>Juego de nubes! #cloudscape #landscapes #canaryislands #cloudy #clouds #photography… https://t.co/nuYZMMbPFO</t>
  </si>
  <si>
    <t>T͢i͢e͢rra͢♻️</t>
  </si>
  <si>
    <t>A͎R͎T͎I͎S͎T͎A͎ Cualquier parecido con la realidad es pura casualidad!!</t>
  </si>
  <si>
    <t>Felix Montanchez</t>
  </si>
  <si>
    <t>RT AirbusHC: .EjercitoAire welcomed the first #SuperPuma #H215 #SAR (aka #AS332 C1e) in the #CanaryIslands (Spain)… https://t.co/L3VYDiU8XJ</t>
  </si>
  <si>
    <t>Madrid, Spain</t>
  </si>
  <si>
    <t>Gerente Solutions On Board Consultor #Comercial #Marketing, #Calidad y #estrategia on line para empresas de #seguridad, #defensa, #transporte y #aeronáutica</t>
  </si>
  <si>
    <t>Nina</t>
  </si>
  <si>
    <t>Sverige / 中国 / 台湾</t>
  </si>
  <si>
    <t>Senior Design Student &amp; Mentor at @KTHuniversity Searching for job opp. Specialist Graphic Arts Tech | Web | Gender Perspective in Design | ePUB [Swe/Eng/中文]</t>
  </si>
  <si>
    <t>max thunder</t>
  </si>
  <si>
    <t>Iles Canaries, Espagne</t>
  </si>
  <si>
    <t>saxophoniste jazz, passionné de philosophie, astronomie, économie, actualité géo politique et ..... le golf ... et j'allais oublier la pâtisserie et les HE !!!</t>
  </si>
  <si>
    <t>María de la Pedraja</t>
  </si>
  <si>
    <t>Esposa, madre de cinco hijos y otros dos en el cielo. Luchando para ganar la batalla con la ayuda de Dios, de mi familia y de los amigos.</t>
  </si>
  <si>
    <t>This #ParrotFish is waiting for you in #CanaryIslands. Come check it out! #scubadiving #snorkeling #fish #sealife… https://t.co/Nct0BkuXF7</t>
  </si>
  <si>
    <t>Solutions on Board</t>
  </si>
  <si>
    <t>#AirbusHelicopter .EjercitoAire welcomed the first #SuperPuma #H215 #SAR (aka #AS332 C1e) in the #CanaryIslands (S… https://t.co/OwW2KXfK7t</t>
  </si>
  <si>
    <t>SOLUTIONS on BOARD Consultora #Marketing, #IdentidadCorporativa y #estratégia on line para empresas de #seguridad, #defensa, #transporte y #aeronáutica</t>
  </si>
  <si>
    <t>#UCAmI2016 #CanaryIslands Closing Ceremony. Thanks for coming! See you next year in #Philadelphia #UCAmI2017 https://t.co/HepcZ6Dhx3</t>
  </si>
  <si>
    <t>EMOJI FIGHT</t>
  </si>
  <si>
    <t>🏳 #WhiteFlag VS 🇮🇨 #CanaryIslands</t>
  </si>
  <si>
    <t>Twitter Plays Project</t>
  </si>
  <si>
    <t>Con Cospedal</t>
  </si>
  <si>
    <t>Sergio Iglesias</t>
  </si>
  <si>
    <t>Adolescente amante de los animales y la naturaleza, aventurero y fan de Jesus Calleja, Wild Frank (Frank Cuesta) y El Mago POP (Antonio Díaz)</t>
  </si>
  <si>
    <t>Homes Under the Sun</t>
  </si>
  <si>
    <t>Maybe we should ask #Tenerife's sand artists to make one of these for us! #CanaryIslands #LifesABeach https://t.co/HviPlDXMta</t>
  </si>
  <si>
    <t>Let us help you find your perfect Tenerife home under the sun!</t>
  </si>
  <si>
    <t>ElectroProject LLC</t>
  </si>
  <si>
    <t>Georgia</t>
  </si>
  <si>
    <t>Industrial Automation, Power Engineering, Substations Automation, Control systems Designing, SCADA-systems development, Engineering Consulting</t>
  </si>
  <si>
    <t>RT @UCAmIIWAAL: #UCAmI2016 #CanaryIslands Closing Ceremony. Thanks for coming! See you next year in #Philadelphia #UCAmI2017 https://t.co/H…</t>
  </si>
  <si>
    <t>Raymond Lavender</t>
  </si>
  <si>
    <t>Nevada, USA</t>
  </si>
  <si>
    <t>director of clients services Bridge of hope counseling center 5258 s eastern ave ste 105 las vegas nv 89119 phone 702 464 5080</t>
  </si>
  <si>
    <t>RT @CanaryIslandsEN: The #CanaryIslands Photo Of The Month could be yours #photography #competition https://t.co/sEUugXMv5S</t>
  </si>
  <si>
    <t>Zoe Shaw</t>
  </si>
  <si>
    <t>Winter sun, sea &amp; sand = ☺️😎#currentview #lanzarote #canaryislands #puertodelcarmen https://t.co/1VQJsZieTi</t>
  </si>
  <si>
    <t>Beauty PR Director, VIP Relations, Dr Murad @MuradSkincareUK Ambassador, @QVCUK Guest Presenter, Facialist, beauty boff, skincare savvy ☀️Insta:@misszoeshaw</t>
  </si>
  <si>
    <t>#PaseodeMeloneras #Meloneras #travel Paseo de Meloneras #Smile #HappyHolidays #Maspalomas #GranCanaria #Photos… https://t.co/fbWv41qic5</t>
  </si>
  <si>
    <t>Francisco Maeso</t>
  </si>
  <si>
    <t>Madrid - Spain - Europe</t>
  </si>
  <si>
    <t>Volando voy, volando vengo. Aviador y extremeño. Los sueños se hacen realidad para aquellas personas que más creen en ellos (yo siempre creí en el mío). I❤️✈️🚁</t>
  </si>
  <si>
    <t>Luisa Di Martino</t>
  </si>
  <si>
    <t>RT @ITCCANARIAS: #CanaryIslands| Erasmo García @EcoGobCan &amp; Gonzalo Piernavieja @ITCCANARIAS in Governments panel #GreeningtheIslands https…</t>
  </si>
  <si>
    <t>Palermo, Sicilia</t>
  </si>
  <si>
    <t>Geek, umanista, partita iva, designer. Mancata scrittrice. Ho scelto di vivere e lavorare nella città che amo, Palermo, per consentirle di sorprendermi.</t>
  </si>
  <si>
    <t>Fran</t>
  </si>
  <si>
    <t>Aditya Bhat</t>
  </si>
  <si>
    <t>Correspondent @ibtimes_india who moonlights into geo politics, defence, history. Social, animal and renewable energy causes interest me. Views xpressed r my own</t>
  </si>
  <si>
    <t>Ali Al-Olayan</t>
  </si>
  <si>
    <t xml:space="preserve">Somewhere </t>
  </si>
  <si>
    <t>أضَاُعۉڼي ۉ أيّ فَتَى أضَاُعۉآ</t>
  </si>
  <si>
    <t>RT @nomadcitylpa: Why every digital nomad needs to experience the Canary Islands https://t.co/WZLmnvbyYm #digitalnomads #CanaryIslands #rem…</t>
  </si>
  <si>
    <t>Pilar Gamallo Morgad</t>
  </si>
  <si>
    <t>Carlos Holgado</t>
  </si>
  <si>
    <t>En la vida hay dos tipos de personas: Yo y los demás. I'm trying to keep me in the life's rainbow.</t>
  </si>
  <si>
    <t>10 Facts about the #CanaryIslands #Travel https://t.co/POTMqs9p4g https://t.co/ae0Aa1AWgJ</t>
  </si>
  <si>
    <t>The epic Las Mimbreras road in #LaPalma https://t.co/Aylr9UFYfi #CanaryIslands https://t.co/aMR8IgvBX5</t>
  </si>
  <si>
    <t>Jesus Ramos</t>
  </si>
  <si>
    <t>las Palmas de GC</t>
  </si>
  <si>
    <t>Military Helicopter Pilot,@PatrullaAspa,SAR 803Sqn, 802Sqn...HELISAF #ElSonidoDeLaVida</t>
  </si>
  <si>
    <t>Defense-Aerospace</t>
  </si>
  <si>
    <t>Paris and the world</t>
  </si>
  <si>
    <t>official twitter account</t>
  </si>
  <si>
    <t>Enamoradas de Teror 💙 #afortunadas #islascanarias #canaryislands #soinlovewiththisplace… https://t.co/0mowhiQEpl</t>
  </si>
  <si>
    <t>CanaryIslandsEN: The epic Las Mimbreras road in #LaPalma https://t.co/uQRoc5QLww #CanaryIslands https://t.co/AEUT5pAuJR</t>
  </si>
  <si>
    <t>Daniel Valle</t>
  </si>
  <si>
    <t>anthony pecchi</t>
  </si>
  <si>
    <t>istres</t>
  </si>
  <si>
    <t>Francisco Bonilla T</t>
  </si>
  <si>
    <t xml:space="preserve">Cerca de VLC </t>
  </si>
  <si>
    <t>El Lado Oscuro del PlaneSpotting</t>
  </si>
  <si>
    <t>ROBERTO</t>
  </si>
  <si>
    <t>Joseph Wright</t>
  </si>
  <si>
    <t>Looking for someone based #lanzarote #canaryislands to help me acquire a local book, not available online, for project research. Plse share</t>
  </si>
  <si>
    <t>Purton, England</t>
  </si>
  <si>
    <t>Photographer and book maker. Mostly found in the woods, edgelands, pastures and riverbank. Creating stories with images in response to walking on the land.</t>
  </si>
  <si>
    <t>Trevor Reeve</t>
  </si>
  <si>
    <t>RT @JoeARWright: Looking for someone based #lanzarote #canaryislands to help me acquire a local book, not available online, for project re…</t>
  </si>
  <si>
    <t>Retired British Expat QA Engineer living in Spain Married to a Ukrainian Lady Loves real Democracy, justice &amp; freedom BUT NOT US imperialism, corruption &amp; War</t>
  </si>
  <si>
    <t>Paul Gotts</t>
  </si>
  <si>
    <t>Liverpool</t>
  </si>
  <si>
    <t>The original old lag - aiming to bring things back despite, rather than because of, public demand!</t>
  </si>
  <si>
    <t>Canary Islands travel guide (Lonely Planet) https://t.co/FDA52kfU5A #travel #lp #canaryislands #spain</t>
  </si>
  <si>
    <t>Uraniburg</t>
  </si>
  <si>
    <t xml:space="preserve">Talon Plus </t>
  </si>
  <si>
    <t>Zierzoland</t>
  </si>
  <si>
    <t>Husmeador del universo, en busca del conocimiento científico, no creyente y escéptico.</t>
  </si>
  <si>
    <t>LuisEduardoVanegasP</t>
  </si>
  <si>
    <t>Twitter for BlackBerry®</t>
  </si>
  <si>
    <t xml:space="preserve">Bogotá D.C. - Colombia. </t>
  </si>
  <si>
    <t>Official and Personal account. Email me at: N973AV@gmail.com</t>
  </si>
  <si>
    <t>Canary Islands Hub</t>
  </si>
  <si>
    <t>Attending @tlgfocus Dec 6-7 ?? Don´t miss the opportunity to discover SIX REASONS for #filming in #Canaryislands… https://t.co/lwNs88slai</t>
  </si>
  <si>
    <t>Businesses headed to Africa can flourish in the Canary Islands as the prime geographic location to operate with Western Africa countries</t>
  </si>
  <si>
    <t>Carmen Sosa</t>
  </si>
  <si>
    <t>RT @canariashub: Attending @tlgfocus Dec 6-7 ?? Don´t miss the opportunity to discover SIX REASONS for #filming in #Canaryislands #FOCUSLo…</t>
  </si>
  <si>
    <t>Inward Investment Director PROEXCA Canary Islands HUB</t>
  </si>
  <si>
    <t>Teide Volcano</t>
  </si>
  <si>
    <t>Mount Teide by Gustavo Tavio via @ViveelNorte #TENERIFE #Volcano @GeoTenerife @geotinerfe @GeoCanaries7… https://t.co/SUWAuKsPUM</t>
  </si>
  <si>
    <t>Playa Las Americas</t>
  </si>
  <si>
    <t>Mount Teide 12,198 ft. Third highest volcano on a volcanic ocean island in the world. TENERIFE, Canary Islands, Spain.</t>
  </si>
  <si>
    <t>Lanzarote Tourism</t>
  </si>
  <si>
    <t>RT @misszoeshaw: Winter sun, sea &amp; sand = ☺️😎#currentview #lanzarote #canaryislands #puertodelcarmen https://t.co/1VQJsZieTi</t>
  </si>
  <si>
    <t>Are you visiting Lanzarote for a few days? We'll give you some ideas of where to go and what to do throughout your stay. DM or tweet us! #Holidays ~Not official</t>
  </si>
  <si>
    <t>RT @CanaryIslandsEN: The epic Las Mimbreras road in #LaPalma https://t.co/Aylr9UFYfi #CanaryIslands https://t.co/aMR8IgvBX5</t>
  </si>
  <si>
    <t>Tonysaint</t>
  </si>
  <si>
    <t>Formatt-Hitech</t>
  </si>
  <si>
    <t>Aberdare, South Wales</t>
  </si>
  <si>
    <t>Formatt-Hitech is the world's leading manufacturer of glass &amp; resin filters for photo &amp; cinema. Made in UK to the highest scientific standards in the industry.</t>
  </si>
  <si>
    <t>Hayes Norris</t>
  </si>
  <si>
    <t>Matthews, NC</t>
  </si>
  <si>
    <t>I am just a dude on the planet that wants everyone to get a fair shake and I really like photography and nature.</t>
  </si>
  <si>
    <t>Javier Pérez</t>
  </si>
  <si>
    <t>Croquetas de #almogrote 😍👌🏻🇮🇨 #croquetas #croquettes #lagomera #islascanarias #canaryislands… https://t.co/E7UVxbkQ33</t>
  </si>
  <si>
    <t>Owner at @_sunglassisland &amp; @_opticaliaplaza. Never again chef as a frustrated vocation.</t>
  </si>
  <si>
    <t>Buying or selling property in #LasPalmas de #GranCanaria? I'm the city's resident estate agent… https://t.co/r7hPaEuY3O</t>
  </si>
  <si>
    <t>#pabloexcursions #losgigantes #tenerife #canarias #canaryislands #summer #beach #holidays … https://t.co/1Cg8anKRNi https://t.co/kkL3C3Njqz</t>
  </si>
  <si>
    <t>Maravilloso viernes en Gran Canaria. #grancanaria #LasPalmas #canaryislands #FelizViernes #FelizFinDeSemana https://t.co/zkQAZX7wLv</t>
  </si>
  <si>
    <t>David</t>
  </si>
  <si>
    <t>RT @MokaGonzalez_: Maravilloso viernes en Gran Canaria. #grancanaria #LasPalmas #canaryislands #FelizViernes #FelizFinDeSemana https://t.co…</t>
  </si>
  <si>
    <t>Barcelona, Catalunya</t>
  </si>
  <si>
    <t>Mar i Vida, Mediterràniament</t>
  </si>
  <si>
    <t>Grant Turnbull</t>
  </si>
  <si>
    <t>London (formerly Sheffield)</t>
  </si>
  <si>
    <t>Defence and aerospace journalist. Staff reporter at @ShephardNews covering land, air, occasionally things at sea. Very average photographer. Cashew fanatic.</t>
  </si>
  <si>
    <t>liammercer93</t>
  </si>
  <si>
    <t>Last day of the holiday 🙋🏿🌴 #gay #gayboy #holiday #CanaryIslands #RalphLauren https://t.co/B5FP2SjcOH</t>
  </si>
  <si>
    <t>why so serioouusssss</t>
  </si>
  <si>
    <t>Hotel JardinTropical</t>
  </si>
  <si>
    <t>¡¡Feliz y azul fin de semana!! Happy &amp; Blue weekend!!! Costa Adeje #Tenerife #Teneriffa #CanaryIslands https://t.co/6kR4oGvzmS</t>
  </si>
  <si>
    <t>Tenerife, Spain</t>
  </si>
  <si>
    <t>Hotel 4* deluxe, Golf, Wellness&amp;Spa. Exquisita y variada gastronomía, servicio 5*. Exquisite and varied cuisine, 5* service. Costa Adeje, Tenerife, Spain</t>
  </si>
  <si>
    <t>Se Ve en Tenerife</t>
  </si>
  <si>
    <t>RT @HJardinTropical: ¡¡Feliz y azul fin de semana!! Happy &amp; Blue weekend!!! Costa Adeje #Tenerife #Teneriffa #CanaryIslands https://t.co/6k…</t>
  </si>
  <si>
    <t>TENERIFE - Islas Canarias</t>
  </si>
  <si>
    <t>Todo lo relacionado con #TENERIFE #CANARIAS ➡ Menciona lo que veas tú</t>
  </si>
  <si>
    <t>Nat Leguy Duchene</t>
  </si>
  <si>
    <t>Gironde, Aquitaine</t>
  </si>
  <si>
    <t>aide auxiliaire et secrétaire de crèche, membre association Gendarme de coeur, AGC et AALE de Puyloubier</t>
  </si>
  <si>
    <t>Couché de soleil sur le vignoble de la Geria #lanzarote #canaries #islascanarias #canaryislands #wine #vignoble… https://t.co/XEnOPGorrq</t>
  </si>
  <si>
    <t>Tom Canary</t>
  </si>
  <si>
    <t>Amante de mi Tierra, Canario hasta la médula. Deporte, cine y naturaleza. Mi blog: https://t.co/Kea9tmEGXN</t>
  </si>
  <si>
    <t>Eric</t>
  </si>
  <si>
    <t>Avignon_FRANCE</t>
  </si>
  <si>
    <t>homme parmi les hommes</t>
  </si>
  <si>
    <t>Cars and Girls</t>
  </si>
  <si>
    <t>right here</t>
  </si>
  <si>
    <t>best things in life hot girls and fast cars</t>
  </si>
  <si>
    <t>Four of #Spain's thirteen national parks are located in the #CanaryIslands (https://t.co/tkbi04MiAL) https://t.co/FB97GTStaE</t>
  </si>
  <si>
    <t>We want to tell information and curiosities about the Canary Islands. Learn a little more about these islands.</t>
  </si>
  <si>
    <t>TenerifeBonjour</t>
  </si>
  <si>
    <t>Amoureux de Tenerife Amantes de Tenerife Tenerife Lovers</t>
  </si>
  <si>
    <t>Viaje En Oferta</t>
  </si>
  <si>
    <t>Ofertas de Hotel o Viaje, Descuentos o Precios más Bajos y todo lo relacionado con VIAJAR. Para que sólo pienses en hacer las maletas!</t>
  </si>
  <si>
    <t>Davide Daverio</t>
  </si>
  <si>
    <t>Carnago</t>
  </si>
  <si>
    <t>Military aviation freelance photographer and journalist / Instagram: imaphoto_dd</t>
  </si>
  <si>
    <t>Lolo 19</t>
  </si>
  <si>
    <t>1980 punter</t>
  </si>
  <si>
    <t xml:space="preserve">South Africa </t>
  </si>
  <si>
    <t>Appreciating the finer things in life. Making my fantasy's a reality.</t>
  </si>
  <si>
    <t>Isaac ✈ Alexander</t>
  </si>
  <si>
    <t>Greater Seattle, Washington</t>
  </si>
  <si>
    <t>✈ Aviation &amp; ➤ Defense News from the ★ Aerospace Capital of the World. #avgeek</t>
  </si>
  <si>
    <t>https://t.co/yr1ZJjSDU5 Flying to #Lanzarote airport (ACE) in #Spain. #airports #airportlife #travel… https://t.co/db7psp2kfD</t>
  </si>
  <si>
    <t>heliweb</t>
  </si>
  <si>
    <t>Alpharetta, GA</t>
  </si>
  <si>
    <t>Official Twitter account of Heliweb Magazine. Email info@heliweb.com to have your shot featured.</t>
  </si>
  <si>
    <t>RT @TCanaryIslands: Four of #Spain's thirteen national parks are located in the #CanaryIslands (https://t.co/tkbi04MiAL) https://t.co/FB97G…</t>
  </si>
  <si>
    <t>FOCUS</t>
  </si>
  <si>
    <t>FOCUS 2016- the meeting place for international production. 6/7 Dec at The Business Design Centre London. tag us #focuslondon</t>
  </si>
  <si>
    <t>Cédric Landais</t>
  </si>
  <si>
    <t>{Attaché de presse #Franceisintheair Gastronome-voleur d'instants-voyageur-artdevivre} {#Franceisintheair press officer food-pics-trip addicted-lifestyle }</t>
  </si>
  <si>
    <t>Atardeciendo...🌄☀️🌴🌵🐫 #lanzarote #canarias #islascanarias #canaryislands https://t.co/QnNV91kikk</t>
  </si>
  <si>
    <t>Anthony Blake</t>
  </si>
  <si>
    <t>Suva, Fiji</t>
  </si>
  <si>
    <t>Supporting Emergency Services &amp; Pre-Hospital Care in Fiji and the Pacific</t>
  </si>
  <si>
    <t>#Tenerife #CanaryIslands #Holiday #Selfie #Selfy #HolidaySelfie #Spain #Summer #Hot #Sun #Beach #Sea https://t.co/xNlVvQ4gMs</t>
  </si>
  <si>
    <t>J.A. Almarza</t>
  </si>
  <si>
    <t xml:space="preserve">Seville/Spain </t>
  </si>
  <si>
    <t>Seville/Spain</t>
  </si>
  <si>
    <t>LowCost Properties</t>
  </si>
  <si>
    <t>Olesa de Bonesvalls, Catalunya</t>
  </si>
  <si>
    <t>L'Antiga Rustic #RealEstate. #lowprice #rustic #rural #lands in #Spain #ruraleconomychampions Group https://t.co/mamXSeOng6</t>
  </si>
  <si>
    <t>Guize</t>
  </si>
  <si>
    <t>Playa de Las Canteras</t>
  </si>
  <si>
    <t>Controladores Aéreos</t>
  </si>
  <si>
    <t>Te contamos lo que está pasando en el cielo... y en la tierra</t>
  </si>
  <si>
    <t>teo higuero</t>
  </si>
  <si>
    <t>Vista, suerte y al toro</t>
  </si>
  <si>
    <t>Juan Carlos Pando</t>
  </si>
  <si>
    <t>Sevilla (Spain)</t>
  </si>
  <si>
    <t>Soy alguien que ama la aviacion en general y la militar en particular. Desde1980 en CASA, hoy dia Airbus DS, y me gusta escribir y fotografiar sobre aeronautica</t>
  </si>
  <si>
    <t>Inma</t>
  </si>
  <si>
    <t>Madrid-Gran Canaria</t>
  </si>
  <si>
    <t>Evita herir los corazones de los demás. El veneno de su sufrimiento retornará a ti.</t>
  </si>
  <si>
    <t>#Sea #sky #cloud #Tenerife #canaryislands #spain @ Playa de las Américas https://t.co/hRE5S7inxx</t>
  </si>
  <si>
    <t>Raül Heredia</t>
  </si>
  <si>
    <t>Cadete del aire (Estudiante Piloto privado). Servicios de emergencia, aeronáutica, política, tecnología...</t>
  </si>
  <si>
    <t>SafranHelicoEngines</t>
  </si>
  <si>
    <t>Bordes, France</t>
  </si>
  <si>
    <t>Safran Helicopter Engines (ex Turbomeca) is the leading helicopter engine manufacturer and, since its foundation in 1938, has produced over 72,000 turbines.</t>
  </si>
  <si>
    <t>carine maunier</t>
  </si>
  <si>
    <t>Fran Brito</t>
  </si>
  <si>
    <t>Good night padre Teide . . . #teide #volcano #volcan #tenerife #mirador #canarias #canaryislands… https://t.co/eFEFLsOv7K</t>
  </si>
  <si>
    <t>Stephen Segasby</t>
  </si>
  <si>
    <t>East Anglia</t>
  </si>
  <si>
    <t>Making sense of the world through photography, lover of film, fumes,darkness and the feel of a real print. Co-founder of the Inside the Outside collective.</t>
  </si>
  <si>
    <t>Charm, charm, charm in El Pinar #ElHierro https://t.co/cfqJEVAgqE #CanaryIslands https://t.co/hRyAtzGspt</t>
  </si>
  <si>
    <t>CanaryIslandsEN: Charm, charm, charm in El Pinar #ElHierro https://t.co/MFxLTx0RvL #CanaryIslands https://t.co/GD6DUEHrgm</t>
  </si>
  <si>
    <t>Le port d'Arrecife.. On laisse vagabonder les pensées #lanzarote #canaries #islascanarias #canaryislands #arrecife… https://t.co/gd7umSE0sV</t>
  </si>
  <si>
    <t>Club Yachting</t>
  </si>
  <si>
    <t>RT @CanaryIslandsEN: Charm, charm, charm in El Pinar #ElHierro https://t.co/cfqJEVAgqE #CanaryIslands https://t.co/hRyAtzGspt</t>
  </si>
  <si>
    <t>Marina del Sur, Las Galletas</t>
  </si>
  <si>
    <t>Sail with the Club: France &amp; Spain for Sailing, Milebuilding, Racing; or in the Canary Islands for RYA Sail, Motor Cruising &amp; Powerboat Training, Yacht Charter</t>
  </si>
  <si>
    <t>ROCIO MUÑOZ</t>
  </si>
  <si>
    <t>Vélez-Málaga, España</t>
  </si>
  <si>
    <t>Come see our range of Jacques du Manoir watches in #Gran Canaria #Tenerife... https://t.co/27wlOPCVA3 #canaryislands https://t.co/GjcJEPLcfX</t>
  </si>
  <si>
    <t>Rawbirds.com</t>
  </si>
  <si>
    <t>RT @opusnigrum33: Ruddy shelduck (Tadorna ferruginea) in fly. #Lanzarote #CanaryIslands #birdoftheday https://t.co/iwb5XEdSUw</t>
  </si>
  <si>
    <t>Ireland</t>
  </si>
  <si>
    <t>find a wild variety of photography on https://t.co/dWpO7uua8Y</t>
  </si>
  <si>
    <t>Blogdeviajes.press</t>
  </si>
  <si>
    <t>#CanaryIslands this night #swiftair freigther https://t.co/18LLDzuPcC</t>
  </si>
  <si>
    <t>https://t.co/Wx7eoJp4eU Información a viajeros para planificar sus vacaciones, explorar nuevos lugares y culturas así como compartir sus experiencias.</t>
  </si>
  <si>
    <t>MyGolfWay</t>
  </si>
  <si>
    <t>Plataforma Online del Golf Español. Si eres un jugador comprometido o un profesional del sector, esta es tu comunidad: http://t.co/opuZDAoJ</t>
  </si>
  <si>
    <t>Found this #Lindt emoji chocolate yesterday in a local supermarket...never seen this back in the UK #CanaryIslands https://t.co/LajrfrclKZ</t>
  </si>
  <si>
    <t>Atardeceres de Invierno ....Sonneland #travel #Smile #HappyHolidays #Maspalomas #GranCanaria #Photos… https://t.co/dM0PsJOlaD</t>
  </si>
  <si>
    <t>Wow! How green is Lanzarote! Amazing what a bit of rain does to the island!! #lanzarote #canaryislands #travel... https://t.co/GVi7e9K5iV</t>
  </si>
  <si>
    <t>Hotel #RiuPalmeras #PlayadelIngles #travel #Smile #HappyHolidays #Maspalomas #GranCanaria #Photos… https://t.co/v2WBWi6ijK</t>
  </si>
  <si>
    <t>#PaseodeMeloneras #Meloneras #travel Paseo de Meloneras #Smile #HappyHolidays #Maspalomas #GranCanaria #Photos… https://t.co/VMRKWBlc6i</t>
  </si>
  <si>
    <t>#PaseodeMeloneras #Meloneras #travel Paseo de Meloneras #Smile #HappyHolidays #Maspalomas #GranCanaria #Photos… https://t.co/cFHFjlKrz5</t>
  </si>
  <si>
    <t>RT @bermaxo09: Atardeceres de Invierno ....Sonneland #travel #Smile #HappyHolidays #Maspalomas #GranCanaria #Photos #CanaryIslands https…</t>
  </si>
  <si>
    <t>Isabel</t>
  </si>
  <si>
    <t>Mecánico de F/A18 y piloto comercial. LPA</t>
  </si>
  <si>
    <t>#PalmeraldeMaspalomas #Meloneras #travel #Smile #HappyHolidays #Maspalomas #GranCanaria #Photos #CanaryIslands https://t.co/tC90hNxPHY</t>
  </si>
  <si>
    <t>Carlos</t>
  </si>
  <si>
    <t>Chef de cocina, amante del Padre Teide, del mar y de mis Islas Canarias!! Senderista que disfruta del camino...Sonrían siempre...es contagioso!!</t>
  </si>
  <si>
    <t>#DunasdeMaspalomas Charca y Dunas de Maspalomas #Meloneras #travel #Smile #HappyHolidays #Maspalomas #GranCanaria… https://t.co/KP0irLNUTC</t>
  </si>
  <si>
    <t>RodrigoRRC72</t>
  </si>
  <si>
    <t>Analista de seguridad y defensa. Military aviation and defense media.</t>
  </si>
  <si>
    <t>RT @mrgaryhollywood: Here comes Friday 👍❤️💃🏻#Lanzarote #spain #canaryislands #happiness https://t.co/KBLYiSZyB5</t>
  </si>
  <si>
    <t>Maspalomas Lighthouse #FarodeMaspalomas #Meloneras #travel #Smile #HappyHolidays #Maspalomas #GranCanaria #Photos… https://t.co/1o2TGdoPe2</t>
  </si>
  <si>
    <t>Michael Doyle</t>
  </si>
  <si>
    <t>Aberdeen, Scotland</t>
  </si>
  <si>
    <t>This Swiss Army Victorinox watch is the epitome of style... https://t.co/27wlOPCVA3 #canaryislands https://t.co/srrzwabL1T</t>
  </si>
  <si>
    <t>Airam Álvarez</t>
  </si>
  <si>
    <t>Pío pío #CanaryIslands 🐦 https://t.co/PGVyYynXHY</t>
  </si>
  <si>
    <t>Con a de afortunado, afortunado de tener todo lo que necesitaba y sigo necesitando cada día gracias a ti @PaulaYamiley</t>
  </si>
  <si>
    <t>Aviador</t>
  </si>
  <si>
    <t>Tira, tira de la hélice ruge el motor. Esta es la vida alegre, la vida alegre del aviador, sí señor.</t>
  </si>
  <si>
    <t>Tu  pequeña</t>
  </si>
  <si>
    <t>RT @Airamlvarez: Pío pío #CanaryIslands 🐦 https://t.co/PGVyYynXHY</t>
  </si>
  <si>
    <t>Afortunados de tenernos el uno al otro, afortunada de tener a @Airamlvarez en mi vida. Amor incondicional.</t>
  </si>
  <si>
    <t>Goffena 🌐</t>
  </si>
  <si>
    <t>This account is mainly Aviation and Football, with the exception of a few mainstream media posts.</t>
  </si>
  <si>
    <t>Liske💁🏼</t>
  </si>
  <si>
    <t>Waren vandaag in een ghost town. En toen kwam deze kerk😱 #abades #canaryislands #tenerife https://t.co/8vGD3AOrEZ</t>
  </si>
  <si>
    <t>Amsterdam</t>
  </si>
  <si>
    <t>Hier kun je lezen hoe fantastisch ik ben. Er is nog plek voor een pakkende quote. Pretentieuze vinylverkoper @ Concerto.</t>
  </si>
  <si>
    <t>Teguise vue d'une façon un peu particulière #lanzarote #canaries #islascanarias #canaryislands #teguise # désert… https://t.co/pDJGn9is1K</t>
  </si>
  <si>
    <t>churchatwork</t>
  </si>
  <si>
    <t>RT @hoimetliske: Waren vandaag in een ghost town. En toen kwam deze kerk😱 #abades #canaryislands #tenerife https://t.co/8vGD3AOrEZ</t>
  </si>
  <si>
    <t>Nederland</t>
  </si>
  <si>
    <t>Kerkinfo | verzamelaar van interessant kerknieuws | Churchatwork.nl | zoekmachine voor kerken, gemeentes en kerkgebouwen</t>
  </si>
  <si>
    <t>Xiss UFO Today 💫</t>
  </si>
  <si>
    <t>A large #meteor on the island of Tenerife, Atlantic December 2, 2016 https://t.co/M5qmfN5bxH #fireball #spain… https://t.co/LjaWK6XvcI</t>
  </si>
  <si>
    <t>💫 Strange phenomena UFOs ☄Aliens 🌩Weather 🌍 World Mysteries 🇺🇸Официальная страница сайта ТАМ Тайны Мира 🇷🇺</t>
  </si>
  <si>
    <t>Chiew Pang</t>
  </si>
  <si>
    <t>#ecotourisme #ecotourism #Sustainability #CanaryIslands https://t.co/ZZ2PJvSTSy</t>
  </si>
  <si>
    <t>European Union</t>
  </si>
  <si>
    <t>EFL teacher. Passion is my fuel.</t>
  </si>
  <si>
    <t>NoSoloSurf</t>
  </si>
  <si>
    <t>Detalles de #puertodelacruz #tenerife #canarias #islascanarias #canaryislands #simpsons… https://t.co/y3IiMr1H75</t>
  </si>
  <si>
    <t>✈️⛵️⚓️</t>
  </si>
  <si>
    <t>Conociendo el mundo con mis amores @whereisLorna , Viggo y Scott Pilgrim</t>
  </si>
  <si>
    <t>Pasos de cebra molones #puertodelacruz #tenerife #tenerifelicidad #canarias #canaryislands… https://t.co/DKfKleryr2</t>
  </si>
  <si>
    <t>Up to 50% on some of our items in all of our stores! https://t.co/27wlOPCVA3 #canaryislands #DESCUENTO https://t.co/UL49murh1n</t>
  </si>
  <si>
    <t>All the functionality you need for your everyday adventures... https://t.co/27wlOPCVA3 #canaryislands #hiking https://t.co/4ahSAKSjKq</t>
  </si>
  <si>
    <t>¡Qué bello es Vivir!</t>
  </si>
  <si>
    <t>#worldsmilearchive #uśmiech #smile #lächeln #smilecoaching #lekcjauśmiechu #coach #tenerife #canaryislands… https://t.co/IZXO3L23Da</t>
  </si>
  <si>
    <t>Loro Parque in Tenerife, Canary Islands is a must to visit!! https://t.co/Bs9U52Xeh3 #travelblogger #canaryislands https://t.co/7kenDnjMqy</t>
  </si>
  <si>
    <t>Nathan Anderson</t>
  </si>
  <si>
    <t>See the Other Side of Spain and Travel to the Canary Islands https://t.co/eRH2LCRIf1 via @dukestewartwrites #spain #canaryislands</t>
  </si>
  <si>
    <t>Washington, USA</t>
  </si>
  <si>
    <t>Adventure traveler, hiker, motorcycle rider, foodie, writer, history geek, photographer. Co-host of #TravelIST</t>
  </si>
  <si>
    <t>Happiness 💛</t>
  </si>
  <si>
    <t>The #CanaryIslands are the perfect destination for families with children #travel https://t.co/vjMZyPQ6vw</t>
  </si>
  <si>
    <t>S&amp;D Global</t>
  </si>
  <si>
    <t>Jesus Martin Vidal</t>
  </si>
  <si>
    <t>SPANISH AIR FORCE EOD TECHNICIAN. I love my job WE EARNED OUR PAY BY CLEARING THE WAY</t>
  </si>
  <si>
    <t>alfredo</t>
  </si>
  <si>
    <t>Kreangkraiyuth P.</t>
  </si>
  <si>
    <t>join to the world</t>
  </si>
  <si>
    <t>Fefo Medina</t>
  </si>
  <si>
    <t>🆒 #Me #selfie #GranCanaria #CanaryIslands #AtlanticOcean #Freak #of #motorsport #&amp; #autosport… https://t.co/WRgtaLQBe0</t>
  </si>
  <si>
    <t>Driver 'N' Rider; 3D designer; Working at @Salinetashotdog; If life hits hard, then you must hit twice as hard and keep going Gran Canaria Canary Islands 🚃💨🏁</t>
  </si>
  <si>
    <t>Paweł Bondaryk</t>
  </si>
  <si>
    <t>prawa strona</t>
  </si>
  <si>
    <t>Latawce, liniowce, śmigłowce, wojskowce...</t>
  </si>
  <si>
    <t>Salamanca, España</t>
  </si>
  <si>
    <t>Still waiting to know these 70% of the planet? #TenDive #Tenerife #CanaryIslands #Scuba #Diving #PADi #UTD #Spain https://t.co/pKbpLysddK</t>
  </si>
  <si>
    <t>Good Morning #Lanzarote #Canaryislands today Saturday 24ºC https://t.co/XJlilJLlQ9 https://t.co/Hu1hhZnEQm</t>
  </si>
  <si>
    <t>RT @SuneHolidays: Good Morning #Lanzarote #Canaryislands today Saturday 24ºC https://t.co/XJlilJLlQ9 https://t.co/Hu1hhZnEQm</t>
  </si>
  <si>
    <t>Arrecife Gran Hotel</t>
  </si>
  <si>
    <t>Good morning #Arrecife #Lanzarote #Saturday #CanaryIslands @ Lanzarote, Islas Canarias, España https://t.co/8ZEXKTZWc5</t>
  </si>
  <si>
    <t>Lanzarote - Islas Canarias</t>
  </si>
  <si>
    <t>El Arrecife Gran Hotel &amp; Spa en Lanzarote, es el lugar ideal para pasar unas vacaciones inolvidables llenas de relajación y tranquilidad.</t>
  </si>
  <si>
    <t>Gran Canaria's vast oceanic research platform is in the sea https://t.co/ImOmwbcneC #science #CanaryIslands https://t.co/fKLecCWNsx</t>
  </si>
  <si>
    <t>This trendy Alpine Club polo shirt is 100% cotton and quick drying! https://t.co/27wlOPCVA3 #canaryislands https://t.co/gBaIyO5dEX</t>
  </si>
  <si>
    <t>Tenerife Ocio</t>
  </si>
  <si>
    <t xml:space="preserve">Tenerife </t>
  </si>
  <si>
    <t>Qué ocurre en nuestra Isla, climatología, playas, ocio, senderismo, deporte, moda, eventos y actividades. TODO MENOS POLÍTICA (salvo casos MUY excepcionales)</t>
  </si>
  <si>
    <t>manuel bizcocho reye</t>
  </si>
  <si>
    <t>Coria del Río, Andalucía</t>
  </si>
  <si>
    <t>coriano,rociero y trianero</t>
  </si>
  <si>
    <t>Only-apartments</t>
  </si>
  <si>
    <t>Somewhere is autumn, somewhere is always summer! Like in #Canaryislands https://t.co/lu84OaCAhb ☀️ 🙂 ☀️ https://t.co/A9g5mgVfOI</t>
  </si>
  <si>
    <t>We specialize in short term apartment rentals worldwide. The best way to travel and live like a local. If you need help contact us at: http://t.co/4LLZe8fOhc</t>
  </si>
  <si>
    <t>❤️#tenerife #canaryislands https://t.co/JfLYCiXhzP</t>
  </si>
  <si>
    <t>Khaleesi</t>
  </si>
  <si>
    <t>Las Palmas you so pretty #viewthroughaporthole #laspalmas #canaryislands https://t.co/OcvDu9CNBZ</t>
  </si>
  <si>
    <t>Earth-616</t>
  </si>
  <si>
    <t>Veteran Cove Guardian and volunteer for Sea Shepherd UK / Global. My opinions are my own.</t>
  </si>
  <si>
    <t>Krabbies zoeken ❤️ #hidalgo #canaryislands #tenerife https://t.co/xxWjqXmsvI</t>
  </si>
  <si>
    <t>INTERVAL</t>
  </si>
  <si>
    <t>@PepBlanc Impresionante. Realmente Las Islas Afortunadas #Canarias #CanaryIslands</t>
  </si>
  <si>
    <t>Bolsas de plástico reciclado. #biodegradable #compostable Comprometidos con el Medio Ambiente Plastic Recycling. We are committed to Environmental Care.</t>
  </si>
  <si>
    <t>AurinkoTeneriffa</t>
  </si>
  <si>
    <t>Aurinkomatkojen Teneriffan oppaat antavat vinkkejä ja vastaavat kysymyksiin. Tervetuloa seuraamaan ja osallistumaan!</t>
  </si>
  <si>
    <t>San Agustin Beach | Beaches in #GranCanaria #CanaryIslands https://t.co/U8iwW7w3dW https://t.co/MyZyzZooZt</t>
  </si>
  <si>
    <t>Estefania Matesanz</t>
  </si>
  <si>
    <t>Somewhere in the world</t>
  </si>
  <si>
    <t>Haciendo camino al andar</t>
  </si>
  <si>
    <t>Pamita Rao</t>
  </si>
  <si>
    <t>RT @AlexBramwellGC: Gran Canaria's vast oceanic research platform is in the sea https://t.co/ImOmwbcneC #science #CanaryIslands https://t.c…</t>
  </si>
  <si>
    <t>PamitaRao App</t>
  </si>
  <si>
    <t>Author, Blogger, Avid Reader. Gates of Heaven - First book in fantasy action-adventure series is now live! https://t.co/EzX1G7Xi0O</t>
  </si>
  <si>
    <t>@emocionesCan @paisajecanario @Salamanca_SSV @islaspromo @LpaVisit #CanaryIslands #BuenosDias #goodmorning… https://t.co/tmn6asNHTe</t>
  </si>
  <si>
    <t>RT @Selhso: @emocionesCan @paisajecanario @Salamanca_SSV @islaspromo @LpaVisit #CanaryIslands #BuenosDias #goodmorning #saturdaymorning #F…</t>
  </si>
  <si>
    <t>Disconta.es</t>
  </si>
  <si>
    <t>RT @DunasHoteles: San Agustin Beach | Beaches in #GranCanaria #CanaryIslands https://t.co/U8iwW7w3dW https://t.co/MyZyzZooZt</t>
  </si>
  <si>
    <t>Playa Blanca en #Dunas #PuertodelRosario #Playa #holiday #travel #paisajes #lugaresconencanto #Fuerteventura… https://t.co/kFk1SxKKwv</t>
  </si>
  <si>
    <t>Playa Blanca en #Dunas #PuertodelRosario #Playa #holiday #travel #paisajes #lugaresconencanto #Fuerteventura… https://t.co/UtHoKgA0b2</t>
  </si>
  <si>
    <t>Some fauna around: La Palma chaffinch #canaryislandhopping #canaryislands #lapalma #fauna… https://t.co/ie44yBwzqF</t>
  </si>
  <si>
    <t>Rosi Aguiar</t>
  </si>
  <si>
    <t>Icod de los Vinos, España</t>
  </si>
  <si>
    <t>Donde mejor se vive...islas canarias</t>
  </si>
  <si>
    <t>Hotel Bahia del Conde #FarodeMaspalomas #Meloneras #travel #Smile #HappyHolidays #Maspalomas #GranCanaria #Photos… https://t.co/NQ2MYluwTX</t>
  </si>
  <si>
    <t>Mar revuelta Costa de Meloneras #FarodeMaspalomas #Meloneras #travel #Smile #HappyHolidays #Maspalomas… https://t.co/FQYf1RMbjh</t>
  </si>
  <si>
    <t>Hotel Palm Beach Maspalomas #CharcadeMaspalomas #Meloneras #travel #Smile #HappyHolidays #Maspalomas… https://t.co/mKbhbIEKS8</t>
  </si>
  <si>
    <t>C. Comercial @CCELTABLERO #Ocio #ComprasdeNavidad #ElTablero #travel #Smile #HappyHolidays #Maspalomas… https://t.co/wP5w851oEh</t>
  </si>
  <si>
    <t>C. Comercial @CCELTABLERO #Ocio #ComprasdeNavidad #ElTablero #travel #Smile #HappyHolidays #Maspalomas… https://t.co/ilLiQVQMDG</t>
  </si>
  <si>
    <t>NaughtyGirlPromos18+</t>
  </si>
  <si>
    <t>USA [18+] Promoting The Hottest Girls On Twitter!! #NaughtyGirl and #GirlsOfTwitter #Follow My Sexy Avi ❤️@Ruby_Sparx❤️</t>
  </si>
  <si>
    <t>☞ ⊕ӈĠ ☜</t>
  </si>
  <si>
    <t>18+ #NSFW #OHG No dicks/No hardcore/No duckfaces Profile pic: @SaraUnderwood Header: @Michelle_TYM</t>
  </si>
  <si>
    <t>lucylay35</t>
  </si>
  <si>
    <t>Birmingham  AL.</t>
  </si>
  <si>
    <t>hot loving wife that loves to share my girlfriends with my sexy husband. oyea it gets wet and wild!</t>
  </si>
  <si>
    <t>Fckmeyeah!</t>
  </si>
  <si>
    <t>Pornland</t>
  </si>
  <si>
    <t>Pics &amp; more.. have a lot fun!</t>
  </si>
  <si>
    <t>shagme19</t>
  </si>
  <si>
    <t>uk</t>
  </si>
  <si>
    <t>18+ only, i'm a man that loves women &amp; the pic's of women only</t>
  </si>
  <si>
    <t>Petra van Leeuwen</t>
  </si>
  <si>
    <t>Not Madrid this year but definitely Spain for the best holidays #Escape #Spain #CanaryIslands😉Madrid, CU next sprin… https://t.co/4TGqr1wDMy</t>
  </si>
  <si>
    <t>Zeeland</t>
  </si>
  <si>
    <t>Los Hervideros #sunset in #Lanzarote #canaryislands #canarias #laspalmas https://t.co/uLS2OmYHId https://t.co/cM7pxdamd3</t>
  </si>
  <si>
    <t>Remy Ludo Gieling</t>
  </si>
  <si>
    <t>Great weather here in the #canaryislands #palmtrees #holiday #illbeback @ Parque de San Telmo https://t.co/eRLvNN2yww</t>
  </si>
  <si>
    <t>Utrecht</t>
  </si>
  <si>
    <t>Editor-in-chief @sprout_nl // Co-Auteur 100 Business Bites // Technologie &amp; Ondernemerschap // Media innovatie // Saab // remy@sprout.nl</t>
  </si>
  <si>
    <t>Abrazo mojado... #grancanaria #LasPalmas #canaryislands #FelizFinDeSemana https://t.co/1UKqGjvGF0</t>
  </si>
  <si>
    <t>Stani Klajban</t>
  </si>
  <si>
    <t>Playa de las Americas 😍😍 #tenerife #ilovearona #canaries #CanaryIslands https://t.co/Q05N7noRpS</t>
  </si>
  <si>
    <t>Santa Cruz de Tenerife, Islas Canarias</t>
  </si>
  <si>
    <t>Marketing online y comercio electrónico. Piloto. / Marketing, online sales and social networks. Pilot. Tourism, aviation.</t>
  </si>
  <si>
    <t>On the way home... #tenerife #airport #sunnyday #canaryislandhopping #canaryislands @ Aeropuerto… https://t.co/BMmnQWAFIm</t>
  </si>
  <si>
    <t>Jimmy Davis</t>
  </si>
  <si>
    <t>Orzola #lanzarote #canaries #islascanarias #canaryislands #beach #montagne #volcan #sea #orzola https://t.co/PchQH4ppDr</t>
  </si>
  <si>
    <t>CortijoLosAlmendros</t>
  </si>
  <si>
    <t>Hit #Tenerife for an authentic taste of the #CanaryIslands: https://t.co/GMFPc2EoHz via @Iberia_en's @MatthewHirtes @visit_tenerife @holyber</t>
  </si>
  <si>
    <t>Our 2 bedroom farmhouse apartment is set in beautiful countryside near #Archidona #Malaga #Spain prices from £325 per week! #holidayinspain</t>
  </si>
  <si>
    <t>Diana Berryman</t>
  </si>
  <si>
    <t>Hit #Tenerife for an authentic taste of the #CanaryIslands: https://t.co/vQwtp4KoQL via @Iberia_en's @MatthewHirtes @visit_tenerife @holyber</t>
  </si>
  <si>
    <t>Living in #Andalucia, #Spain.....loving it!!! Also @Asupportedhols for supported holidays and @AlmendrosSpain for self catering holidays #wabas</t>
  </si>
  <si>
    <t>Hit #Tenerife for an authentic taste of the #CanaryIslands: https://t.co/kUhEWMJ9b8 via @Iberia_en's @MatthewHirtes @visit_tenerife @holyber</t>
  </si>
  <si>
    <t>Virtual Assistance Services including social media, content creation, marketing and promotion #VA #SoMe. Let us organise your lives!</t>
  </si>
  <si>
    <t>Hit #Tenerife for an authentic taste of the #CanaryIslands: https://t.co/mMA8wpTusH via @Iberia_en's @MatthewHirtes @visit_tenerife @holyber</t>
  </si>
  <si>
    <t>Spain and The Whole Wide World</t>
  </si>
  <si>
    <t>#SocialMedia Manager | #Writer | #VirtualAssistant. Helper of companies, carer of clients, taking the business weight off your shoulders.</t>
  </si>
  <si>
    <t>Gona Ronaldo</t>
  </si>
  <si>
    <t xml:space="preserve">MG </t>
  </si>
  <si>
    <t>Intrepid Traveler</t>
  </si>
  <si>
    <t>Love to travel the world. Featuring travel experiences &amp; people who love to travel. Try our Android travel apps:Travel Wallpaper https://t.co/0yDoTaXiAJ</t>
  </si>
  <si>
    <t>RT @AlmendrosSpain: Hit #Tenerife for an authentic taste of the #CanaryIslands: https://t.co/GMFPc2EoHz via @Iberia_en's @MatthewHirtes @vi…</t>
  </si>
  <si>
    <t>Cali Martín</t>
  </si>
  <si>
    <t>Un día gris 🌫 #rincondecalitraveling #calimartin #canarias #canaryislands #lapalma #olas #mar… https://t.co/BFUr2rDEwp</t>
  </si>
  <si>
    <t>Madre,maestra,consultora de belleza,bloguera... Para ti, ideas, consejos, tendencias, trucos y estrategias para sentirte bien.</t>
  </si>
  <si>
    <t>Nelson Teixeira</t>
  </si>
  <si>
    <t>We can be heroes, just for one day #montanaroja #Lanzarote #canaryislands #playablanca #selfie… https://t.co/j5bQfEI6iN</t>
  </si>
  <si>
    <t>Portugal, Lisbon, Queluz</t>
  </si>
  <si>
    <t>35 years old freelancer photographer, based in Lisbon, Portugal. Shoots mainly fashion, portaits, weddings and other social events. FB: /NelsonTeixeiraPhoto</t>
  </si>
  <si>
    <t>#sunrise #Travel #Tourism #CanaryIslands @ Barceló Castillo Beach Resort https://t.co/PpSG99H82a</t>
  </si>
  <si>
    <t>MariaVisi.</t>
  </si>
  <si>
    <t>❤#sunset 💙#Lanzarote #FelizSabado #HappySaturday #Paradise #sinfiltro #lovecanarias #palm #CanaryIslands… https://t.co/M5djjAnzkC</t>
  </si>
  <si>
    <t>Diseñadora de moda de VISI @visidesigner</t>
  </si>
  <si>
    <t>VISI FashionDesigner</t>
  </si>
  <si>
    <t>RT @visi_maria: ❤#sunset 💙#Lanzarote #FelizSabado #HappySaturday #Paradise #sinfiltro #lovecanarias #palm #CanaryIslands #ParaisoNatural #…</t>
  </si>
  <si>
    <t>VISI Fashion Designer Etsyshop /Instagram/Facebook/Pinterest #enbikinisevivemejor visifashiondesigner@gmail.com</t>
  </si>
  <si>
    <t>Hasta mañana 🌞🙏 #afortunadas #islascanarias #canaryislands #soinlovewiththisplace https://t.co/pp9KSqzJ7P</t>
  </si>
  <si>
    <t>@Steelcitygam3r strikes again! https://t.co/v0dstdRSgg #Tenerife #shopping #CanaryIslands #spain #blog #TravelBlog</t>
  </si>
  <si>
    <t>Hoy no estaba para bañarse 🌫🌫 #rincondecalitraveling #calimartin #canarias #canaryislands… https://t.co/ePR2khlvEz</t>
  </si>
  <si>
    <t>Very cool place on a #rooftop terrace. #drinks #gintonic #canaryislands #ice @ لاس بالماس دي… https://t.co/ZFMFAmdxC8</t>
  </si>
  <si>
    <t>Rafael Bujotzek</t>
  </si>
  <si>
    <t>Donutballoons 🍩🎈 #Homer #Simpsons #Streetart #Tenerife #canaryislands #Teneriffa #Spain #S… https://t.co/gtTfHr74x6 https://t.co/FjssZzMNsB</t>
  </si>
  <si>
    <t>Offenbach am Main, Deutschland</t>
  </si>
  <si>
    <t>Fernsehredakteur @ZDF und Moderator @inzwischenzeit, Chefredakteur @goodnewsappDE, Geschäftsführer @gliscohilft. Hier gerne mal ironisch!</t>
  </si>
  <si>
    <t>violeta pena</t>
  </si>
  <si>
    <t>Puebla, Mexico</t>
  </si>
  <si>
    <t>(18+) Pareja ambos en los 30.Nos encanta el exhibicionismo y el voyeurismo..y hacerlo junto con otras parejas en lugares publicos</t>
  </si>
  <si>
    <t>serafinzx10</t>
  </si>
  <si>
    <t>ESPAÑA es mi sangre roja,Gran Canaria mi sol amarillo,los dos mi bandera.Mi moto,la amante,tumbado con la rodilla en el asfalto.Mi Familia mi vida</t>
  </si>
  <si>
    <t>Aλβερτo</t>
  </si>
  <si>
    <t>El pequeño futuro.'💎 #drums #class #Tenerife #canaryislands @ Santa… https://t.co/TYga0r0tDB</t>
  </si>
  <si>
    <t>La Laguna, Tenerife, Canarias.</t>
  </si>
  <si>
    <t>Tenerife. Instagram: albertito__94 *Vivo para hacer arte en todas sus formas*</t>
  </si>
  <si>
    <t>Tom Brendt</t>
  </si>
  <si>
    <t>Some more stills... #Lanzarote #canaryislands #TomBrendtFoto #tombrendtphotography… https://t.co/jwko3sSPex</t>
  </si>
  <si>
    <t>travelling the world</t>
  </si>
  <si>
    <t>windsurfcoach - photographer</t>
  </si>
  <si>
    <t>RT @MokaGonzalez_: Abrazo mojado... #grancanaria #LasPalmas #canaryislands #FelizFinDeSemana https://t.co/1UKqGjvGF0</t>
  </si>
  <si>
    <t>@emocionesCan @paisajecanario @Salamanca_SSV @islaspromo @LpaVisit #CanaryIslands #goodnight #buonanotte… https://t.co/PuoaKeq5TX</t>
  </si>
  <si>
    <t>Piconcita</t>
  </si>
  <si>
    <t xml:space="preserve">Las Palmas-Gran Canaria </t>
  </si>
  <si>
    <t>No confundas mi personalidad, con mi actitud. Mi personalidad es quien soy, mi actitud depende de quien seas tú</t>
  </si>
  <si>
    <t>We'd love if you'd come say hi in our stores and check out our products like these from VICTORINOX!… https://t.co/ejTH37fHxX</t>
  </si>
  <si>
    <t>Ankido glgamich</t>
  </si>
  <si>
    <t>MÍCHELNV</t>
  </si>
  <si>
    <t>Capricolor Estudio F</t>
  </si>
  <si>
    <t>Enlaces matrimoniales #civiles #wedding #Capricolor #canaryislands #photographer #bride… https://t.co/Gx33EkL4SQ</t>
  </si>
  <si>
    <t>Empresa dedicada al mundo de la Fotografía, Video y Publicidad. Especialistas en Reportajes de Boda, Bautizos,Comuniones, Galas, Conciertos, etc...</t>
  </si>
  <si>
    <t>#Christmas innit 🎅 #Xmas #Tenerife #spain #canaryislands #church #lights #festive @ Los… https://t.co/T7Tz3X3dx9</t>
  </si>
  <si>
    <t>Oh, that #Spanish #accent! 😏😃 RT @AlexBramwellGC: The sexiest accent in Spain https://t.co/qGxaFYuaeh #CanaryIslands https://t.co/AK6RxnkCUB</t>
  </si>
  <si>
    <t>Gord Collins</t>
  </si>
  <si>
    <t>Coolest Mountain Bike Videos - 2016 Collection - https://t.co/N7GLCtEF37 #xtreme #mountains #canaryislands #switzerland #whistler #BC #Fun</t>
  </si>
  <si>
    <t>Canada</t>
  </si>
  <si>
    <t>High Traffic Marketing for Real Estate, Insurance, Lawyers in Toronto, Los Angeles, and New York. https://t.co/rVgXmZib2h #SEO #Marketing #Conversion</t>
  </si>
  <si>
    <t>Arie Abekasis</t>
  </si>
  <si>
    <t>Coolest Mountain Bike Videos - 2016 Collection - https://t.co/fEHeWqC2VB #xtreme #mountains #canaryislands #switzerland #whistler #BC #Fun…</t>
  </si>
  <si>
    <t>Sherman Oaks, CA</t>
  </si>
  <si>
    <t>#ArieAbekasis is the founder of #DiditanLuxuryHomeBuilders, a #local #customhome builder that is based in #LosAngeles (818) 784-5557</t>
  </si>
  <si>
    <t>Noam Bouzaglou</t>
  </si>
  <si>
    <t>Coolest Mountain Bike Videos - 2016 Collection - https://t.co/77oWpgs3sU #xtreme #mountains #canaryislands #switzerland #whistler #BC #Fun…</t>
  </si>
  <si>
    <t>Tarzana, CA</t>
  </si>
  <si>
    <t>@NoamBouzaglou prides himself as a #customhomebuilder in #LosAngeles, for residential and commercial #homes. https://t.co/U28dW4ymxx 818/415-1557</t>
  </si>
  <si>
    <t>Tenerifehotel</t>
  </si>
  <si>
    <t>I primi 1000 seguaci ❤❤ The first 1000 followers ❤❤ https://t.co/TelkCZfIPy #tenerife #teide #tfe #canaryislands... https://t.co/MBB8pxhzlX</t>
  </si>
  <si>
    <t xml:space="preserve">Santa Cruz de Tenerife, Islas </t>
  </si>
  <si>
    <t>Lanzarote3.com</t>
  </si>
  <si>
    <t>Permanentemente de turismo en la isla que vivimos: Gastronomía, playas, lugares de interés...http://t.co/we4mT03bUr También en Facebook: https://t.co/g8cn6pZ1YJ</t>
  </si>
  <si>
    <t>José Carlos Díez</t>
  </si>
  <si>
    <t>Tits Bums And Feet</t>
  </si>
  <si>
    <t xml:space="preserve">Scotland </t>
  </si>
  <si>
    <t>Follow my mate @TonyDarker</t>
  </si>
  <si>
    <t>HOT ASS</t>
  </si>
  <si>
    <t>Amazing #video! Haría in #Lanzarote, the spectacle of nature... https://t.co/ZDwSotuUXT. @TurismoLZT #CanaryIslands… https://t.co/PZxeloV1PI</t>
  </si>
  <si>
    <t>Twitter Ads</t>
  </si>
  <si>
    <t>Welcome to Spain. Get ready for a trip to Spain! The official Twitter for tourism in Spain #visitspain</t>
  </si>
  <si>
    <t>Me Abstengo</t>
  </si>
  <si>
    <t>RT @spain: Amazing #video! Haría in #Lanzarote, the spectacle of nature... https://t.co/ZDwSotuUXT. @TurismoLZT #CanaryIslands #visitspain…</t>
  </si>
  <si>
    <t>Vivo y dejo vivir. Si no me lo creo, paso. No votando expreso lo que siento. Pero lo que siento no le interesa a nadie, paso.</t>
  </si>
  <si>
    <t>Señorita Nisa</t>
  </si>
  <si>
    <t>soy BELIEBER ✌</t>
  </si>
  <si>
    <t>marchand</t>
  </si>
  <si>
    <t>france</t>
  </si>
  <si>
    <t>cinéma, littérature Infos,musiques. Chacun pense qu'il faut changer le monde, mais personne pense qu'il faut se changer soi même. (Tishan)</t>
  </si>
  <si>
    <t>ALE Vz</t>
  </si>
  <si>
    <t>josejasz</t>
  </si>
  <si>
    <t>Simplemente Español.</t>
  </si>
  <si>
    <t>Austin</t>
  </si>
  <si>
    <t>XHS 16' R-MC 20' #TrumpPence16</t>
  </si>
  <si>
    <t>Diego Gonzalo</t>
  </si>
  <si>
    <t>Madrid - Soria</t>
  </si>
  <si>
    <t>Graduado en Economía y Finanzas por la Universidad Autónoma de Madrid. Trabajando dentro de los malvados mercados financieros.</t>
  </si>
  <si>
    <t>Duyguluk</t>
  </si>
  <si>
    <t>ıstanbul</t>
  </si>
  <si>
    <t>Gülücüğü çukurlu.</t>
  </si>
  <si>
    <t>Gloria Raquel</t>
  </si>
  <si>
    <t>Telde-Gran Canaria,España</t>
  </si>
  <si>
    <t>Licenciada en Dirección de Comercio Internacional y Marketing. Católica. Entusiasta Cooperadora de Don Bosco en la promoción de los jóvenes más pobres.</t>
  </si>
  <si>
    <t>Ángel Lin</t>
  </si>
  <si>
    <t>Valencia, España</t>
  </si>
  <si>
    <t>Yong Feng Telecom</t>
  </si>
  <si>
    <t>Turomaquia</t>
  </si>
  <si>
    <t>Blog de viagens. O que tem? Dicas sobre roteiros, hotéis, restaurantes, lugares para visitar e guias gratuitas dos museus mais visitados do mundo.</t>
  </si>
  <si>
    <t>Madrid Brand</t>
  </si>
  <si>
    <t>Amazing #video! Haría in #Lanzarote, the spectacle of nature... https://t.co/IjbMbw3Q5N. TurismoLZT #CanaryIslands #http://visitspainpic.tw…</t>
  </si>
  <si>
    <t>Madrid, Comunidad de Madrid</t>
  </si>
  <si>
    <t>#Cultura Promote #Talento # Innovation and #Singularidad of #Madrid through #Calidad and #Excelencia. Also in @Estrellas_Siete ☆ ☆ #SEO @fmarin_ES</t>
  </si>
  <si>
    <t>Jackie McCaffrey</t>
  </si>
  <si>
    <t>New York, NY and Marfa, TX</t>
  </si>
  <si>
    <t>Lover of animals. Watcher of television and film. Co-prez at Silverock Films.</t>
  </si>
  <si>
    <t>Paul Moran Riggs</t>
  </si>
  <si>
    <t>USA &amp; Spain</t>
  </si>
  <si>
    <t>Ask not what your country can do for you. ASK WHAT YOU CAN DO FOR YOUR COUNTRY.</t>
  </si>
  <si>
    <t>Alberto H.G</t>
  </si>
  <si>
    <t>¿un sabor?...la vida.</t>
  </si>
  <si>
    <t>Ne medved Li</t>
  </si>
  <si>
    <t>Twitter for Mac</t>
  </si>
  <si>
    <t>David Guanche</t>
  </si>
  <si>
    <t>Recycle Skate #skate #recycle #skateboard #skater #santacruz de #tenerife #canaryislands… https://t.co/RXobRYXlHB</t>
  </si>
  <si>
    <t>Fotógrafo en Tenerife. Fotografía de bodas, exteriores, estudio, publicidad, eventos deportivos. Asiduo del retrato, blanco y negro y erotismo</t>
  </si>
  <si>
    <t>moonlight</t>
  </si>
  <si>
    <t>Movie, Spain, Europe, Sunset</t>
  </si>
  <si>
    <t>Dr. Kavarga</t>
  </si>
  <si>
    <t>Las Vegas, NV</t>
  </si>
  <si>
    <t>Podcast/radio personality, writer, drinker, expert on all things awesome. Fan of EDM, the Eagles, and aspiring DJ.</t>
  </si>
  <si>
    <t>Come check out our Wenger range of bags at our stores in the #canaryislands! https://t.co/27wlOPCVA3 https://t.co/uKHzMpYndG</t>
  </si>
  <si>
    <t>Just before my set in Tenerife.. #saturday #canaryislands #tenerife #papagayo https://t.co/df8nzWeJvD https://t.co/Ra58g3bLW1</t>
  </si>
  <si>
    <t>Aristia Bernabéu</t>
  </si>
  <si>
    <t>Jakarta Timur, DKI Jakarta</t>
  </si>
  <si>
    <t>¡Hala Madrid! y ¡Vamos España! •• Altair Aquila ✈</t>
  </si>
  <si>
    <t>Gabriel Turmo Sainz</t>
  </si>
  <si>
    <t>Orgullós de Terrassa, la meva ciutat. Abogado de profesión. Presidente de la sección local del PPC de Terrassa y Ex-Portavoz del GMPPC de Terrassa.</t>
  </si>
  <si>
    <t>Brenda Sequera</t>
  </si>
  <si>
    <t xml:space="preserve">gran canaria </t>
  </si>
  <si>
    <t>el cambio sensato está en manos de los ciudadanos, no de los políticos, C's quiere que tu seas parte del cambio https://t.co/asd00NhasJ</t>
  </si>
  <si>
    <t>SMARK Travel Blog</t>
  </si>
  <si>
    <t>Viva el trópico! #paisaje #viajes #travel #canaryislands #fuerteventura #corralejo… https://t.co/RaTDprebZW</t>
  </si>
  <si>
    <t>Fotografía, comida, bares, paisajes, arte urbano, ciudades, montañas, arte, viajes por @jmdepablo y @mikelmarques</t>
  </si>
  <si>
    <t>Eragone ♥♣ ♫ ♠</t>
  </si>
  <si>
    <t>#HoldTheDoor #Door #FalseCemetery #Cemetery #Park #Fuerteventura #CanaryIslands https://t.co/KHpAXEfWZr</t>
  </si>
  <si>
    <t>Diseñadora de joyas. Monitora de ocio y tiempo libre. Azafata y promotora de ventas/eventos. Dependienta de tienda... Alma libre. O eso me gustaría...</t>
  </si>
  <si>
    <t>MD</t>
  </si>
  <si>
    <t>RT @adrian_e_arch: Incube Building in Las Palmas: https://t.co/W4pqb4NKUt #LasPalmas #CanaryIslands #architecture https://t.co/3lHzAxWgHR</t>
  </si>
  <si>
    <t>Malcolm Dickson: Interests in architecture; design; building conservation; planning; Frederick Etchells; Duchamp; and everything else, with a few exceptions.</t>
  </si>
  <si>
    <t>Josephine Alonso</t>
  </si>
  <si>
    <t>New York, USA// Singapore</t>
  </si>
  <si>
    <t>Deus sabe de todas as coisas. A seguir que o melhor estar por vir.</t>
  </si>
  <si>
    <t>Burak GÜLLER</t>
  </si>
  <si>
    <t>Estambul, Turquía</t>
  </si>
  <si>
    <t>Fundación Internacional de Derechos Humanos #BG</t>
  </si>
  <si>
    <t>Sergey Toropov</t>
  </si>
  <si>
    <t>Екатеринбург</t>
  </si>
  <si>
    <t>clay</t>
  </si>
  <si>
    <t>Why #LasPalmas is a must-see destination on your next trip to #CanaryIslands https://t.co/qlXsh1W38V https://t.co/pvr9CY7mOE</t>
  </si>
  <si>
    <t>Cindy</t>
  </si>
  <si>
    <t>🇪🇸Juancar 🇪🇸</t>
  </si>
  <si>
    <t>Madrid (Spain)</t>
  </si>
  <si>
    <t>Las únicas verdades que sirven son instrumentos que luego hay que tirar. Español hasta la médula 🇪🇸</t>
  </si>
  <si>
    <t>pennainviaggio</t>
  </si>
  <si>
    <t>Soverato, Calabria</t>
  </si>
  <si>
    <t>#travel #emotions #photography a metà tra #Calabria e #Tenerife</t>
  </si>
  <si>
    <t>なちょ</t>
  </si>
  <si>
    <t>いぎりっさんの燃え盛る炎の中の薪</t>
  </si>
  <si>
    <t>APH好き/英領/親馬鹿子分/声優好き/ヨーロッパの古都･民族衣装･民族音楽/洋楽好き/ 地雷皆無の雑食 本家供給恐怖症 18↑夢はコルマール(街)と結婚すること @Nano87sunset⬅RKRNと昭和ラブコメ垢</t>
  </si>
  <si>
    <t>Miguel Z.S</t>
  </si>
  <si>
    <t>MadriZ!</t>
  </si>
  <si>
    <t>Donde me lleve el viento,y si es huracanado mejor.</t>
  </si>
  <si>
    <t>Paul Robinson</t>
  </si>
  <si>
    <t xml:space="preserve">Norfolk UK,Scotland ,Espagna  </t>
  </si>
  <si>
    <t>Where the Magic Begins Food Group. Business Internationally. Ambassador #Norfolk World Traveller. #lovetotravel</t>
  </si>
  <si>
    <t>#Amanecer de #hoy feliz #domingo 🍂 #Microclima ☁ #tenerifereviews #Tenerife #canaryislands… https://t.co/f84yzeMQdY</t>
  </si>
  <si>
    <t>Good Morning #Lanzarote #Canaryislands today Sunday 24ºC https://t.co/XJlilJLlQ9 https://t.co/MmKg6Q6ncb</t>
  </si>
  <si>
    <t>Mar Torres</t>
  </si>
  <si>
    <t>Spanish girl addicted to coffee, music, cinema &amp; a good book.</t>
  </si>
  <si>
    <t>#Amanecer de #hoy feliz #domingo 🍂 #Microclima ☁ #tenerifereviews #Tenerife #canaryislands… https://t.co/Hsoc6eclal</t>
  </si>
  <si>
    <t>Dixkover</t>
  </si>
  <si>
    <t>Proud to be feautured in @olivers_travels blog w/ Top 10 Experiences in #CanaryIslands &gt; https://t.co/T2BsaiMLpD https://t.co/V7eCUohlqx</t>
  </si>
  <si>
    <t>Tweet Jukebox</t>
  </si>
  <si>
    <t>Candelaria, Islas Canarias</t>
  </si>
  <si>
    <t>Experiencias únicas en Canarias y Cataluña | Naturaleza y Aventura + Familia + Gastronomía | +34 922 286 288 | customer@dixkover.com ➡ https://t.co/3C27hj6fZa</t>
  </si>
  <si>
    <t>Still waiting to know these 70% of the planet? #TenDive #Tenerife #CanaryIslands #Scuba #Diving #PADi #UTD #Spain https://t.co/zoNoFCyw3f</t>
  </si>
  <si>
    <t>#TenDive #Scuba #Diving #Buceo #Dive #Tenerife #PADI #CanaryIslands #UTD #IslasCanarias #TenDiveDivingCenter... https://t.co/giXpA9Tey5</t>
  </si>
  <si>
    <t>#TenDive #Scuba #Diving #Buceo #Dive #Tenerife #PADI #CanaryIslands #UTD #IslasCanarias #TenDiveDivingCenter... https://t.co/hHBD5AfJ2P</t>
  </si>
  <si>
    <t>RT @SuneHolidays: Good Morning #Lanzarote #Canaryislands today Sunday 24ºC https://t.co/XJlilJLlQ9 https://t.co/MmKg6Q6ncb</t>
  </si>
  <si>
    <t>Visit us in our stores to see our range of Swiss Military Hanowa watches... https://t.co/27wlOPCVA3 #CanaryIslands https://t.co/iNEfeNKPFN</t>
  </si>
  <si>
    <t>Shar Edwards</t>
  </si>
  <si>
    <t>RT @Shar_edwards: I just backed Images from a Small Island - Photobook on @Kickstarter https://t.co/pgsBGlqm5s #photography #canaryislands…</t>
  </si>
  <si>
    <t>In the middle</t>
  </si>
  <si>
    <t>loves the universe</t>
  </si>
  <si>
    <t>Boats and Brunch at Puerto Calero #Lanzarote #Marina #CanaryIslands https://t.co/RIxQ2lh7LP</t>
  </si>
  <si>
    <t>Met a new friend today #canaryislands #grancanaria #bird @ Vegueta Las Palmas https://t.co/pY9Rl7jbLq</t>
  </si>
  <si>
    <t>Lupe</t>
  </si>
  <si>
    <t>Mi primer #selfie navideño, ¿sabes donde? #navidad #canaryislands #adejeando… https://t.co/XedTKEyZJt</t>
  </si>
  <si>
    <t>Amanda Rudham</t>
  </si>
  <si>
    <t>10 ways you’ll lose your heart to #GranCanaria, sun, sea and surf combine beautifully in the #CanaryIslands… https://t.co/fVghrlz0cM</t>
  </si>
  <si>
    <t>Chester</t>
  </si>
  <si>
    <t>Travel Counsellor @TCworldwide Helping people book their perfect holidays - especially to Disney! #bni #wibn #bizmums Next Holiday: Celebrity Cruise</t>
  </si>
  <si>
    <t>Myself</t>
  </si>
  <si>
    <t>Asturias</t>
  </si>
  <si>
    <t>Subsistiendo. Me gusta estar a oscuras, borracho y solo. ¿Te imaginas despertarte y que todo haya sido un sueño? MMA</t>
  </si>
  <si>
    <t>Idairita</t>
  </si>
  <si>
    <t>Blue ♡ #blue #azul #road #canaryislands #islascanarias #canaries #canarias #grancanaria #sea… https://t.co/SQ1Cz7RJJz</t>
  </si>
  <si>
    <t>España y Corea del Sur</t>
  </si>
  <si>
    <t>Traductora inglés-español. Estudios de Asia Oriental: mención Corea. Soy tímida; si te hablo, siéntete especial. ♪♫♡사랑해♡♪♫</t>
  </si>
  <si>
    <t>Meloneras Beach | Beaches in #GranCanaria #CanaryIslands https://t.co/s1lGkrH5je https://t.co/WuOsc1WBXi</t>
  </si>
  <si>
    <t>RT @DunasHoteles: Meloneras Beach | Beaches in #GranCanaria #CanaryIslands https://t.co/s1lGkrH5je https://t.co/WuOsc1WBXi</t>
  </si>
  <si>
    <t>#Tenerife #Spain #CanaryIslands #Adeje #CostaAdeje #Holiday #Sun #Summer #Volcano #Plane #Wing #Flying #RyanAir https://t.co/7TIgoVWKyQ</t>
  </si>
  <si>
    <t>#Tenerife #Spain #CanaryIslands #Adeje #CostaAdeje #Holiday #Sun #Summer https://t.co/GaWzRIsMyx</t>
  </si>
  <si>
    <t>Antonio Bechara</t>
  </si>
  <si>
    <t>Official Tweets by Antonio Bechara Ghobril</t>
  </si>
  <si>
    <t>#Tenerife #Spain #CanaryIslands #Adeje #CostaAdeje #Holiday #Sun #Summer #Biker #Motorcycle #Mountains https://t.co/RT89xzgcgt</t>
  </si>
  <si>
    <t>#Tenerife #Spain #CanaryIslands #Adeje #CostaAdeje #Holiday #Sun #Summer #CalleBeirut #Mountains https://t.co/3y0l9c8GA7</t>
  </si>
  <si>
    <t>#Tenerife #Spain #CanaryIslands #Adeje #CostaAdeje #Holiday #Sun #Summer #Flowers #Nature https://t.co/n7rJ7s2kC0</t>
  </si>
  <si>
    <t>#Tenerife #Spain #CanaryIslands #Adeje #CostaAdeje #Holiday #Sun #Summer #Mountains #Beach #Sea #Seaside #Rocks #Co… https://t.co/ElfpWUBkPv</t>
  </si>
  <si>
    <t>#worldsmilearchive #uśmiech #smile #lächeln #smilecoaching #lekcjauśmiechu #coach #tenerife #canaryislands sunset… https://t.co/uECLytG7OX</t>
  </si>
  <si>
    <t>#Tenerife #Spain #CanaryIslands #Adeje #CostaAdeje #Holiday #Sun #Summer #Sea #Seaside #Beach #Coast #Water #Sunny https://t.co/4Fb8Cr1Jp1</t>
  </si>
  <si>
    <t>#Tenerife #Spain #CanaryIslands #Adeje #CostaAdeje #Holiday #Sun #Summer #Tree #Nature #Sunshine https://t.co/YNEfBfkKWg</t>
  </si>
  <si>
    <t>#Tenerife #Spain #CanaryIslands #Adeje #CostaAdeje #Holiday #Sun #Summer #Mountain #Volcano https://t.co/0GsbizH5bj</t>
  </si>
  <si>
    <t>#Tenerife #Spain #CanaryIslands #Adeje #CostaAdeje #Holiday #Sun #Summer #Dank #420 https://t.co/ptac6XlpQo</t>
  </si>
  <si>
    <t>#Tenerife #Spain #CanaryIslands #Adeje #CostaAdeje #Holiday #Sun #Summer #Beach https://t.co/Z3bZlqYNZC</t>
  </si>
  <si>
    <t>#Tenerife #Spain #CanaryIslands #Adeje #CostaAdeje #Holiday #Sun #Summer #Teide #Volcano #Mountain https://t.co/OksuZZOaxD</t>
  </si>
  <si>
    <t>#Tenerife #Spain #CanaryIslands #Adeje #CostaAdeje #Holiday #Sun #Summer #Teide #Volcano #Mountain #View #Nature https://t.co/nzYnQPucUO</t>
  </si>
  <si>
    <t>La plage de Papagayo côté terre #lanzarote #canaries #islascanarias #canaryislands #beach #playa #playadepapagayo… https://t.co/eNbc5aX4Kb</t>
  </si>
  <si>
    <t>#Tenerife #Spain #CanaryIslands #Adeje #CostaAdeje #Holiday #Sun #Summer #Teide #Volcano #Mountain #Fuji #FujiFilm … https://t.co/mrUzKfp6Ak</t>
  </si>
  <si>
    <t>@lasalsadelavida</t>
  </si>
  <si>
    <t>Selección de quesos canarios con mermelada de piña de El Hierro. #cheese #canaryislands… https://t.co/GsTBNtHyON</t>
  </si>
  <si>
    <t>Inma Luna. Periodista, antropóloga, escritora y gastrocuriosa. Comer es mucho más que saciar el apetito.</t>
  </si>
  <si>
    <t>#Tenerife #Spain #CanaryIslands #Adeje #CostaAdeje #Holiday #Sun #Summer #Teide #Volcano #Mountain #Fuji #FujiFilm … https://t.co/t1ALRZVbSj</t>
  </si>
  <si>
    <t>#Tenerife #Spain #CanaryIslands #Adeje #CostaAdeje #Holiday #Sun #Summer #Teide #Volcano #Mountain #Fuji #FujiFilm … https://t.co/9dno28m0Tz</t>
  </si>
  <si>
    <t>#Tenerife #Spain #CanaryIslands #Adeje #CostaAdeje #Holiday #Sun #Summer #Teide #Volcano #Mountain #BBQ #Food #Picn… https://t.co/zXS9LPFZ9c</t>
  </si>
  <si>
    <t>#Tenerife #Spain #CanaryIslands #Adeje #CostaAdeje #Holiday #Sun #Summer #Shisha #Hookah #Fuji #FujiFilm #FujiX #Fu… https://t.co/v1O3mQ83NO</t>
  </si>
  <si>
    <t>RT @JAGreenhill: #Tenerife #Spain #CanaryIslands #Adeje #CostaAdeje #Holiday #Sun #Summer #Teide #Volcano #Mountain #BBQ #Food #Picn… https…</t>
  </si>
  <si>
    <t>#Tenerife #Spain #CanaryIslands #Adeje #CostaAdeje #Holiday #Sun #Summer #Mountain #Volcano #Fuji #FujiFilm #FujiX … https://t.co/l0wbRB477O</t>
  </si>
  <si>
    <t>#Tenerife #Spain #CanaryIslands #Adeje #CostaAdeje #Holiday #Sun #Summer #Trees #Nature #Fuji #FujiFilm #FujiX #Fuj… https://t.co/dPrYLq5LCd</t>
  </si>
  <si>
    <t>#Tenerife #Spain #CanaryIslands #Adeje #CostaAdeje #Holiday #Sun #Summer #Fuji #FujiFilm #FujiX #FujiX70 #X70 #Lig… https://t.co/aufNzlQEQv</t>
  </si>
  <si>
    <t>#Tenerife #Spain #CanaryIslands #Adeje #CostaAdeje #Holiday #Sun #Summer #Fuji #FujiFilm #FujiX #FujiX70 #X70 #Lig… https://t.co/hRcosJkiGR</t>
  </si>
  <si>
    <t>#Tenerife #Spain #CanaryIslands #Adeje #CostaAdeje #Holiday #Sun #Summer #Cocktails #Drinks #Fuji #FujiFilm #FujiX … https://t.co/tn50pBcR6d</t>
  </si>
  <si>
    <t>#Tenerife #Spain #CanaryIslands #Adeje #CostaAdeje #Holiday #Sun #Summer #Fuji #FujiFilm #FujiX #FujiX70 #X70 #Lig… https://t.co/2pXlQBkQeB</t>
  </si>
  <si>
    <t>#Tenerife #Spain #CanaryIslands #Adeje #CostaAdeje #Holiday #Sun #Summer #Drinks #Beer #Fuji #FujiFilm #FujiX #Fuji… https://t.co/0QrjU4Gs9M</t>
  </si>
  <si>
    <t>#Tenerife #Spain #CanaryIslands #Adeje #CostaAdeje #Holiday #Sun #Summer #Selfie #Beer #Drinks #Fuji #FujiFilm #Fuj… https://t.co/CW3lZjqgyD</t>
  </si>
  <si>
    <t>#Tenerife #Spain #CanaryIslands #Adeje #CostaAdeje #Holiday #Sun #Summer #Drinks #Cocktail #Mojito #Rum #Fuji #Fuji… https://t.co/bitzAMjCYE</t>
  </si>
  <si>
    <t>#Tenerife #Spain #CanaryIslands #Adeje #CostaAdeje #Holiday #Sun #Summer #Drinks #Fuji #FujiFilm #FujiX #FujiX70 #… https://t.co/2lJIPZBBkK</t>
  </si>
  <si>
    <t>#Tenerife #Spain #CanaryIslands #Adeje #CostaAdeje #Holiday #Sun #Summer #Beach #Sea #Coast #Fuji #FujiFilm #FujiX … https://t.co/9sbuf6oDQf</t>
  </si>
  <si>
    <t>#Tenerife #Spain #CanaryIslands #Adeje #CostaAdeje #Holiday #Sun #Summer #Sand #SandCastle #Art #SandArt #Fuji #Fuj… https://t.co/JxlnVbUtmh</t>
  </si>
  <si>
    <t>#Tenerife #Spain #CanaryIslands #Adeje #CostaAdeje #Holiday #Sun #Summer #Mountain #Beach #Sea #Fuji #FujiFilm #Fuj… https://t.co/MVrNbSv7EO</t>
  </si>
  <si>
    <t>#Tenerife #Spain #CanaryIslands #Adeje #CostaAdeje #Holiday #Sun #Summer #Fuji #FujiFilm #FujiX #FujiX70 #X70 #Lig… https://t.co/ZuIw98dtgC</t>
  </si>
  <si>
    <t>#Tenerife #Spain #CanaryIslands #Adeje #CostaAdeje #Holiday #Sun #Summer #SiamMall #Fuji #FujiFilm #FujiX #FujiX70 … https://t.co/HuRkg6PeGE</t>
  </si>
  <si>
    <t>#Tenerife #Spain #CanaryIslands #Adeje #CostaAdeje #Holiday #Sun #Summer #SiamMall #Fountains #Fuji #FujiFilm #Fuji… https://t.co/U26D4sjGRC</t>
  </si>
  <si>
    <t>thealoelady01</t>
  </si>
  <si>
    <t>RT @fastpass2disney: 10 ways you’ll lose your heart to #GranCanaria, sun, sea and surf combine beautifully in the #CanaryIslands https://t.…</t>
  </si>
  <si>
    <t>Love promoting healthy lifestyle improving #sport achievement,#weight management https://t.co/yLlg51APPz</t>
  </si>
  <si>
    <t>#Tenerife #Spain #CanaryIslands #Adeje #CostaAdeje #Holiday #Sun #Summer #Fuji #FujiFilm #FujiX #FujiX70 #X70 #Lig… https://t.co/1TbMaDNmWI</t>
  </si>
  <si>
    <t>#Tenerife #Spain #CanaryIslands #Adeje #CostaAdeje #Holiday #Sun #Summer #Fuji #FujiFilm #FujiX #FujiX70 #X70 #Lig… https://t.co/KjXr1vBurT</t>
  </si>
  <si>
    <t>#Tenerife #Spain #CanaryIslands #Adeje #CostaAdeje #Holiday #Sun #Summer #Fuji #FujiFilm #FujiX #FujiX70 #X70 #Lig… https://t.co/TjyCPvfu8w</t>
  </si>
  <si>
    <t>#Tenerife #Spain #CanaryIslands #Adeje #CostaAdeje #Holiday #Sun #Summer #Fuji #FujiFilm #FujiX #FujiX70 #X70 #Lig… https://t.co/SipXVPZD0Z</t>
  </si>
  <si>
    <t>#Tenerife #Spain #CanaryIslands #Adeje #CostaAdeje #Holiday #Sun #Summer #Fuji #FujiFilm #FujiX #FujiX70 #X70 #Lig… https://t.co/0bccoHiuU8</t>
  </si>
  <si>
    <t>#Tenerife #Spain #CanaryIslands #Adeje #CostaAdeje #Holiday #Sun #Summer #SiamPark #Fuji #FujiFilm #FujiX #FujiX70 … https://t.co/H4ocpAIxkS</t>
  </si>
  <si>
    <t>#Secuencias #hoy #domingo 🍂 #Microclima ☁ #tenerifereviews #Tenerife #canaryislands… https://t.co/KGAieWzpQu</t>
  </si>
  <si>
    <t>#Tenerife #Spain #CanaryIslands #Adeje #CostaAdeje #Holiday #Sun #Summer #SiamPark #Fuji #FujiFilm #FujiX #FujiX70 … https://t.co/ZQ4lN9mInI</t>
  </si>
  <si>
    <t>#Tenerife #Spain #CanaryIslands #Adeje #CostaAdeje #Holiday #Sun #Summer #SiamPark #Fuji #FujiFilm #FujiX #FujiX70 … https://t.co/Hw4uMrdWr7</t>
  </si>
  <si>
    <t>#Tenerife #Spain #CanaryIslands #Adeje #CostaAdeje #Holiday #Sun #Summer #SiamPark #Fuji #FujiFilm #FujiX #FujiX70 … https://t.co/ScldfPxFlp</t>
  </si>
  <si>
    <t>#Tenerife #Spain #CanaryIslands #Adeje #CostaAdeje #Holiday #Sun #Summer #SiamPark #Fuji #FujiFilm #FujiX #FujiX70 … https://t.co/62Pc9J5QpB</t>
  </si>
  <si>
    <t>#Tenerife #Spain #CanaryIslands #Adeje #CostaAdeje #Holiday #Sun #Summer #SiamPark #Fuji #FujiFilm #FujiX #FujiX70 … https://t.co/4nrVw5pX0d</t>
  </si>
  <si>
    <t>#Tenerife #Spain #CanaryIslands #Adeje #CostaAdeje #Holiday #Sun #Summer #SiamPark #Fuji #FujiFilm #FujiX #FujiX70 … https://t.co/5p95f6Dro2</t>
  </si>
  <si>
    <t>m-e-g</t>
  </si>
  <si>
    <t>RT @JAGreenhill: #Tenerife #Spain #CanaryIslands #Adeje #CostaAdeje #Holiday #Sun #Summer #Fuji #FujiFilm #FujiX #FujiX70 #X70 #Lig… https…</t>
  </si>
  <si>
    <t>dog groomer - cat lover - burrito enthusiast - descendents ❤️ (I post a lot of grumpy tweets) 🐱</t>
  </si>
  <si>
    <t>#Tenerife #Spain #CanaryIslands #Adeje #CostaAdeje #Holiday #Sun #Summer #SiamPark #Fuji #FujiFilm #FujiX #FujiX70 … https://t.co/qaiNQXqpgm</t>
  </si>
  <si>
    <t>#Tenerife #Spain #CanaryIslands #Adeje #CostaAdeje #Holiday #Sun #Summer #SiamPark #Fuji #FujiFilm #FujiX #FujiX70 … https://t.co/raucvCqj3k</t>
  </si>
  <si>
    <t>#Tenerife #Spain #CanaryIslands #Adeje #CostaAdeje #Holiday #Sun #Summer #SiamPark #Fuji #FujiFilm #FujiX #FujiX70 … https://t.co/3LY9sFICOr</t>
  </si>
  <si>
    <t>#Tenerife #Spain #CanaryIslands #Adeje #CostaAdeje #Holiday #Sun #Summer #SiamPark #Fuji #FujiFilm #FujiX #FujiX70 … https://t.co/VTC1OlCnSD</t>
  </si>
  <si>
    <t>#Tenerife #Spain #CanaryIslands #Adeje #CostaAdeje #Holiday #Sunset #beach #Sea #Summer #Fuji #FujiFilm #FujiX #Fuj… https://t.co/r6Chph4q4b</t>
  </si>
  <si>
    <t>#Tenerife #Spain #CanaryIslands #Adeje #CostaAdeje #Holiday #Sun #Summer #Fuji #FujiFilm #FujiX #FujiX70 #X70 #Ligh… https://t.co/3iS29DafuZ</t>
  </si>
  <si>
    <t>#Tenerife #Spain #CanaryIslands #Adeje #CostaAdeje #Holiday #Sun #Summer #Fuji #FujiFilm #FujiX #FujiX70 #X70 #Ligh… https://t.co/KTR3qkMPK8</t>
  </si>
  <si>
    <t>#Tenerife #Spain #CanaryIslands #Adeje #CostaAdeje #Holiday #Sun #Summer #Fuji #FujiFilm #FujiX #FujiX70 #X70 #Ligh… https://t.co/W3SH8sL3rn</t>
  </si>
  <si>
    <t>#Tenerife #Spain #CanaryIslands #Adeje #CostaAdeje #Holiday #Sun #Summer #Fuji #FujiFilm #FujiX #FujiX70 #X70 #Ligh… https://t.co/RlFsVTz7Tc</t>
  </si>
  <si>
    <t>#Tenerife #Spain #CanaryIslands #Adeje #CostaAdeje #Holiday #Sun #Summer #Fuji #FujiFilm #FujiX #FujiX70 #X70 #Ligh… https://t.co/lhqlIAaZuf</t>
  </si>
  <si>
    <t>#Tenerife #Spain #CanaryIslands #Adeje #CostaAdeje #Holiday #Sun #Summer #Fuji #FujiFilm #FujiX #FujiX70 #X70 #Ligh… https://t.co/CmoOfq6Zfb</t>
  </si>
  <si>
    <t>VIBRASMAG</t>
  </si>
  <si>
    <t>&gt;&amp;gt;franz_surfboards&lt;&amp;lt; #CustomShapes #Surfboards #Tenerife #IslasCanarias #CanaryIslands… https://t.co/OtTwfkvmVW</t>
  </si>
  <si>
    <t>Where the +Vibes are</t>
  </si>
  <si>
    <t>World Surf Directory and News</t>
  </si>
  <si>
    <t>Tenerife Explored</t>
  </si>
  <si>
    <t>Lived in Tenerife for 23 years,trying to introduce people to Rural Tenerife,It's Beautiful Scenery,Local Customs and Traditions-http://t.co/X2WiZpgu0c</t>
  </si>
  <si>
    <t>Domingo en Jardín Tropical #CostaAdeje #Tenerife #estapasando #justinthismoment #besthotel #vacation #vacaciones… https://t.co/0gzXYOmJyK</t>
  </si>
  <si>
    <t>John Patterson</t>
  </si>
  <si>
    <t>Throwback to a lovely holiday a couple of weeks back #Tenerife #spain #canaryislands #rocks… https://t.co/GaSCsVOzvR</t>
  </si>
  <si>
    <t>Jersey</t>
  </si>
  <si>
    <t>James O Dowd</t>
  </si>
  <si>
    <t>Govan, Barrhead, Uplawmoor</t>
  </si>
  <si>
    <t>loves his family, Celtic, Tenerife, NYC, Barra,Maidens, Bud, golf and numerous good tunes</t>
  </si>
  <si>
    <t>Prime Industries</t>
  </si>
  <si>
    <t>USA</t>
  </si>
  <si>
    <t>Prime Industries is an international trading company specializing in the Sale, Distribution, Repair &amp; Overhaul and Stocking of spare parts for aircraft.</t>
  </si>
  <si>
    <t>Not a bad view for a Sunday walk 👍#happysunday #lanzarote #canaryislands #spain https://t.co/srUz74URxo</t>
  </si>
  <si>
    <t>Alejandro Iglesias</t>
  </si>
  <si>
    <t>Francia</t>
  </si>
  <si>
    <t>Programme Specialist at @Iocunesco. Coastal and Marine Management and Planning, Ecosystems, GIS, Data, Information and great networks.</t>
  </si>
  <si>
    <t>MT-Global</t>
  </si>
  <si>
    <t>MTGlobal es una compañía especializada en la organización, desarrollo y ejecución de Eventos, Congresos, DMC, Business Travel, Marketing y Diseño y Producción.</t>
  </si>
  <si>
    <t>Emily</t>
  </si>
  <si>
    <t>@mrgaryhollywood Amazing photo!📷 What's the temperature there?🌞 #CanaryIslands #Spain</t>
  </si>
  <si>
    <t>I enjoy a good book; news, politics, sports &amp; classic films. ASL novice.</t>
  </si>
  <si>
    <t>Un aperitivo canario? #chorizodeteror #canaryislands #aperitivo #suegrita @ La Verdellada. https://t.co/0AWjcpLc44</t>
  </si>
  <si>
    <t>MorioMemento</t>
  </si>
  <si>
    <t>hiromi</t>
  </si>
  <si>
    <t>nAiLeé</t>
  </si>
  <si>
    <t>Yo vivo en la eterna primavera 🐞🌷🌞 #tenerife #canaryislands #travel @ Terrazas del Sauzal https://t.co/IvA5dkMVs2</t>
  </si>
  <si>
    <t>Buscadora profesional de cosas bellas. Mamá de una. Creadora de muchas en @missf_es y escritora de todas en @decomprasxcan. Viste, vive, viaja❣️</t>
  </si>
  <si>
    <t>Jazzy Dolphin 🐬</t>
  </si>
  <si>
    <t>#Morgan was #BornFree in the cold waters of #Norway What is she doing in a tank in the #CanaryIslands? https://t.co/OflfiGWyXZ #OpSeaWorld</t>
  </si>
  <si>
    <t>Good things come to those who believe better things come to those who wait &amp; the best things come to those who don't give up #OpSeaWorld #OpKillingBay #OpWhales</t>
  </si>
  <si>
    <t>#Dragon #trees all over the #island. So beautiful. #dragontree #nature #Tenerife #canaryislands… https://t.co/DdByT1mj6l</t>
  </si>
  <si>
    <t>✦Anonymous✦</t>
  </si>
  <si>
    <t>RT @JazzyDolphin: #Morgan was #BornFree in the cold waters of #Norway What is she doing in a tank in the #CanaryIslands? https://t.co/Oflfi…</t>
  </si>
  <si>
    <t>everywhere</t>
  </si>
  <si>
    <t>#Anonymous❤ The Founder - #OpWhales #OpSeaWorld #OpKillingBay #EU We WILL end Whale slaughter. We WILL be the demise of SeaWorld #AnimalRights #OpBeast</t>
  </si>
  <si>
    <t>Federica Di Maio</t>
  </si>
  <si>
    <t>Sono Federica, 38 anni, cagliaritana che vive a Malta. Sono vegana e animalista sincera. Sono buddista e rispetto tutti i credi religiosi. Fan di David Bowie❤</t>
  </si>
  <si>
    <t>Nancy Yarosis</t>
  </si>
  <si>
    <t>North Carolina, USA</t>
  </si>
  <si>
    <t>I worship nature, don't laugh I can prove it exists-- I'm only on here to save animals and the environment</t>
  </si>
  <si>
    <t>Protect Dolphins</t>
  </si>
  <si>
    <t>#STOPイルカ猟 #StopTaiji #DolphinProject #Tweet4Dolphins #SeaShepherd #OpHenkaku #DolphinAngels #OpKillingBay #OpSeaWorld #OpWhales #Anonymous</t>
  </si>
  <si>
    <t>Petra Geyer</t>
  </si>
  <si>
    <t>Germany</t>
  </si>
  <si>
    <t>Only after the last tree has been cut down, the last river has been poisoned, the last fish has been caught.Then will you find that money cannot be eaten!</t>
  </si>
  <si>
    <t>Loyal  Poppy</t>
  </si>
  <si>
    <t>Compassion for animals is a strength, not a weakness @4everstopyulin #StopYuLin4ever | #OpSeaWorld | #OpWhales | #OpKillingBay |#Tweet4Taiji |</t>
  </si>
  <si>
    <t>cerezo baelo Paco</t>
  </si>
  <si>
    <t>mathieu david-hine</t>
  </si>
  <si>
    <t>Gary Curtis</t>
  </si>
  <si>
    <t>Decent #sweetwine from the #CanaryIslands. Interesting #wine #winetasting #winemaking #winedrinking… https://t.co/M1W52dUmQU</t>
  </si>
  <si>
    <t>San Francisco area</t>
  </si>
  <si>
    <t>Sharing tasting impressions of a wide variety of wine from personal collection and weekly world travel. SF &amp; Sonoma based, but living on the world's airlines</t>
  </si>
  <si>
    <t>RT @mrgaryhollywood: Not a bad view for a Sunday walk 👍#happysunday #lanzarote #canaryislands #spain https://t.co/srUz74URxo</t>
  </si>
  <si>
    <t>El Roque on the #GranCanaria #northshore . . #canaryislands #Greatdestination #Moya ##ElRoque… https://t.co/I9QhgY5eCD</t>
  </si>
  <si>
    <t>#NationalPark #ElTeide #Volcano #Lava #Nature #Tenerife #Sky #Clouds #GreatDay #CanaryIslands… https://t.co/Q7v6kyXfYy</t>
  </si>
  <si>
    <t>🌵🙈 Not your average cactus! 👏🏼 #Lanzarote, you wild flower! 🙈🌵 #CanaryIslands @ Lanzarote https://t.co/o2W4dZvrw0</t>
  </si>
  <si>
    <t>Road to nowhere #talkingheads #canaryislands #roadtrip #ontheroad #travel #viajes #fuerteventura… https://t.co/LJZkQtbbpJ</t>
  </si>
  <si>
    <t>Discover the #CanaryIslands' best #hotels with @TelegraphTravel's @anniebennett @MatthewHirtes and @NativeTenerife:… https://t.co/bOi4i10xeZ</t>
  </si>
  <si>
    <t>save cetaceans</t>
  </si>
  <si>
    <t>So you think orcas on ice skates is ridiculous? #SeaWorld doesn't think so. No hunters ever. #OpSeaWorld</t>
  </si>
  <si>
    <t>@emocionesCan @paisajecanario @Salamanca_SSV @islaspromo @LpaVisit #CanaryIslands #goodnight #buonanotte… https://t.co/XlpgUKRJ55</t>
  </si>
  <si>
    <t>Robin Wilson</t>
  </si>
  <si>
    <t>Scotland</t>
  </si>
  <si>
    <t>Glasgow Based. One of the Banterers on Camglen Radio 107.9 fm every Thursday 6pm Available for Panto, Theatre, TV and Radio. For more info please follow and DM.</t>
  </si>
  <si>
    <t>Dunas #la_magua ______________ #isolecanarie #canaryislands #landscape #sabbia #arena… https://t.co/thB0Nq3LsP</t>
  </si>
  <si>
    <t>Daniel Bruch</t>
  </si>
  <si>
    <t>Time to think...#islandlife #tenerife #canaryislands #overtheclouds https://t.co/ulRqmxFCfU</t>
  </si>
  <si>
    <t>Granadilla de Abona, España</t>
  </si>
  <si>
    <t>Find out these key aspects of planning your fantastic family vacation #CanaryIslands https://t.co/Av7qKzvM5a https://t.co/mr2yGIWhZb</t>
  </si>
  <si>
    <t>Visit Tenerife</t>
  </si>
  <si>
    <t>RT @GranCanLocal: Discover the #CanaryIslands' best #hotels with @TelegraphTravel's @anniebennett @MatthewHirtes and @NativeTenerife: https…</t>
  </si>
  <si>
    <t xml:space="preserve"> Tenerife</t>
  </si>
  <si>
    <t>Welcome to the official Twitter account in English of the Tenerife Tourist Board; follow us &amp; live Tenerife 100% https://t.co/U66YIm1CqU</t>
  </si>
  <si>
    <t>Quite the view - seen in the mountains of #grancanaria #canaryislands #mountains #clouds #village https://t.co/UWn4CY4ta1</t>
  </si>
  <si>
    <t>Omar N.</t>
  </si>
  <si>
    <t>Teide #tenerife #canarias #lovecanarias #canarias_side_b #canaryislands #vsco #lgg4photography… https://t.co/wiOFuc7wYe</t>
  </si>
  <si>
    <t>Por mi puerta pasarás...</t>
  </si>
  <si>
    <t>#sinfiltros #Tenerife #canaryislands #tenerifelicidad… https://t.co/6FfgIQ2LxD</t>
  </si>
  <si>
    <t>happy poppy</t>
  </si>
  <si>
    <t>Yesterdays history, Tomorrow a mystery, Today is a gift, Thats why its called the present...enjoy.</t>
  </si>
  <si>
    <t>Pico del Teide 😍😍📸 #teide #tenerife #avgeek #canarias #canaries #canaryislands https://t.co/iDMMVfJoNX</t>
  </si>
  <si>
    <t>Jacob Hdez</t>
  </si>
  <si>
    <t>RT @stani320: Pico del Teide 😍😍📸 #teide #tenerife #avgeek #canarias #canaries #canaryislands https://t.co/iDMMVfJoNX</t>
  </si>
  <si>
    <t>Del CD Tenerife. https://t.co/U6NEbsTBhB ⚽️Face/Pablo Jacob Hernández González. Instagram/@conejerosdeltete (@conejos_tete)</t>
  </si>
  <si>
    <t>#SantaCruz #tenerife #canaryislands #spain @ Plaza del Príncipe https://t.co/5yraN6E4JD</t>
  </si>
  <si>
    <t>Suave desde Gran Canaria, buenas noches Tenerife.... #grancanaria #tenerife #islascanarias #canaryislands… https://t.co/ALUZ5KwNxM</t>
  </si>
  <si>
    <t>kryptonite •</t>
  </si>
  <si>
    <t>Rainbow 2016 💙🌈 #Gaypride #fuerteventura #canaryislands #dragqueen #rainbow #paradise @… https://t.co/okqHx3jLJ9</t>
  </si>
  <si>
    <t>I was a mermaid in my past life. Now I am a cat.</t>
  </si>
  <si>
    <t>RT @MokaGonzalez_: Suave desde Gran Canaria, buenas noches Tenerife.... #grancanaria #tenerife #islascanarias #canaryislands #buenasnoches…</t>
  </si>
  <si>
    <t>Rainbow 2016 💙🌈 #Gaypride #fuerteventura #canaryislands #dragqueen #rainbow #paradise #work @… https://t.co/E8E1CPhiLG</t>
  </si>
  <si>
    <t>Martha Sandoval R.</t>
  </si>
  <si>
    <t>Quito, Ecuador</t>
  </si>
  <si>
    <t>Comunicadora en evolución</t>
  </si>
  <si>
    <t>Diciembre.</t>
  </si>
  <si>
    <t xml:space="preserve">Islas Canarias, España. TNF. </t>
  </si>
  <si>
    <t>19 | Mientras sea junto a vosotras siempre lo intentaría [Malú - Silvia Navarro]♡ 03.03.16 - 01.12.16 | FCB | Stana Katic | HP☇Emma Watson.</t>
  </si>
  <si>
    <t>La #playadelascucharas par un après-midi ensoleillé #lanzarote #canaries #islascanarias #canaryislands #beach… https://t.co/qV4oYHGpnX</t>
  </si>
  <si>
    <t>Looking for a great #wintersun destination? Try #Fuerteventura https://t.co/y3S1hLZBLt #CanaryIslands #Spain #travel https://t.co/YIHv0gzUWr</t>
  </si>
  <si>
    <t>Antonio Rodriguez</t>
  </si>
  <si>
    <t>En España el mérito no se premia. Se premia el robar y el ser sinvergüenza. En España se premia todo lo malo.</t>
  </si>
  <si>
    <t>Ruben Osorio</t>
  </si>
  <si>
    <t>Plaza Ireneo González en Navidad #canaryislands #islascanarias #spain…</t>
  </si>
  <si>
    <t>Botize</t>
  </si>
  <si>
    <t>Saltillo, Coahuila de Zaragoza</t>
  </si>
  <si>
    <t>Cómo no quererme, si me acompaño en los momentos más difíciles.</t>
  </si>
  <si>
    <t>Girls this bag from the brand WENGER is simply perfect for work during the day and fun at night 👌🏼… https://t.co/O9zV5SrTGw</t>
  </si>
  <si>
    <t>We sell a wide range of products from the brand VICTORINOX like these bags... https://t.co/27wlOPCVA3… https://t.co/NCreIh7hgO</t>
  </si>
  <si>
    <t>Loro Parque in Tenerife, Canary Islands is a must to visit!! https://t.co/Bs9U52Xeh3 #travelblogger #canaryislands https://t.co/dGRjfCdfww</t>
  </si>
  <si>
    <t>Carlos Antonio</t>
  </si>
  <si>
    <t>Santo Domingo, Dominican Repub</t>
  </si>
  <si>
    <t>Yelin22@</t>
  </si>
  <si>
    <t>Samantha</t>
  </si>
  <si>
    <t>RT @FlavoursandFros: Loro Parque in Tenerife, Canary Islands is a must to visit!! https://t.co/Bs9U52Xeh3 #travelblogger #canaryislands htt…</t>
  </si>
  <si>
    <t>So. CA</t>
  </si>
  <si>
    <t>Just a #SAHM tweeting the best mom tips daily! Cooking, Cleaning, Kids, Baby, Saving money, etc. Find more #momtips on my blog https://t.co/IqtLYDaPWe</t>
  </si>
  <si>
    <t>Runaway Jane</t>
  </si>
  <si>
    <t>@CanaryIslandsEN I'm going to spending xmas in Tenerife. Do you have any recommendations for things to do? #Canaryislands</t>
  </si>
  <si>
    <t>Jane Meighan - Travel blogger from Scotland at https://t.co/tHOq2OK65K. Also a student at UWS.</t>
  </si>
  <si>
    <t>What a view! 🏞 Clipper is a soft drink brand made in &amp; only sold in the #CanaryIslands. It was first produced in 19… https://t.co/9Z4QIhUmjz</t>
  </si>
  <si>
    <t>Isabelle Buffong</t>
  </si>
  <si>
    <t>Manya thing planned for 2017. #CantSleep #AssessingMyFinances #CanaryIslands #EdinburghFringeFest #NottingHillCarnival #PS4 #OverdraftCity</t>
  </si>
  <si>
    <t>Lanky Lancashire</t>
  </si>
  <si>
    <t>Relish my humour, like a delicious dip. Mmm...</t>
  </si>
  <si>
    <t>The Nomadic Traveler</t>
  </si>
  <si>
    <t>6 European Destinations for Fall! https://t.co/KDnAT44kLl #canaryislands #croatia #europe #greece #hungary #spain https://t.co/dHs9d9GFqa</t>
  </si>
  <si>
    <t>We're here to bring you information and stories about traveling around the world! https://t.co/sahiqbvSAL</t>
  </si>
  <si>
    <t>Dorgedys del  v</t>
  </si>
  <si>
    <t>una buena mitad del arte de vivir es la resilencia</t>
  </si>
  <si>
    <t>Cipensoio</t>
  </si>
  <si>
    <t>Pisa</t>
  </si>
  <si>
    <t>Cipensoio.es ofrece gratuitamente información al día a quien viene a Pisa, Italia</t>
  </si>
  <si>
    <t>Contra Luz Muellito Faro #FelizLunes #Meloneras #travel #Smile #HappyHolidays #Maspalomas #GranCanaria #Photos… https://t.co/PJHPOr1o6Z</t>
  </si>
  <si>
    <t>#FelizLunes Palacio de Congresos de Maspalomas #Meloneras #travel #Smile #HappyHolidays #Maspalomas #GranCanaria… https://t.co/h2qUMbW5bK</t>
  </si>
  <si>
    <t>#Arquitectura Campo Internacional #Meloneras #travel #Smile #HappyHolidays #Maspalomas #GranCanaria #Photos… https://t.co/g76AORn3HK</t>
  </si>
  <si>
    <t>Playa de San Agustin #travel #Smile #HappyHolidays #Maspalomas #GranCanaria #Photos #CanaryIslands https://t.co/JahzuPpVg6</t>
  </si>
  <si>
    <t>Good morning #Arrecife! #Lanzarote #CanaryIslands turismoarrecife ig_lanzarote @ Lanzarote,… https://t.co/RvZvTFbPaR</t>
  </si>
  <si>
    <t>Las Canteras Beach I Beaches in #GranCanaria #CanaryIslands https://t.co/gupCGEL4v4 https://t.co/BMGQp8I7KE</t>
  </si>
  <si>
    <t>Good Morning #Lanzarote #Canaryislands today Monday 24ºC https://t.co/XJlilK2XeJ https://t.co/s9GuiMSnDg</t>
  </si>
  <si>
    <t>Tenerife &amp; La Gomera #tenerife #lagomera #avgeek #canarias #canaries #canaryislands https://t.co/XL6B5ot3WO</t>
  </si>
  <si>
    <t>Fini</t>
  </si>
  <si>
    <t>Imose - Arico</t>
  </si>
  <si>
    <t>Donde mora el encanto. #CulturaGuanche @CDMarinoOficial</t>
  </si>
  <si>
    <t>Hola Lanzarote</t>
  </si>
  <si>
    <t>Toda la información de sólo lo mejor de #Lanzarote. Síguenos también en IG y FB #HolaLanzarote</t>
  </si>
  <si>
    <t>Fady H. A. Abdallah</t>
  </si>
  <si>
    <t>#paisaje #landscape #landscapephotography #grancanaria #canarias #canaryislands #hasselblad @… https://t.co/hH5SAnsQjt</t>
  </si>
  <si>
    <t>Calle Concepción Arenal, 4, 35006 Las Palmas de Gran Canaria, Las Palmas, España</t>
  </si>
  <si>
    <t>Ad augusta per angusta</t>
  </si>
  <si>
    <t>RT @stani320: Tenerife &amp; La Gomera #tenerife #lagomera #avgeek #canarias #canaries #canaryislands https://t.co/XL6B5ot3WO</t>
  </si>
  <si>
    <t>Still waiting to know these 70% of the planet? #TenDive #Tenerife #CanaryIslands #Scuba #Diving #PADi #UTD #Spain https://t.co/igwYbpzQ1r</t>
  </si>
  <si>
    <t>RT @SuneHolidays: Good Morning #Lanzarote #Canaryislands today Monday 24ºC https://t.co/XJlilK2XeJ https://t.co/s9GuiMSnDg</t>
  </si>
  <si>
    <t>Mondays are better in the #CanaryIslands https://t.co/la6gXlCfsH</t>
  </si>
  <si>
    <t>Playa de San Agustin #travel #Smile #HappyHolidays #Maspalomas #GranCanaria #Photos #CanaryIslands https://t.co/dGZgiEORDc</t>
  </si>
  <si>
    <t>CanaryIslandsEN: Mondays are better in the #CanaryIslands https://t.co/D8aOU20hTq</t>
  </si>
  <si>
    <t>Playa de Las Burras en San Agustin #travel #Smile #HappyHolidays #Maspalomas #GranCanaria #Photos #CanaryIslands https://t.co/95jBMJMPHc</t>
  </si>
  <si>
    <t>Sands Beach Resort</t>
  </si>
  <si>
    <t>Sands Beach Resort, for the Active Family Holiday. Hotel in Costa Teguise, #Lanzarote.</t>
  </si>
  <si>
    <t>If you want to #relax, #Lanzarote is the #placetobe this #Christmas. Hire a car and be #free to #discover its secre… https://t.co/w3km8Afn6x</t>
  </si>
  <si>
    <t>Playa de San Agustin #travel #Smile #HappyHolidays #Maspalomas #GranCanaria #Photos #CanaryIslands https://t.co/dt7fnZ0byT</t>
  </si>
  <si>
    <t>Augusto Hidalgo</t>
  </si>
  <si>
    <t>Las Palmas G.C</t>
  </si>
  <si>
    <t>Canario de nacimiento y residencia, colombiano y latinoamericano de corazón. Progresista y en movimiento.</t>
  </si>
  <si>
    <t>Amanener en Las Palmas #travel #Smile #HappyHolidays #LasPalmas #GranCanaria #Photos #CanaryIslands https://t.co/xUrDR4It23</t>
  </si>
  <si>
    <t>PaCuCoAragones</t>
  </si>
  <si>
    <t>Sigo la UD Las Palmas Y al Grancanaria. Me gusta ver todos los deportes,en especial futbol, basket y olimpiadas.Arriba Déllos ¡ VamosGranca ¡ AporlaPermanencia</t>
  </si>
  <si>
    <t>Maria Antonia UDLP</t>
  </si>
  <si>
    <t>RT @bermaxo09: Amanener en Las Palmas #travel #Smile #HappyHolidays #LasPalmas #GranCanaria #Photos #CanaryIslands https://t.co/xUrDR4I…</t>
  </si>
  <si>
    <t>Fiel seguidora de La UD Las Palmas. 💛💙</t>
  </si>
  <si>
    <t>#CanaryIslands, of the top ten most popular destinations for Brits travelling abroad this winter https://t.co/0C3U78LeGn</t>
  </si>
  <si>
    <t>Sam</t>
  </si>
  <si>
    <t>RT @CanaryIslandsEN: Mondays are better in the #CanaryIslands https://t.co/la6gXlCfsH</t>
  </si>
  <si>
    <t>Drumceatt</t>
  </si>
  <si>
    <t>Classical guitarist and shovel operator for the man, love local history... NI but have no tribal politics...</t>
  </si>
  <si>
    <t>P&amp;O #Cruise #Ship #Britannia in #CanaryIslands #B708 https://t.co/T99POlgBYa https://t.co/T0UJQE27LM</t>
  </si>
  <si>
    <t>P&amp;O #Cruise #Ship #Britannia in #CanaryIslands #B708 https://t.co/9yO21c5XK7 https://t.co/DQbhdABHb9</t>
  </si>
  <si>
    <t>P&amp;O #Cruise #Ship #Britannia in #CanaryIslands #B708 https://t.co/ax7zWYCALx https://t.co/bs9vD6KCBC</t>
  </si>
  <si>
    <t>P&amp;O #Cruise #Ship #Britannia in #CanaryIslands #B708 https://t.co/wpWTh2i7Rd https://t.co/DIVjvq9Axd</t>
  </si>
  <si>
    <t>P&amp;O #Cruise #Ship #Britannia in #CanaryIslands #B708 https://t.co/kdeFx8QcRl https://t.co/EmkKwS5PP5</t>
  </si>
  <si>
    <t>P&amp;O #Cruise #Ship #Britannia in #CanaryIslands #B708 https://t.co/6n1IeosS9A https://t.co/ejdawsESGH</t>
  </si>
  <si>
    <t>P&amp;O #Cruise #Ship #Britannia in #CanaryIslands #B708 https://t.co/fRxZ8Ah3rD https://t.co/Bvuxng4xLv</t>
  </si>
  <si>
    <t>P&amp;O #Cruise #Ship #Britannia in #CanaryIslands #B708 https://t.co/K7ZNJrCoSb https://t.co/ui5rOLqmvd</t>
  </si>
  <si>
    <t>P&amp;O #Cruise #Ship #Britannia in #CanaryIslands #B708 https://t.co/Tuh82hdfNi https://t.co/y3lLDSk1t6</t>
  </si>
  <si>
    <t>P&amp;O #Cruise #Ship #Britannia in #CanaryIslands #B708 https://t.co/5LTL40i7iW https://t.co/iIE7BL3egB</t>
  </si>
  <si>
    <t>P&amp;O #Cruise #Ship #Britannia in #CanaryIslands #B708 https://t.co/wcIk3y50wc https://t.co/NdBR4yWQU9</t>
  </si>
  <si>
    <t>P&amp;O #Cruise #Ship #Britannia in #CanaryIslands #B708 https://t.co/sug07UBFFl https://t.co/JKet0YcBoi</t>
  </si>
  <si>
    <t>Costa y Paseo de San Agustin #travel #Smile #HappyHolidays #Maspalomas #GranCanaria #Photos #CanaryIslands https://t.co/3dnGAkoojJ</t>
  </si>
  <si>
    <t>Thomas Cook Airlines</t>
  </si>
  <si>
    <t>The sky</t>
  </si>
  <si>
    <t>Official twitter stream of #ThomasCookAirlines, part of the Thomas Cook Group. Follow us for #traveltips and bargain flights to over 60 destinations.</t>
  </si>
  <si>
    <t>Grupo Stier</t>
  </si>
  <si>
    <t>#Llegó la #Navidad It's #Christmas time #opito #oilandgas #training #canaryislands #stcw #martime #navidad2016 https://t.co/nfqn77Ld9d</t>
  </si>
  <si>
    <t>P&amp;I Correspondents – Ship Agency - Offshore Training - Logistics Solutions - Legal Services</t>
  </si>
  <si>
    <t>Carel</t>
  </si>
  <si>
    <t>Si te sigo no es necesariamente para que me sigas... y viceversa. Fotografía, senderismo y sonrisas #EnRuta</t>
  </si>
  <si>
    <t>@emocionesCan @paisajecanario @Salamanca_SSV @islaspromo @LpaVisit #CanaryIslands #GranCanaria #BuenosDias… https://t.co/HciX8Z7NjA</t>
  </si>
  <si>
    <t>RT @Selhso: @emocionesCan @paisajecanario @Salamanca_SSV @islaspromo @LpaVisit #CanaryIslands #GranCanaria #BuenosDias #goodmorning #bonjou…</t>
  </si>
  <si>
    <t>satu ♡</t>
  </si>
  <si>
    <t>#throwback #canaryislands 🇮🇨 https://t.co/m4NVzvbwqV</t>
  </si>
  <si>
    <t>Honeymoon ave</t>
  </si>
  <si>
    <t>Santa tell me, if you are really there make my dreams come true. ♡ Ariana followed 25/12/2014 ♡</t>
  </si>
  <si>
    <t>Timo Krause</t>
  </si>
  <si>
    <t>Breakfast! #lagomera #canaryislands #lagomeraisland #lagomeratravel #travel #travelgram… https://t.co/442A2C8zGu</t>
  </si>
  <si>
    <t>Karlsruhe</t>
  </si>
  <si>
    <t>work: @Visit_Karlsruhe / here: private account // runner // loves2cook // hiker // ♥ #Canada // tweets in german &amp; english</t>
  </si>
  <si>
    <t>Ziggy Lee Bop</t>
  </si>
  <si>
    <t>RT @OliviaBerzinc: Too cold here! Can't wait for some sunshine next week! #CanaryIslands #sun #heat #fun ☀️😁 https://t.co/pqYerCcGli</t>
  </si>
  <si>
    <t>TheLocationGuide</t>
  </si>
  <si>
    <t>All you need to know for your next shoot abroad. Worldwide Filming incentives/Film commissions information/Studios/Crew/Equipment.. you name it.. we have it!</t>
  </si>
  <si>
    <t>Fat biking in #Lanzarote is a heap of fun https://t.co/oRqiFwPTTE #CanaryIslands https://t.co/MsJzlxRRb4</t>
  </si>
  <si>
    <t>Lanzarote sol y mar, sin filtros. #Arrecife #Lanzarote #CanaryIslands #spain #xiaomionly #xiaomi… https://t.co/hag4AaS5RN</t>
  </si>
  <si>
    <t>20 Fun Things to do in the Canary Islands (Lonely Planet) https://t.co/EExzivITz6 #travel #lp #canaryislands #spain https://t.co/4Gg3oTjDGI</t>
  </si>
  <si>
    <t>CanaryIslandsEN: Fat biking in #Lanzarote is a heap of fun https://t.co/24fRQ5jucr #CanaryIslands https://t.co/OwzDoiLuWV</t>
  </si>
  <si>
    <t>AnnaM</t>
  </si>
  <si>
    <t>warszawa</t>
  </si>
  <si>
    <t>aktorka , warszawianka ,wegetarianka, rowerzystka, daleko od kraju , français</t>
  </si>
  <si>
    <t>#CanaryIslands #GranCanaria #Christmas #Sunny #bestweatherintheworld #Paradise https://t.co/w8NOjN656w</t>
  </si>
  <si>
    <t>Bethan</t>
  </si>
  <si>
    <t>Monday's are better in the #canaryislands #lanzarote #sunshine https://t.co/n9GUFcVRQH</t>
  </si>
  <si>
    <t>I LOVE Las Vegas and Bacon. I like Pancakes, Lanzarote, Club Sandwiches, Reading &amp; Sunshine. I RT too much. I don't always follow back. It's nothing personal :)</t>
  </si>
  <si>
    <t>#pabloexcursions #losgigantes #tenerife #canarias #canaryislands #summer #beach #holidays … https://t.co/gcepB1Jit1 https://t.co/I915KGkwPw</t>
  </si>
  <si>
    <t>African Moorish</t>
  </si>
  <si>
    <t>RT @CanaryIslandsEN: Check out the top three MOST POPULAR WINTER DESTINATIONS https://t.co/yiaAGZt3ay @GHmagazine #CanaryIslands https://t.…</t>
  </si>
  <si>
    <t>Azlan</t>
  </si>
  <si>
    <t>Moorish Oracle</t>
  </si>
  <si>
    <t>LuiS</t>
  </si>
  <si>
    <t>Icod De Los Vinos , Tenerife</t>
  </si>
  <si>
    <t>CARMELO MAYOR</t>
  </si>
  <si>
    <t>Even in the #CanaryIslands, you cannot completely escape the #winter 😉#flowers #sunshine #frost #travel https://t.co/ji8kOCZ4Re</t>
  </si>
  <si>
    <t>🍻Salud! Cheers! #sunyay #wintersun #lanzarote #canaryislands https://t.co/icpDqtxK2f</t>
  </si>
  <si>
    <t>@emocionesCan @paisajecanario @Salamanca_SSV @islaspromo @LpaVisit #CanaryIslands #GranCanaria #navidad… https://t.co/ox60H3x6ZX</t>
  </si>
  <si>
    <t>RT @Selhso: @emocionesCan @paisajecanario @Salamanca_SSV @islaspromo @LpaVisit #CanaryIslands #GranCanaria #navidad #LasPalmasDeGranCanari…</t>
  </si>
  <si>
    <t>#Juice #power #greenjuice #spinach #kale #celery #pineapple #Tenerife #spain #canaryislands… https://t.co/c88EIQxn6l</t>
  </si>
  <si>
    <t>Janet</t>
  </si>
  <si>
    <t xml:space="preserve">somewhere over the rainbow </t>
  </si>
  <si>
    <t>Krzysztof Maciak</t>
  </si>
  <si>
    <t>Gita 🚐🐺🤘🌊 #friends #surf #waves #south #fuerteventura #canaryislands #lighthouse #ocean #water… https://t.co/iEZUyF2m09</t>
  </si>
  <si>
    <t>Canary Islands travel guide (Lonely Planet) https://t.co/TOHMjQU6wy #travel #lp #canaryislands #spain https://t.co/VTDnxCRz8R</t>
  </si>
  <si>
    <t>Top 7 #CanaryIslands explored: which island is perfect for you? #MondayMotivation https://t.co/8EF3hLw3xG https://t.co/zQBiqxkXnm</t>
  </si>
  <si>
    <t>eLeyTe</t>
  </si>
  <si>
    <t>Check The Face bodysuit!▫️💫 #fashion #bodysuit #casualstyle #independentbrand #canaryislands https://t.co/4ZtkxCPzpA</t>
  </si>
  <si>
    <t>Independent Fashion Design, Canary Islands.</t>
  </si>
  <si>
    <t>The epic Las Mimbreras road in #LaPalma https://t.co/Aylr9UFYfi #CanaryIslands https://t.co/k1nt6J3Qyp</t>
  </si>
  <si>
    <t>Lost in la Palma</t>
  </si>
  <si>
    <t>RT @CanaryIslandsEN: The epic Las Mimbreras road in #LaPalma https://t.co/Aylr9UFYfi #CanaryIslands https://t.co/k1nt6J3Qyp</t>
  </si>
  <si>
    <t xml:space="preserve">Tazacorte La Palma </t>
  </si>
  <si>
    <t>La Palma it is the island where you want to live. For your safety, peace. For its people. To see the stars every night ... for being the last European paradise!</t>
  </si>
  <si>
    <t>CanaryIslandsEN: The epic Las Mimbreras road in #LaPalma https://t.co/uQRoc5QLww #CanaryIslands https://t.co/vYtGedEK9J</t>
  </si>
  <si>
    <t>RT @enduriaholidays: CanaryIslandsEN: The epic Las Mimbreras road in #LaPalma https://t.co/uQRoc5QLww #CanaryIslands https://t.co/vYtGedEK9J</t>
  </si>
  <si>
    <t>Johann Oosthuizen</t>
  </si>
  <si>
    <t>Palmeral de Maspalomas #travel #Palmeral #Naturaleza #Meloneras #Smile #HappyHolidays #Maspalomas #GranCanaria… https://t.co/dLc1W5lXwO</t>
  </si>
  <si>
    <t>Tenerife Hotels.</t>
  </si>
  <si>
    <t>Looking for a hotel for your next holiday in Tenerife? Check out our twitter account We're always looking for new ways to inspire your next holiday.</t>
  </si>
  <si>
    <t>Victor Santiago</t>
  </si>
  <si>
    <t>TF- Spain</t>
  </si>
  <si>
    <t>Aplicando lo que se va aprendiendo en un gran proyecto, poco tiempo queda para estar por aquí, me encontrarás en @Tenerife_Ocio a tope...</t>
  </si>
  <si>
    <t>Parque Sur Maspalomas #Rocodromo #travel #Palmeral #Smile #HappyHolidays #Maspalomas #GranCanaria #Photos… https://t.co/altuRhfsS7</t>
  </si>
  <si>
    <t>Marcel Jacobs</t>
  </si>
  <si>
    <t>Twitterrific</t>
  </si>
  <si>
    <t>N 52°21' 0'' / E 4°54' 0''</t>
  </si>
  <si>
    <t>Sweco | ICT | SharePoint | Nintex | La Palma | Joomla | social networks | Computer management | Learning Spanish | Owner itlapalma.eu</t>
  </si>
  <si>
    <t>Hey Mummy</t>
  </si>
  <si>
    <t>@Independent we love #Fuerteventura it's great with the kids! @ChannelMum #wind #waterports #holiday #canaryislands https://t.co/xXjJCCEzwq</t>
  </si>
  <si>
    <t>South West, England</t>
  </si>
  <si>
    <t>Parenting YouTubers Katy @katyptv &amp; Anna @cribbanna Dorset/London - @channelMum MADS 2016 finalist! 🎥 https://t.co/IGimbT9LZ2 💻 heymummytv@gmail.com</t>
  </si>
  <si>
    <t>Spring Mood</t>
  </si>
  <si>
    <t>Beautiful travel pictures of Furteventura on Fotolia: https://t.co/nzqhX99roc #Fuerteventura #Canaryislands… https://t.co/rYHZCfXvwN</t>
  </si>
  <si>
    <t>Meet @canariashub team tomorrow at @tlgfocus and get all the keys to shoot in the #CanaryIslands https://t.co/BWfKvJwVFp</t>
  </si>
  <si>
    <t>View from Pico de las Niebles #GranCanaria with #RoqueNublo and Mount #Teide in the distant background #Travel… https://t.co/WthNPIJT6b</t>
  </si>
  <si>
    <t>Milagros Luis Brito</t>
  </si>
  <si>
    <t>RT @canariashub: Meet @canariashub team tomorrow at @tlgfocus and get all the keys to shoot in the #CanaryIslands https://t.co/BWfKvJwVFp</t>
  </si>
  <si>
    <t>Puerto de la Cruz. Canarias</t>
  </si>
  <si>
    <t>Mujer militante. Canaria inquieta; curiosa y con enormes ganas de aprender. Enamorada del Deporte y de la Literatura. Leal.</t>
  </si>
  <si>
    <t>DolceVitaProductions</t>
  </si>
  <si>
    <t>#December on the #canaryislands ... Keep on #shooting! #fashion #photography #production… https://t.co/UZPIKamRiB</t>
  </si>
  <si>
    <t>Barcelona, Catalonia</t>
  </si>
  <si>
    <t>For 15 years, Dolce Vita Productions offers full service production for photo and film all over Spain, Argentina, Uruguay, Mexico and Portugal.</t>
  </si>
  <si>
    <t>ClubSofa</t>
  </si>
  <si>
    <t>RT @SpringMood1: Beautiful travel pictures of Furteventura on Fotolia: https://t.co/nzqhX99roc #Fuerteventura #Canaryislands #Fotolia #stoc…</t>
  </si>
  <si>
    <t>Retweet and automated posting</t>
  </si>
  <si>
    <t>ClubSofa: The safer way to stay! Meet, travel, share and more! Sign up here: https://t.co/ZF1iybJL5N</t>
  </si>
  <si>
    <t>Cactus du jardin de #manrique à #lanzarote #canaries #islascanarias #canaryislands #cactus https://t.co/UD3bOaQwYd</t>
  </si>
  <si>
    <t>RT @visit_tenerife: Retweet if you love #sunsets in #Tenerife, #CanaryIslands. https://t.co/VAGlvzb2LP</t>
  </si>
  <si>
    <t>Marta Donate</t>
  </si>
  <si>
    <t>Banana Social</t>
  </si>
  <si>
    <t>#kaderattia #holyland #canaryislands #dunes #mirrors #prixmarcelduchamp2016 #art #artlovers https://t.co/3XQVhtEpdJ</t>
  </si>
  <si>
    <t>Brasil</t>
  </si>
  <si>
    <t>Humor, Entretenimento e Arte.</t>
  </si>
  <si>
    <t>Em</t>
  </si>
  <si>
    <t>RT @Emma_3072: Fuerteventura #CanaryIslands #Travel #Shortvideo https://t.co/GeQjtlSTTb</t>
  </si>
  <si>
    <t>Paris 20 ème</t>
  </si>
  <si>
    <t>18 • Traveller</t>
  </si>
  <si>
    <t>Rafael Toval</t>
  </si>
  <si>
    <t>#compartetuatardecer #Adeje #CanaryIslands https://t.co/lI8EydHcok</t>
  </si>
  <si>
    <t>#sunset #tenerife #tenerifelicidad #canarias #canaryislands #canariashoy #canariasgrafias… https://t.co/pIn9e9eTYk</t>
  </si>
  <si>
    <t>#Lanzarote #montanaroja #playablanca #lanzaroteturismo #landscape #islascanarias #canaryislands… https://t.co/jER38kPkGs</t>
  </si>
  <si>
    <t>#Lanzarote #montanaroja #playablanca #lanzaroteturismo #landscape #islascanarias #canaryislands #vulcano #clouds... https://t.co/Hs5Hm8Dwn7</t>
  </si>
  <si>
    <t>Night night, paradise. See you tomorrow, London! #sunset #Tenerife #canaryislands #spain… https://t.co/c0ao69Obsb</t>
  </si>
  <si>
    <t>Sheika Reeves</t>
  </si>
  <si>
    <t xml:space="preserve">Tallahasseee, FL </t>
  </si>
  <si>
    <t>I am a follower of Jesus Christ. Conservative Republican. Single and I have M.S., but it doesn't have me. Practicing healthy alternatives and feeling great.</t>
  </si>
  <si>
    <t>Beatriz M. Blancas</t>
  </si>
  <si>
    <t>RT @RToval1611: #compartetuatardecer #Adeje #CanaryIslands https://t.co/lI8EydHcok</t>
  </si>
  <si>
    <t>Madrileña aunque asturiana de corazón💙, soy AZUL por vocación y convicción. Me gusta lo que hago y sobre todo hacerlo con una SONRISA 😊🍀 ⚠️No respondo DM</t>
  </si>
  <si>
    <t>ACEC</t>
  </si>
  <si>
    <t>Jakob Islamovic</t>
  </si>
  <si>
    <t>Back in #town #laspalmas #grancanaria #canaryislands @ 200 Gramos https://t.co/7ncli0deka</t>
  </si>
  <si>
    <t>Piran, Slovenia</t>
  </si>
  <si>
    <t>Jakob Islamovic I'm 29 male from slovenia, liberal, sarcastic, cynical. I like to party hard. My job is traveling the world by sea</t>
  </si>
  <si>
    <t>Alejandro Mutis</t>
  </si>
  <si>
    <t>@kylieminogue You Shal lcome tothe #CanaryIslands... https://t.co/eVFSoVrI7z</t>
  </si>
  <si>
    <t>NOW-Media ActivistForEqualRights- ACTOR.WRITERlivingInSPAIN</t>
  </si>
  <si>
    <t>Martin Weinhardt</t>
  </si>
  <si>
    <t>Almost all of Lanzarote in 11 videos on my Youtube Channel: https://t.co/U5XUZ0YaaI #Lanzarote #CanaryIslands https://t.co/NGNkH7s1y9</t>
  </si>
  <si>
    <t>Frankfurt on the Main, Germany</t>
  </si>
  <si>
    <t>fotografie photography youtube</t>
  </si>
  <si>
    <t>Room with a view! #canaryislands #laspalmas #harbour #stainedglass @ Las Palmas de Gran Canaria https://t.co/fKtToqOrtW</t>
  </si>
  <si>
    <t>Volker Hoff</t>
  </si>
  <si>
    <t>My best german #blogposts 2016 on https://t.co/6HZwXtvDac #blog #LaPalma #CanaryIslands #Curacao #travels</t>
  </si>
  <si>
    <t>Brühl/NRW, Deutschland.</t>
  </si>
  <si>
    <t>Offizieller privater Twitter-Account von Volker Hoff. #IT #Training #space #bluedot #Blog: https://t.co/L19mPOXXqG</t>
  </si>
  <si>
    <t>Neptuno Sea Company</t>
  </si>
  <si>
    <t>Neptuno Sea Company, desde 1994 a su servicio en #PuertoColón #Tenerife, se complace en ofrecerle sus 3 embarcaciones #Shogun, #PeterPan y #Neptuno</t>
  </si>
  <si>
    <t>Rena Valatka</t>
  </si>
  <si>
    <t>Love how different this island can be #abovetheclouds #Tenerife #CanaryIslands #bluesky #brightsun https://t.co/BykYiKkIEP</t>
  </si>
  <si>
    <t>Journalism graduate from #UK, marketing assistant at @Pearly_Grey. Half Lithuanian living in #Tenerife. Love #nature #travel #photography #entrepreneurship</t>
  </si>
  <si>
    <t>moira Ladd images</t>
  </si>
  <si>
    <t>I conquered the cable car &amp; made it Up mount Teide, #tenerife #mount #teide #canaryislands https://t.co/IhX35Ea3x4</t>
  </si>
  <si>
    <t>Near shaftesbury, dorset.</t>
  </si>
  <si>
    <t>artist, in acrylics watercolours, &amp; many other mediums.</t>
  </si>
  <si>
    <t>Traveling to #SantaCruzdeTenerife #CanaryIslands? Here's what to expect https://t.co/zadc4ac3Lk https://t.co/EN4Rp40E6i</t>
  </si>
  <si>
    <t>Morning from the roof terrace, at villa clara. #oratava #tenerife #canaryislands https://t.co/Ji3Mz04bH5</t>
  </si>
  <si>
    <t>#swimmingpool view and relax☀️ 🌴🍹🏊‍♀️😎 #hotel #jardintecina #lagomera #canaryislands… https://t.co/WJlIWBNeUO</t>
  </si>
  <si>
    <t>La Gomera, #CanaryIslands, #Spa</t>
  </si>
  <si>
    <t>Nos encontramos en la mágica isla de #LaGomera, un irrepetible complejo turístico que descansa sobre un acantilado. #Hotel con campo de #Golf propio.</t>
  </si>
  <si>
    <t>Manuel García</t>
  </si>
  <si>
    <t>MÚSICA CANARIA, NACIONALISMO CANARIO, RENOVABLES, ARQUEOLOGÍA, OPINIÓN, MÚSICA DE CANARIAS.....</t>
  </si>
  <si>
    <t>jmlpyt photography</t>
  </si>
  <si>
    <t>Provence-Alpes-Côte d'Azur</t>
  </si>
  <si>
    <t>ambassador contributor #GettyImages Influencer #cotedazurFrance #cotedazurnow #tourismepaca #var #paca #food https://t.co/KhBdPWmhUE https://t.co/p1amSuw6yze</t>
  </si>
  <si>
    <t>Un lugar con alma. Gran Canaria. #grancanaria #LasPalmas #canaryislands #buenasnoches https://t.co/mExxE2uQvr</t>
  </si>
  <si>
    <t>RT @MokaGonzalez_: Un lugar con alma. Gran Canaria. #grancanaria #LasPalmas #canaryislands #buenasnoches https://t.co/mExxE2uQvr</t>
  </si>
  <si>
    <t>@emocionesCan @paisajecanario @Salamanca_SSV @islaspromo @LpaVisit #CanaryIslands #goodnight #buonanotte… https://t.co/b35IwMjahE</t>
  </si>
  <si>
    <t>★Smokin'Hot Babes★</t>
  </si>
  <si>
    <t>Bourbonville USA</t>
  </si>
  <si>
    <t>★18+ ONLY #NSFW ★ This page is dedicated to the #Smokin' Hottest Babes in Twitterville★ #GirlsOfTwitter ★Header is the #SmokinHot★ @AshleySinclair0 ★</t>
  </si>
  <si>
    <t>Ready to start the study for #PADI #Divemaster #Tenerife #GoPro #CanaryIslands https://t.co/pO8NyCqyo9… https://t.co/TdaI84kI44</t>
  </si>
  <si>
    <t>Ready to start the study for #PADI #Divemaster #Tenerife #GoPro #CanaryIslands https://t.co/TZjEGTOVjn… https://t.co/dJ9eNnsg1b</t>
  </si>
  <si>
    <t>Some of the Team chilling before a #Fun #Dive in #Tenerife #CanaryIslands # #PADI https://t.co/TZjEGTOVjn… https://t.co/tgTq8UVwFK</t>
  </si>
  <si>
    <t>Some of the Team chilling before a #Fun #Dive in #Tenerife #CanaryIslands # #PADI https://t.co/pO8NyCqyo9… https://t.co/7QDeigPvqG</t>
  </si>
  <si>
    <t>Eddie Lover</t>
  </si>
  <si>
    <t>Domingo en la playa #fuerteventura #playa #beach #canaryislands #canarias #islascanarias #fuerte #sea #seaside… https://t.co/HmFNG5iyy3</t>
  </si>
  <si>
    <t>Prato</t>
  </si>
  <si>
    <t>Guitar Player / Dj / Producer</t>
  </si>
  <si>
    <t>andres tello</t>
  </si>
  <si>
    <t>Lima - Peru</t>
  </si>
  <si>
    <t>Me encanta el arte en todas sus facetas,el #Arte de #Raphael,y LA BELLA NATURALEZA Universitario de Deportes #YDaleU https://t.co/5XOfINNK6J seluhissx1</t>
  </si>
  <si>
    <t>Cuando Las Palmas susurra... #grancanaria #LasPalmas #canaryislands #buenasnoches https://t.co/lvLtH465oS</t>
  </si>
  <si>
    <t>RT @MokaGonzalez_: Cuando Las Palmas susurra... #grancanaria #LasPalmas #canaryislands #buenasnoches https://t.co/lvLtH465oS</t>
  </si>
  <si>
    <t>Merche Cardin</t>
  </si>
  <si>
    <t>Gustavo Medina</t>
  </si>
  <si>
    <t>Algete</t>
  </si>
  <si>
    <t>Un canario en el exilio... Otro más</t>
  </si>
  <si>
    <t>DELWEISS - Just because we're mad about the Swiss flag ⛑😋 https://t.co/27wlOPCVA3 #canaryislands #swissbrands… https://t.co/GZ8sOezQJH</t>
  </si>
  <si>
    <t>Luisma Ramírez A.</t>
  </si>
  <si>
    <t>Arucas, Gran Canaria</t>
  </si>
  <si>
    <t>Enamorado de la vida. En proceso de experimentación de un nuevo ciclo. Entre libros y periódicos. Educación y cultura, principios básicos de mi presente.</t>
  </si>
  <si>
    <t>María García Padrón</t>
  </si>
  <si>
    <t>Soy Técnica en Información y Comercialización Turística. Vivo en Canarias, islas amables por su clima, naturaleza, paisajes, cultura y sus gentes.</t>
  </si>
  <si>
    <t>ADAY</t>
  </si>
  <si>
    <t>Made in Canarias / Alicante</t>
  </si>
  <si>
    <t>Inefable || Lo canario siempre es mejor</t>
  </si>
  <si>
    <t>joserodroguez292</t>
  </si>
  <si>
    <t>Cae la tarde #la_magua _________________ #sunset #isolecanarie #canaryislands #igerstenerife… https://t.co/u1VdGBGyL8</t>
  </si>
  <si>
    <t>Vidas paralelas ____________ #color #violet #light #isolecanarie #canaryislands #chiringuito… https://t.co/bExZaSj8Lq</t>
  </si>
  <si>
    <t>JIMMY DE LA CRUZ</t>
  </si>
  <si>
    <t>#roquenublo #grancanaria #forografia #iphone6plus #canaryislands #diciembre2016 #christmas… https://t.co/5nEOCtWVU3</t>
  </si>
  <si>
    <t>vecindario</t>
  </si>
  <si>
    <t>#roquenublo #grancanaria #canaryislands #españa #diciembre #spain #venezuela #colombia #canarias… https://t.co/93ul50vP5A</t>
  </si>
  <si>
    <t>#picodelasnieves #grancanria #islascanarias #islascanariasoficial #canaryislands #españa #spain… https://t.co/nHbuyobi5h</t>
  </si>
  <si>
    <t>#picodelasnieves #spain #canaryislands #españa #islascanariasoficial #islascanarias #iphone6plus… https://t.co/bpYEnPb1Jq</t>
  </si>
  <si>
    <t>#roquenublo #grancanaria #islascanarias #canaryislands #colombia #spain #españa #diciembre… https://t.co/y1RhZF6BLy</t>
  </si>
  <si>
    <t>#picodelasnieves #grancanaria #islascanarias #islascanariasoficial #canaryislands #colombia… https://t.co/VIAiLkNr5d</t>
  </si>
  <si>
    <t>The perfect business pull around bag - WENGER TRANSFER. https://t.co/27wlOPCVA3 #canaryislands #Spain https://t.co/vN5JlMmA62</t>
  </si>
  <si>
    <t>Carmen vizcaino</t>
  </si>
  <si>
    <t>si la vida te sorprende,sorprende tu a la vida!!!</t>
  </si>
  <si>
    <t>Marta Cruz Bas</t>
  </si>
  <si>
    <t>Periodista y Licenciada en Historia.</t>
  </si>
  <si>
    <t>Rita_Tfe</t>
  </si>
  <si>
    <t>Guia de turismo</t>
  </si>
  <si>
    <t>Meditación &amp; Freedom</t>
  </si>
  <si>
    <t>La soledad es la gran talladora del espíritu. Federico García Lorca.</t>
  </si>
  <si>
    <t>RT @enduriaholidays: CanaryIslandsEN: Fat biking in #Lanzarote is a heap of fun https://t.co/24fRQ5jucr #CanaryIslands https://t.co/OwzDoiL…</t>
  </si>
  <si>
    <t>RockYourLayover</t>
  </si>
  <si>
    <t>#ThermalPool &amp; #Spa Entrance in #Tenerife ~ 2.5 hours https://t.co/I8QScTNRXZ #Adeje #AquaClubTermal #CanaryIslands https://t.co/TflIhvwKBD</t>
  </si>
  <si>
    <t>Specializing in #tours, #daytrips and #citystays for your short or long #layover. #ShoreExcursions too! Part of the @LayoverIdeas family. We #RockYourLayover!</t>
  </si>
  <si>
    <t>#Lanzarote #Beach #Atlantic #Ocean #canaryislands #bigwaves https://t.co/jRQeJsrHAC https://t.co/pIMz6VBacO</t>
  </si>
  <si>
    <t>Tenta Acosta</t>
  </si>
  <si>
    <t>Top 5 Sun Escapes to Beat the European Winter (Lonely Planet) https://t.co/HImRfUbcPa #travel #lp #gambia #sicily #morocco #canaryislands</t>
  </si>
  <si>
    <t>RT @ebook_travel: 20 Fun Things to do in the Canary Islands (Lonely Planet) https://t.co/EExzivITz6 #travel #lp #canaryislands #spain https…</t>
  </si>
  <si>
    <t>RT @MokaGonzalez_: Calma... #laspalmas #lacicer #grancanaria #islascanarias #canaryislands #lascanteras #surfersparadise #BuenosDiasATodos…</t>
  </si>
  <si>
    <t>More and more people @visit_tenerife each year #Tenerife #CanaryIslands https://t.co/NPEuCsXJIW</t>
  </si>
  <si>
    <t>Tenerife Golf Blog</t>
  </si>
  <si>
    <t>Tenerife is the best place to take a golfing holiday</t>
  </si>
  <si>
    <t>SóloUDLP 🇮🇨</t>
  </si>
  <si>
    <t>Islas Canarias,África</t>
  </si>
  <si>
    <t>Canario y futbolero.Abonado de un solo equipo,el de mi tierra,la UD Las Palmas.</t>
  </si>
  <si>
    <t>B. B.</t>
  </si>
  <si>
    <t>Alfonso Jurado</t>
  </si>
  <si>
    <t>Apasionado del deporte, la naturaleza y el buen rollo, siempre con pensamiento positivo. Vive el momento Carpe Diem</t>
  </si>
  <si>
    <t>Jeanette Mendoza</t>
  </si>
  <si>
    <t>Single parent looking for an open type relationship. Nothing serious. I get bored of a relationship if it's just sex, so if you are just looking to fuck, I …</t>
  </si>
  <si>
    <t>CanaryIslandsSailing</t>
  </si>
  <si>
    <t>San Sebastián de la Gomera</t>
  </si>
  <si>
    <t>#Holidayaccommodation #excursions #SkipperedCharter #YachtBrego #LaGomera #canaryislands #airbnb #tripadvisor #wimdu #bedsonboard #ownersdirect #homeescape</t>
  </si>
  <si>
    <t>Aldo</t>
  </si>
  <si>
    <t>RT @sergon2000: Los Hervideros #sunset in #Lanzarote #canaryislands #canarias #laspalmas https://t.co/uLS2OmYHId https://t.co/cM7pxdamd3</t>
  </si>
  <si>
    <t>Glasgow / Lanzarote</t>
  </si>
  <si>
    <t>Its all good. Enjoy it</t>
  </si>
  <si>
    <t>Good Morning #Lanzarote #Canaryislands today Tuesday 23ºC https://t.co/XJlilK2XeJ https://t.co/dKQE7gu520</t>
  </si>
  <si>
    <t>Still waiting to know these 70% of the planet? #TenDive #Tenerife #CanaryIslands #Scuba #Diving #PADi #UTD #Spain https://t.co/JDdQhiKBHd</t>
  </si>
  <si>
    <t>Canarywine</t>
  </si>
  <si>
    <t>Islas Canarias/ Canary Island</t>
  </si>
  <si>
    <t>Canarywine. Vinos de malvasía (canary wine,sack,canary) cosechados y elaborados en Canarias. Sugerencias en torno al vino, gastronomía, cultura y paisaje</t>
  </si>
  <si>
    <t>#TenDive #Scuba #Diving #Buceo #Dive #Tenerife #PADI #CanaryIslands #UTD #IslasCanarias #TenDiveDivingCenter... https://t.co/4IYR1RGESq</t>
  </si>
  <si>
    <t>#TenDive #Scuba #Diving #Buceo #Dive #Tenerife #PADI #CanaryIslands #UTD #IslasCanarias #TenDiveDivingCenter... https://t.co/5zNveTt4Bj</t>
  </si>
  <si>
    <t>🎁#Christmas in La Palma? 🎅❤☀️ LOS CAMPITOS 2, from 351€ per week 2 person. Booking: ➡ https://t.co/z5N557hG74… https://t.co/JRGWJAz5Oh</t>
  </si>
  <si>
    <t>No one said dressing up warm should be unstylish... ;-) https://t.co/27wlOPCVA3 #Canarias #CanaryIslands https://t.co/AWxzjpGRYK</t>
  </si>
  <si>
    <t>WHY TENERIFE?</t>
  </si>
  <si>
    <t>@tlgfocus #London is about to start! Meet @zulayro and the whole #CanaryIslands #Film Commissions @TenerifeFilm https://t.co/Effb3S4Mtw</t>
  </si>
  <si>
    <t>Why Tenerife? is your company's answer for future growth by benefiting from unique tax advantages and key infrastructures in Europe's tri-continental platform</t>
  </si>
  <si>
    <t>Pasteles... #flora #canaryislands #canarias #tenerife @ Araya, Canarias, Spain https://t.co/rmCmv41Bpu</t>
  </si>
  <si>
    <t>Primeras luces de Gran Canaria. #grancanaria #LasPalmas #canaryislands #buenosdias https://t.co/HpLfSxKxfi</t>
  </si>
  <si>
    <t>RT @MokaGonzalez_: Primeras luces de Gran Canaria. #grancanaria #LasPalmas #canaryislands #buenosdias https://t.co/HpLfSxKxfi</t>
  </si>
  <si>
    <t>Y rompió el amanecer en Las Palmas. #grancanaria #LasPalmas #canaryislands #buenosdias https://t.co/iNSkAf5FoA</t>
  </si>
  <si>
    <t>RT @MokaGonzalez_: Y rompió el amanecer en Las Palmas. #grancanaria #LasPalmas #canaryislands #buenosdias https://t.co/iNSkAf5FoA</t>
  </si>
  <si>
    <t>inditravel</t>
  </si>
  <si>
    <t>RT @Aspects_Photo: The Castillo de San Miguel at #Garachico #Tenerife #CanaryIslands #Travel #photography https://t.co/uIE4ysZkGi</t>
  </si>
  <si>
    <t>Indipendent traveler curious to see the beauty of the world :) #travel</t>
  </si>
  <si>
    <t>Pedro A. Rodríguez</t>
  </si>
  <si>
    <t>Meredith B</t>
  </si>
  <si>
    <t>Buenos Dias! #LaPalma #CanaryIslands @ Breña Baja, Canarias, Spain https://t.co/PUXaxj3saP</t>
  </si>
  <si>
    <t>Pretty in pink #LaPalma #CanaryIslands @ Breña Baja, Canarias, Spain https://t.co/VUrfd2xnuc</t>
  </si>
  <si>
    <t>Amadores Beach I Beaches in #GranCanaria #CanaryIslands https://t.co/9OEingYzkI https://t.co/N17fcVz50q</t>
  </si>
  <si>
    <t>Curragh Travel</t>
  </si>
  <si>
    <t>#January #offer #canaryislands #beach #cocktails #sun☀️ @ Curragh Travel Worldchoice, Newbridge https://t.co/PhTpr5Lwrm</t>
  </si>
  <si>
    <t>Newbridge</t>
  </si>
  <si>
    <t>Follow Curragh Travel for great special offers and last minute travel deals!!!</t>
  </si>
  <si>
    <t>#January #offer #canaryislands #beach #cocktails #sun☀️ https://t.co/KrYkdog5V9</t>
  </si>
  <si>
    <t>RT @WhyTenerife: @tlgfocus #London is about to start! Meet @zulayro and the whole #CanaryIslands #Film Commissions @TenerifeFilm https://t.…</t>
  </si>
  <si>
    <t>20 Fun Things to do in the Canary Islands (Lonely Planet) https://t.co/fFkREyxlhm #travel #lp #canaryislands #spain</t>
  </si>
  <si>
    <t>RT @SuneHolidays: Good Morning #Lanzarote #Canaryislands today Tuesday 23ºC https://t.co/XJlilK2XeJ https://t.co/dKQE7gu520</t>
  </si>
  <si>
    <t>¡Bienvenido Diciembre! (foto: @twitenerife) #CanaryIslands #AlwaysSummer #OnlyinMelia #MeliaHacienda #Tenerife https://t.co/MwUJ5b8lCW</t>
  </si>
  <si>
    <t>Twitero Guanche</t>
  </si>
  <si>
    <t>Amante de #LoCanario/Comentando #LoCanario</t>
  </si>
  <si>
    <t>5 Reasons why you will love a winter trip to the #CanaryIslands https://t.co/Ozhi2pMv4K #TravelTuesday @CanaryIslandsEN @spain</t>
  </si>
  <si>
    <t>Karl Louis</t>
  </si>
  <si>
    <t>#tenerife #teide seen from #lagomera #canaryislands #ocean #atlantic #clouds #island https://t.co/FFGWAQBDxZ</t>
  </si>
  <si>
    <t>less is more</t>
  </si>
  <si>
    <t>Chicharro</t>
  </si>
  <si>
    <t>#scomadi #chicharrotattoogallery #chicharro #santacruz #santacruzdetenerife #canaryislands… https://t.co/cuoAtEYloz</t>
  </si>
  <si>
    <t>C/Valentín Sanz 21· 38002</t>
  </si>
  <si>
    <t>Chicharro Tattoo Gallery se encuentra en el corazón de Santa Cruz De Tenerife para dar un servicio de calidad y personalización a tu tatuaje-piercing.</t>
  </si>
  <si>
    <t>Hotel IFA Buenaventura #Spain, #CanaryIslands, #GranCanaria, #PlayaDelIngles 7nt MAN 27 Mar 17 £376pp… https://t.co/MOOaWqkWk0</t>
  </si>
  <si>
    <t>Today is a national holiday in #Tenerife - find out more here! #Spain #History #CanaryIslands… https://t.co/Aaoxzp9jqw</t>
  </si>
  <si>
    <t>Desireé</t>
  </si>
  <si>
    <t>@CanaryIslandsEN @LoqueveoTfe @Tenerimagen #Tenerife #IslasCanarias #CanaryIslands https://t.co/QzLWGGwz0s</t>
  </si>
  <si>
    <t>RT @DesireePadCoe: @CanaryIslandsEN @LoqueveoTfe @Tenerimagen #Tenerife #IslasCanarias #CanaryIslands https://t.co/QzLWGGwz0s</t>
  </si>
  <si>
    <t>SparkyShane</t>
  </si>
  <si>
    <t>Recorriendo mundo siempre juntos #canaryislands #tenerife #teide… https://t.co/0x0MQTgS7U</t>
  </si>
  <si>
    <t>Nuestra nueva página web/ Our new web site: https://t.co/0Kom8TsHdK #elmedano #tenerife #canaryislands https://t.co/Ru49K4OUzf</t>
  </si>
  <si>
    <t>Annie</t>
  </si>
  <si>
    <t>Spanish names are amazing #canaryislands #grandcanaria #spain #spanish #cocacola #cola #amparo… https://t.co/zvtyMNsaVS</t>
  </si>
  <si>
    <t>South West LondOn</t>
  </si>
  <si>
    <t>Анастасия. don't be that cloud be that shining sun ☀️☀️ Snap: BEENIBOO Instagram: BEENIBOO89</t>
  </si>
  <si>
    <t>Canary Islands travel guide (Lonely Planet) https://t.co/1KQNtvYJrp #travel #lp #canaryislands #spain</t>
  </si>
  <si>
    <t>Hello La Gomera #CanaryIslands https://t.co/VzImaC8GNz https://t.co/qTnaLLsr9k</t>
  </si>
  <si>
    <t>CanaryIslandsEN: Hello La Gomera #CanaryIslands https://t.co/44qTV0i4O1 https://t.co/DMWepOTmPZ</t>
  </si>
  <si>
    <t>RT @CanaryIslandsEN: Hello La Gomera #CanaryIslands https://t.co/VzImaC8GNz https://t.co/qTnaLLsr9k</t>
  </si>
  <si>
    <t>From Gran Canaria: Guide to Seeing a Canary Islands Doctor https://t.co/yFxrJNDeOm #govuk #canaryislands #ehic</t>
  </si>
  <si>
    <t>Works Design Group</t>
  </si>
  <si>
    <t>RT @TheBrandAnalyst: Found this #Lindt emoji chocolate yesterday in a local supermarket...never seen this back in the UK #CanaryIslands htt…</t>
  </si>
  <si>
    <t>We're Works Design Group, a full-service creative agency that inspires brands to be better seen, heard and felt.</t>
  </si>
  <si>
    <t>TBW Network</t>
  </si>
  <si>
    <t>our new fb group for #thingstodo, #excursions and #events on the #canaryislands https://t.co/gQ0SZOJSec</t>
  </si>
  <si>
    <t>The Boardwalk Network #Tickets for #excursions, #events and #activities on the #spanish islands. Our new feature - Travellers Pin Board https://t.co/OyUDshHfdd</t>
  </si>
  <si>
    <t>Prickly but beautiful. Exotic plants and cacti scatter the island. #CanaryIslands #Lanzarote #PuertodelCarmen https://t.co/QQ1HMtIAqm</t>
  </si>
  <si>
    <t>Savoy_se</t>
  </si>
  <si>
    <t>Sevilla, España</t>
  </si>
  <si>
    <t>Cuidemos el Planeta</t>
  </si>
  <si>
    <t>@debscabana</t>
  </si>
  <si>
    <t>This weeks menu is now online https://t.co/nNx8H4qHvx #lanzarote #canaryislands #restaurants #yumyum</t>
  </si>
  <si>
    <t>Macher Lanzarote</t>
  </si>
  <si>
    <t>We serve imaginative, top quality international cuisine – using only the freshest ingredients.</t>
  </si>
  <si>
    <t>Hoy toca todo el día de #viaje 😉 #calimartin #selfietravel #rincondecalitraveling #canaryislands… https://t.co/ylA4WZQiai</t>
  </si>
  <si>
    <t>Vicky</t>
  </si>
  <si>
    <t>arafo</t>
  </si>
  <si>
    <t>Enamorada de mi tierra y del valle de Guimar en especial.</t>
  </si>
  <si>
    <t>daniel</t>
  </si>
  <si>
    <t>Desde 1979, en Twitter algo menos. Nadie dijo que fuera fácil. Lo que nunca pensé es lo complicado que puede llegar a ser la vida.</t>
  </si>
  <si>
    <t>Gemma Ellingsen</t>
  </si>
  <si>
    <t>RT @SimonTurkas: 5 Reasons why you will love a winter trip to the #CanaryIslands https://t.co/Ozhi2pMv4K #TravelTuesday @CanaryIslandsEN @…</t>
  </si>
  <si>
    <t>Santa Cruz de Tenerife, Spain</t>
  </si>
  <si>
    <t>Cherish yesterday....Dream tomorrow.... Live today! Reception Manager @Pearly_grey</t>
  </si>
  <si>
    <t>1000meilenwind.de</t>
  </si>
  <si>
    <t>Aproaching Santa Cruz de La Palma #sailing #lapalma #treshombres #canaryislands #laislabon… https://t.co/ntMxVp4m6p https://t.co/djMJzQnQrn</t>
  </si>
  <si>
    <t>Reportagen, Reiseabenteuer und die Fotos davon.</t>
  </si>
  <si>
    <t>Wellcome December! (foto: @twitenerife ) #CanaryIslands #AlwaysSummer #OnlyinMelia #MeliaHacienda #Tenerife https://t.co/15DZkGoCMB</t>
  </si>
  <si>
    <t>WonderGirl [18+]</t>
  </si>
  <si>
    <t>#NaughtyGirl #Lesbian #InniePussy</t>
  </si>
  <si>
    <t>Damián Rodríguez</t>
  </si>
  <si>
    <t>Carlos Salinas</t>
  </si>
  <si>
    <t>Disfrutando la vida 😍 #Fuerteventura #IslasCanarias #CanaryIslands #ElCotillo #Holidays @ Playa… https://t.co/FEd2cxTmrs</t>
  </si>
  <si>
    <t>Periodista. Locutor de #RadioCastillaLaMancha @CMM_es en @CuentaAtrasCMM y DJ en Grupo Delirio.</t>
  </si>
  <si>
    <t>#teide #tenerife #tenerifelicidad #canarias #canaryislands #canariashoy #canariasgrafias… https://t.co/gYpHlU8MC2</t>
  </si>
  <si>
    <t>No tourism 16km #beach #cofete #fuerteventura #canaryislands https://t.co/mSnPlRfcOR</t>
  </si>
  <si>
    <t>HOT! ⚡ Direct Christmas flights to LANZAROTE from Dusseldorf only €30 both ways! ☀ #lanzarote #canaryislands... https://t.co/O91vnF7VBA</t>
  </si>
  <si>
    <t>Anabel Quintana</t>
  </si>
  <si>
    <t>RT @ivanlesa: 📷🇮🇨🌴🏖🌞#Maspalomas #GranCanaria #IslasCanarias #CanaryIslands https://t.co/tFxcywQltX</t>
  </si>
  <si>
    <t>Gran Canaria, Canarias</t>
  </si>
  <si>
    <t>Mujer, madre y curiosa empedernida. Discuto por el placer de discutir y ver como argumenta el contrario. Escribir es un desahogo aunque solo lo haga para mi.</t>
  </si>
  <si>
    <t>RT @ivanlesa: 📷 Parque Santa Catalina 🌴#LasPalmasGC #GranCanaria 🇮🇨 #IslasCanarias #CanaryIslands https://t.co/sfGuYYnvHy</t>
  </si>
  <si>
    <t>james</t>
  </si>
  <si>
    <t>MEXICO</t>
  </si>
  <si>
    <t>me encantan las chicas, son mi pasión las amo mujeres hermosas</t>
  </si>
  <si>
    <t>Rte. Vega Guayadeque</t>
  </si>
  <si>
    <t>Yo 💜 Barranco de #Guayadeque #GranCanaria #alisiosteam #nature #CanaryIslands #Canarias… https://t.co/E1MxSsGzKc</t>
  </si>
  <si>
    <t>Ingenio, España</t>
  </si>
  <si>
    <t>Restaurante Vega #Guayadeque #GranCanaria ☎ 92817206 https://t.co/FhIJhm0Ppj</t>
  </si>
  <si>
    <t>Yo 💜 Barranco de #Guayadeque #GranCanaria #alisiosteam #nature #CanaryIslands #Canarias #canariasviva... https://t.co/8lhS3XlD6p</t>
  </si>
  <si>
    <t>Quite the view from above as well here in #grancanaria #canaryislands #vulcano # new #scarf @… https://t.co/fI4UkO8ONS</t>
  </si>
  <si>
    <t>Jorel Cuomo</t>
  </si>
  <si>
    <t>#afternoon #cappuccino in #canaryislands to get me through the #day @ Buenavista del Norte https://t.co/T0cCDyVZYw</t>
  </si>
  <si>
    <t>Victoria, BC</t>
  </si>
  <si>
    <t>My main focus is to share the love of nature and the importance of conserving wildlife for future generations through photography and education.</t>
  </si>
  <si>
    <t>#cubalibre #cofete #fuerteventura #canaryislands #beach #beachday #beachlife #drink #notourism https://t.co/CJoX98RVId</t>
  </si>
  <si>
    <t>All posible #locations in the territory with a 35-40% deduction, where? #CanaryIslands Film Visit us! booth P11… https://t.co/vBK1IxJoaC</t>
  </si>
  <si>
    <t>RT @WhyTenerife: All posible #locations in the territory with a 35-40% deduction, where? #CanaryIslands Film Visit us! booth P11 @tlgfocus…</t>
  </si>
  <si>
    <t>La Palma Film</t>
  </si>
  <si>
    <t>La Palma/Canary Islands/Spain</t>
  </si>
  <si>
    <t>La Palma Film Commission - The best set for all your stories. We help you to find the best location for your project and give advice on obtaining permits.</t>
  </si>
  <si>
    <t>PackMyTour</t>
  </si>
  <si>
    <t>Book package holiday from #BelfastInternational to #CanaryIslands https://t.co/whwGfZEedY #packmytour via @packmytour</t>
  </si>
  <si>
    <t>Here you will get best flights,hotel and holiday deals. Download PackMyTour - Holiday Search app for android https://t.co/TtJ3KCNfpm</t>
  </si>
  <si>
    <t>Roberta Westwood</t>
  </si>
  <si>
    <t>RT @AirportLayover: #ThermalPool &amp; #Spa Entrance in #Tenerife ~ 2.5 hours https://t.co/I8QScTNRXZ #Adeje #AquaClubTermal #CanaryIslands htt…</t>
  </si>
  <si>
    <t>Sidney, B.C. Canada</t>
  </si>
  <si>
    <t>Travel agent with Expedia CruiseShipCenters Sidney. I also tweet as @citytravelbug. #yyj #SidneyBC</t>
  </si>
  <si>
    <t>@tlgfocus many &amp; powerful reasons for filmmakers has attracted movies such as Robert Zemeckis' ‘Allied’ to… https://t.co/buBRNPMvDf</t>
  </si>
  <si>
    <t>RT @canariashub: @tlgfocus many &amp; powerful reasons for filmmakers has attracted movies such as Robert Zemeckis' ‘Allied’ to #CanaryIslands.…</t>
  </si>
  <si>
    <t>Au'BreAnna Camille</t>
  </si>
  <si>
    <t>Peace. #OverseasLiving #Spain #CanaryIslands #GranCanaria… https://t.co/635NXs6Ui3</t>
  </si>
  <si>
    <t>San Antonio, Tx Raised</t>
  </si>
  <si>
    <t>Professional Basketball Player. Blessed to travel the world doing what I love.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</si>
</sst>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m/d/yyyy h:mm:ss"/>
    <numFmt numFmtId="166" formatCode="dd/MM/yyyy HH:mm:ss"/>
    <numFmt numFmtId="167" formatCode="dd-mm h:mm:ss"/>
  </numFmts>
  <fonts count="11">
    <font>
      <sz val="10.0"/>
      <color rgb="FF000000"/>
      <name val="Arial"/>
    </font>
    <font>
      <sz val="9.0"/>
      <color rgb="FFFFFFFF"/>
      <name val="Arial"/>
    </font>
    <font>
      <sz val="9.0"/>
      <color rgb="FFFFFFFF"/>
      <name val="Droid Sans"/>
    </font>
    <font>
      <sz val="8.0"/>
      <color rgb="FFFFFFFF"/>
      <name val="Droid Sans"/>
    </font>
    <font/>
    <font>
      <sz val="8.0"/>
      <name val="Droid Sans"/>
    </font>
    <font>
      <sz val="8.0"/>
      <name val="Arial"/>
    </font>
    <font>
      <u/>
      <sz val="8.0"/>
      <color rgb="FF0000FF"/>
      <name val="Droid Sans"/>
    </font>
    <font>
      <u/>
      <sz val="8.0"/>
      <color rgb="FF0000FF"/>
      <name val="Droid Sans"/>
    </font>
    <font>
      <u/>
      <sz val="8.0"/>
      <color rgb="FF0000FF"/>
      <name val="Droid Sans"/>
    </font>
    <font>
      <u/>
      <sz val="8.0"/>
      <color rgb="FF0000FF"/>
      <name val="Droid Sans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4A86E8"/>
        <bgColor rgb="FF4A86E8"/>
      </patternFill>
    </fill>
  </fills>
  <borders count="6"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2" fontId="2" numFmtId="0" xfId="0" applyAlignment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0" fillId="2" fontId="3" numFmtId="0" xfId="0" applyAlignment="1" applyFont="1">
      <alignment horizontal="center" vertical="center"/>
    </xf>
    <xf borderId="3" fillId="0" fontId="4" numFmtId="0" xfId="0" applyBorder="1" applyFont="1"/>
    <xf borderId="0" fillId="2" fontId="5" numFmtId="164" xfId="0" applyAlignment="1" applyFont="1" applyNumberFormat="1">
      <alignment horizontal="center"/>
    </xf>
    <xf borderId="4" fillId="0" fontId="4" numFmtId="0" xfId="0" applyBorder="1" applyFont="1"/>
    <xf borderId="5" fillId="3" fontId="3" numFmtId="164" xfId="0" applyAlignment="1" applyBorder="1" applyFill="1" applyFont="1" applyNumberFormat="1">
      <alignment horizontal="center" vertical="center"/>
    </xf>
    <xf borderId="0" fillId="0" fontId="6" numFmtId="165" xfId="0" applyAlignment="1" applyFont="1" applyNumberFormat="1">
      <alignment horizontal="center" vertical="center"/>
    </xf>
    <xf borderId="5" fillId="3" fontId="3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166" xfId="0" applyAlignment="1" applyFont="1" applyNumberFormat="1">
      <alignment vertical="center"/>
    </xf>
    <xf borderId="0" fillId="0" fontId="6" numFmtId="167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5" fillId="3" fontId="3" numFmtId="0" xfId="0" applyAlignment="1" applyBorder="1" applyFont="1">
      <alignment horizontal="center" vertical="center"/>
    </xf>
    <xf borderId="0" fillId="0" fontId="5" numFmtId="164" xfId="0" applyAlignment="1" applyFont="1" applyNumberFormat="1">
      <alignment horizontal="center" vertical="center"/>
    </xf>
    <xf borderId="0" fillId="0" fontId="7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14" xfId="0" applyAlignment="1" applyFont="1" applyNumberFormat="1">
      <alignment horizontal="center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vertical="center"/>
    </xf>
    <xf borderId="0" fillId="0" fontId="5" numFmtId="164" xfId="0" applyAlignment="1" applyFont="1" applyNumberForma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twitter.com/gonzalomartin19/status/803024950126903297" TargetMode="External"/><Relationship Id="rId391" Type="http://schemas.openxmlformats.org/officeDocument/2006/relationships/hyperlink" Target="https://twitter.com/gonzalomartin19" TargetMode="External"/><Relationship Id="rId390" Type="http://schemas.openxmlformats.org/officeDocument/2006/relationships/hyperlink" Target="https://pbs.twimg.com/profile_images/1508754713/Logos_Perfiles_EECC_-_Sin_borde_y_sin_texto_normal.jpg" TargetMode="External"/><Relationship Id="rId2180" Type="http://schemas.openxmlformats.org/officeDocument/2006/relationships/hyperlink" Target="https://twitter.com/swisshop4uEs" TargetMode="External"/><Relationship Id="rId2181" Type="http://schemas.openxmlformats.org/officeDocument/2006/relationships/hyperlink" Target="https://twitter.com/swisshop4uEs/status/804305176643465216" TargetMode="External"/><Relationship Id="rId2182" Type="http://schemas.openxmlformats.org/officeDocument/2006/relationships/hyperlink" Target="https://pbs.twimg.com/profile_images/378800000213382003/4f562b59f92995b884d2d440f71fc5ce_normal.png" TargetMode="External"/><Relationship Id="rId2183" Type="http://schemas.openxmlformats.org/officeDocument/2006/relationships/hyperlink" Target="https://twitter.com/MandyLeeT90" TargetMode="External"/><Relationship Id="rId385" Type="http://schemas.openxmlformats.org/officeDocument/2006/relationships/hyperlink" Target="https://twitter.com/MariolaTNFGC84" TargetMode="External"/><Relationship Id="rId2184" Type="http://schemas.openxmlformats.org/officeDocument/2006/relationships/hyperlink" Target="https://twitter.com/MandyLeeT90/status/804306531558846469" TargetMode="External"/><Relationship Id="rId384" Type="http://schemas.openxmlformats.org/officeDocument/2006/relationships/hyperlink" Target="https://pbs.twimg.com/profile_images/1508754713/Logos_Perfiles_EECC_-_Sin_borde_y_sin_texto_normal.jpg" TargetMode="External"/><Relationship Id="rId2185" Type="http://schemas.openxmlformats.org/officeDocument/2006/relationships/hyperlink" Target="https://pbs.twimg.com/profile_images/788087311665856512/PIpybzkm_normal.jpg" TargetMode="External"/><Relationship Id="rId383" Type="http://schemas.openxmlformats.org/officeDocument/2006/relationships/hyperlink" Target="https://twitter.com/EmocionesCan/status/803023936258707460" TargetMode="External"/><Relationship Id="rId2186" Type="http://schemas.openxmlformats.org/officeDocument/2006/relationships/hyperlink" Target="https://twitter.com/snookie66" TargetMode="External"/><Relationship Id="rId382" Type="http://schemas.openxmlformats.org/officeDocument/2006/relationships/hyperlink" Target="https://twitter.com/EmocionesCan" TargetMode="External"/><Relationship Id="rId2187" Type="http://schemas.openxmlformats.org/officeDocument/2006/relationships/hyperlink" Target="https://twitter.com/snookie66/status/804311497975402496" TargetMode="External"/><Relationship Id="rId389" Type="http://schemas.openxmlformats.org/officeDocument/2006/relationships/hyperlink" Target="https://twitter.com/EmocionesCan/status/803024595561435136" TargetMode="External"/><Relationship Id="rId2188" Type="http://schemas.openxmlformats.org/officeDocument/2006/relationships/hyperlink" Target="https://abs.twimg.com/sticky/default_profile_images/default_profile_5_normal.png" TargetMode="External"/><Relationship Id="rId388" Type="http://schemas.openxmlformats.org/officeDocument/2006/relationships/hyperlink" Target="https://twitter.com/EmocionesCan" TargetMode="External"/><Relationship Id="rId2189" Type="http://schemas.openxmlformats.org/officeDocument/2006/relationships/hyperlink" Target="https://twitter.com/HtvGranCanaria" TargetMode="External"/><Relationship Id="rId387" Type="http://schemas.openxmlformats.org/officeDocument/2006/relationships/hyperlink" Target="https://pbs.twimg.com/profile_images/765266327804190720/3kytWWcC_normal.jpg" TargetMode="External"/><Relationship Id="rId386" Type="http://schemas.openxmlformats.org/officeDocument/2006/relationships/hyperlink" Target="https://twitter.com/MariolaTNFGC84/status/803024397309247490" TargetMode="External"/><Relationship Id="rId381" Type="http://schemas.openxmlformats.org/officeDocument/2006/relationships/hyperlink" Target="https://pbs.twimg.com/profile_images/788244479618654209/fAQmlrW4_normal.jpg" TargetMode="External"/><Relationship Id="rId380" Type="http://schemas.openxmlformats.org/officeDocument/2006/relationships/hyperlink" Target="https://twitter.com/MarkPREVERT/status/803020474712064000" TargetMode="External"/><Relationship Id="rId379" Type="http://schemas.openxmlformats.org/officeDocument/2006/relationships/hyperlink" Target="https://twitter.com/MarkPREVERT" TargetMode="External"/><Relationship Id="rId2170" Type="http://schemas.openxmlformats.org/officeDocument/2006/relationships/hyperlink" Target="https://pbs.twimg.com/profile_images/713310925701427200/i_WxL0Us_normal.jpg" TargetMode="External"/><Relationship Id="rId2171" Type="http://schemas.openxmlformats.org/officeDocument/2006/relationships/hyperlink" Target="https://twitter.com/swisshop4uEs" TargetMode="External"/><Relationship Id="rId2172" Type="http://schemas.openxmlformats.org/officeDocument/2006/relationships/hyperlink" Target="https://twitter.com/swisshop4uEs/status/804300026889572352" TargetMode="External"/><Relationship Id="rId374" Type="http://schemas.openxmlformats.org/officeDocument/2006/relationships/hyperlink" Target="https://twitter.com/swisshop4uEs/status/802995709117165569" TargetMode="External"/><Relationship Id="rId2173" Type="http://schemas.openxmlformats.org/officeDocument/2006/relationships/hyperlink" Target="https://pbs.twimg.com/profile_images/378800000213382003/4f562b59f92995b884d2d440f71fc5ce_normal.png" TargetMode="External"/><Relationship Id="rId373" Type="http://schemas.openxmlformats.org/officeDocument/2006/relationships/hyperlink" Target="https://twitter.com/swisshop4uEs" TargetMode="External"/><Relationship Id="rId2174" Type="http://schemas.openxmlformats.org/officeDocument/2006/relationships/hyperlink" Target="https://twitter.com/swisshop4uEs" TargetMode="External"/><Relationship Id="rId372" Type="http://schemas.openxmlformats.org/officeDocument/2006/relationships/hyperlink" Target="https://pbs.twimg.com/profile_images/742950874637598721/-n4GbJer_normal.jpg" TargetMode="External"/><Relationship Id="rId2175" Type="http://schemas.openxmlformats.org/officeDocument/2006/relationships/hyperlink" Target="https://twitter.com/swisshop4uEs/status/804300045478723588" TargetMode="External"/><Relationship Id="rId371" Type="http://schemas.openxmlformats.org/officeDocument/2006/relationships/hyperlink" Target="https://twitter.com/CostaAdejeHotel/status/802990086493179904" TargetMode="External"/><Relationship Id="rId2176" Type="http://schemas.openxmlformats.org/officeDocument/2006/relationships/hyperlink" Target="https://pbs.twimg.com/profile_images/378800000213382003/4f562b59f92995b884d2d440f71fc5ce_normal.png" TargetMode="External"/><Relationship Id="rId378" Type="http://schemas.openxmlformats.org/officeDocument/2006/relationships/hyperlink" Target="https://pbs.twimg.com/profile_images/800845512836579328/cKh_5hB2_normal.jpg" TargetMode="External"/><Relationship Id="rId2177" Type="http://schemas.openxmlformats.org/officeDocument/2006/relationships/hyperlink" Target="https://twitter.com/dickymorgantfe" TargetMode="External"/><Relationship Id="rId377" Type="http://schemas.openxmlformats.org/officeDocument/2006/relationships/hyperlink" Target="https://twitter.com/Selhso/status/803010145500307456" TargetMode="External"/><Relationship Id="rId2178" Type="http://schemas.openxmlformats.org/officeDocument/2006/relationships/hyperlink" Target="https://twitter.com/dickymorgantfe/status/804300161140854784" TargetMode="External"/><Relationship Id="rId376" Type="http://schemas.openxmlformats.org/officeDocument/2006/relationships/hyperlink" Target="https://twitter.com/Selhso" TargetMode="External"/><Relationship Id="rId2179" Type="http://schemas.openxmlformats.org/officeDocument/2006/relationships/hyperlink" Target="https://pbs.twimg.com/profile_images/2076999672/logo1_normal.jpg" TargetMode="External"/><Relationship Id="rId375" Type="http://schemas.openxmlformats.org/officeDocument/2006/relationships/hyperlink" Target="https://pbs.twimg.com/profile_images/378800000213382003/4f562b59f92995b884d2d440f71fc5ce_normal.png" TargetMode="External"/><Relationship Id="rId2190" Type="http://schemas.openxmlformats.org/officeDocument/2006/relationships/hyperlink" Target="https://twitter.com/HtvGranCanaria/status/804312384915521536" TargetMode="External"/><Relationship Id="rId2191" Type="http://schemas.openxmlformats.org/officeDocument/2006/relationships/hyperlink" Target="https://pbs.twimg.com/profile_images/725311202096599040/oWBVCljf_normal.jpg" TargetMode="External"/><Relationship Id="rId2192" Type="http://schemas.openxmlformats.org/officeDocument/2006/relationships/hyperlink" Target="https://twitter.com/HtvGranCanaria" TargetMode="External"/><Relationship Id="rId2193" Type="http://schemas.openxmlformats.org/officeDocument/2006/relationships/hyperlink" Target="https://twitter.com/HtvGranCanaria/status/804312479132241920" TargetMode="External"/><Relationship Id="rId2194" Type="http://schemas.openxmlformats.org/officeDocument/2006/relationships/hyperlink" Target="https://pbs.twimg.com/profile_images/725311202096599040/oWBVCljf_normal.jpg" TargetMode="External"/><Relationship Id="rId396" Type="http://schemas.openxmlformats.org/officeDocument/2006/relationships/hyperlink" Target="https://pbs.twimg.com/profile_images/3461850627/70f1c6c744e939681691ad3a09d64375_normal.png" TargetMode="External"/><Relationship Id="rId2195" Type="http://schemas.openxmlformats.org/officeDocument/2006/relationships/hyperlink" Target="https://twitter.com/HtvGranCanaria" TargetMode="External"/><Relationship Id="rId395" Type="http://schemas.openxmlformats.org/officeDocument/2006/relationships/hyperlink" Target="https://twitter.com/Salamanca_SSV/status/803025098034860032" TargetMode="External"/><Relationship Id="rId2196" Type="http://schemas.openxmlformats.org/officeDocument/2006/relationships/hyperlink" Target="https://twitter.com/HtvGranCanaria/status/804312639526629376" TargetMode="External"/><Relationship Id="rId394" Type="http://schemas.openxmlformats.org/officeDocument/2006/relationships/hyperlink" Target="https://twitter.com/Salamanca_SSV" TargetMode="External"/><Relationship Id="rId2197" Type="http://schemas.openxmlformats.org/officeDocument/2006/relationships/hyperlink" Target="https://pbs.twimg.com/profile_images/725311202096599040/oWBVCljf_normal.jpg" TargetMode="External"/><Relationship Id="rId393" Type="http://schemas.openxmlformats.org/officeDocument/2006/relationships/hyperlink" Target="https://pbs.twimg.com/profile_images/788378410800340992/S31aB3GU_normal.jpg" TargetMode="External"/><Relationship Id="rId2198" Type="http://schemas.openxmlformats.org/officeDocument/2006/relationships/hyperlink" Target="https://twitter.com/meloki2" TargetMode="External"/><Relationship Id="rId2199" Type="http://schemas.openxmlformats.org/officeDocument/2006/relationships/hyperlink" Target="https://twitter.com/meloki2/status/804314473808924672" TargetMode="External"/><Relationship Id="rId399" Type="http://schemas.openxmlformats.org/officeDocument/2006/relationships/hyperlink" Target="https://pbs.twimg.com/profile_images/765266327804190720/3kytWWcC_normal.jpg" TargetMode="External"/><Relationship Id="rId398" Type="http://schemas.openxmlformats.org/officeDocument/2006/relationships/hyperlink" Target="https://twitter.com/MariolaTNFGC84/status/803025844683862016" TargetMode="External"/><Relationship Id="rId397" Type="http://schemas.openxmlformats.org/officeDocument/2006/relationships/hyperlink" Target="https://twitter.com/MariolaTNFGC84" TargetMode="External"/><Relationship Id="rId1730" Type="http://schemas.openxmlformats.org/officeDocument/2006/relationships/hyperlink" Target="https://twitter.com/bermaxo09" TargetMode="External"/><Relationship Id="rId1731" Type="http://schemas.openxmlformats.org/officeDocument/2006/relationships/hyperlink" Target="https://twitter.com/bermaxo09/status/803997517193089024" TargetMode="External"/><Relationship Id="rId1732" Type="http://schemas.openxmlformats.org/officeDocument/2006/relationships/hyperlink" Target="https://pbs.twimg.com/profile_images/798476790478073856/iOD0HIRa_normal.jpg" TargetMode="External"/><Relationship Id="rId1733" Type="http://schemas.openxmlformats.org/officeDocument/2006/relationships/hyperlink" Target="https://twitter.com/bermaxo09" TargetMode="External"/><Relationship Id="rId1734" Type="http://schemas.openxmlformats.org/officeDocument/2006/relationships/hyperlink" Target="https://twitter.com/bermaxo09/status/803998168274923520" TargetMode="External"/><Relationship Id="rId1735" Type="http://schemas.openxmlformats.org/officeDocument/2006/relationships/hyperlink" Target="https://pbs.twimg.com/profile_images/798476790478073856/iOD0HIRa_normal.jpg" TargetMode="External"/><Relationship Id="rId1736" Type="http://schemas.openxmlformats.org/officeDocument/2006/relationships/hyperlink" Target="https://twitter.com/IamHappyHiker" TargetMode="External"/><Relationship Id="rId1737" Type="http://schemas.openxmlformats.org/officeDocument/2006/relationships/hyperlink" Target="https://twitter.com/IamHappyHiker/status/804003889817198592" TargetMode="External"/><Relationship Id="rId1738" Type="http://schemas.openxmlformats.org/officeDocument/2006/relationships/hyperlink" Target="https://pbs.twimg.com/profile_images/1506725851/Facebook_pic_under_800kb_normal.jpg" TargetMode="External"/><Relationship Id="rId1739" Type="http://schemas.openxmlformats.org/officeDocument/2006/relationships/hyperlink" Target="https://twitter.com/TheCanaryNews" TargetMode="External"/><Relationship Id="rId1720" Type="http://schemas.openxmlformats.org/officeDocument/2006/relationships/hyperlink" Target="https://pbs.twimg.com/profile_images/754960714704584704/14dQxsF8_normal.jpg" TargetMode="External"/><Relationship Id="rId1721" Type="http://schemas.openxmlformats.org/officeDocument/2006/relationships/hyperlink" Target="https://twitter.com/enduriaholidays" TargetMode="External"/><Relationship Id="rId1722" Type="http://schemas.openxmlformats.org/officeDocument/2006/relationships/hyperlink" Target="https://twitter.com/enduriaholidays/status/803995899403845633" TargetMode="External"/><Relationship Id="rId1723" Type="http://schemas.openxmlformats.org/officeDocument/2006/relationships/hyperlink" Target="https://pbs.twimg.com/profile_images/726026649356128258/xCSaP1IW_normal.jpg" TargetMode="External"/><Relationship Id="rId1724" Type="http://schemas.openxmlformats.org/officeDocument/2006/relationships/hyperlink" Target="https://twitter.com/bermaxo09" TargetMode="External"/><Relationship Id="rId1725" Type="http://schemas.openxmlformats.org/officeDocument/2006/relationships/hyperlink" Target="https://twitter.com/bermaxo09/status/803996294918373376" TargetMode="External"/><Relationship Id="rId1726" Type="http://schemas.openxmlformats.org/officeDocument/2006/relationships/hyperlink" Target="https://pbs.twimg.com/profile_images/798476790478073856/iOD0HIRa_normal.jpg" TargetMode="External"/><Relationship Id="rId1727" Type="http://schemas.openxmlformats.org/officeDocument/2006/relationships/hyperlink" Target="https://twitter.com/bermaxo09" TargetMode="External"/><Relationship Id="rId1728" Type="http://schemas.openxmlformats.org/officeDocument/2006/relationships/hyperlink" Target="https://twitter.com/bermaxo09/status/803996838630137857" TargetMode="External"/><Relationship Id="rId1729" Type="http://schemas.openxmlformats.org/officeDocument/2006/relationships/hyperlink" Target="https://pbs.twimg.com/profile_images/798476790478073856/iOD0HIRa_normal.jpg" TargetMode="External"/><Relationship Id="rId1752" Type="http://schemas.openxmlformats.org/officeDocument/2006/relationships/hyperlink" Target="https://twitter.com/DaniQSTrail/status/804025121094692864" TargetMode="External"/><Relationship Id="rId1753" Type="http://schemas.openxmlformats.org/officeDocument/2006/relationships/hyperlink" Target="https://pbs.twimg.com/profile_images/3406518046/925ba13d0c1c96b119d41ca18a84f192_normal.jpeg" TargetMode="External"/><Relationship Id="rId1754" Type="http://schemas.openxmlformats.org/officeDocument/2006/relationships/hyperlink" Target="https://twitter.com/argentbeauquest" TargetMode="External"/><Relationship Id="rId1755" Type="http://schemas.openxmlformats.org/officeDocument/2006/relationships/hyperlink" Target="https://twitter.com/argentbeauquest/status/804025527363371010" TargetMode="External"/><Relationship Id="rId1756" Type="http://schemas.openxmlformats.org/officeDocument/2006/relationships/hyperlink" Target="https://pbs.twimg.com/profile_images/557976996735512576/Hl5qRsIA_normal.jpeg" TargetMode="External"/><Relationship Id="rId1757" Type="http://schemas.openxmlformats.org/officeDocument/2006/relationships/hyperlink" Target="https://twitter.com/MariolaTNFGC84" TargetMode="External"/><Relationship Id="rId1758" Type="http://schemas.openxmlformats.org/officeDocument/2006/relationships/hyperlink" Target="https://twitter.com/MariolaTNFGC84/status/804026257470062599" TargetMode="External"/><Relationship Id="rId1759" Type="http://schemas.openxmlformats.org/officeDocument/2006/relationships/hyperlink" Target="https://pbs.twimg.com/profile_images/765266327804190720/3kytWWcC_normal.jpg" TargetMode="External"/><Relationship Id="rId1750" Type="http://schemas.openxmlformats.org/officeDocument/2006/relationships/hyperlink" Target="https://pbs.twimg.com/profile_images/553505598214795265/eZDHgh3u_normal.jpeg" TargetMode="External"/><Relationship Id="rId1751" Type="http://schemas.openxmlformats.org/officeDocument/2006/relationships/hyperlink" Target="https://twitter.com/DaniQSTrail" TargetMode="External"/><Relationship Id="rId1741" Type="http://schemas.openxmlformats.org/officeDocument/2006/relationships/hyperlink" Target="https://pbs.twimg.com/profile_images/422427750876463104/qmjyKloM_normal.png" TargetMode="External"/><Relationship Id="rId1742" Type="http://schemas.openxmlformats.org/officeDocument/2006/relationships/hyperlink" Target="https://twitter.com/manuelcarranco" TargetMode="External"/><Relationship Id="rId1743" Type="http://schemas.openxmlformats.org/officeDocument/2006/relationships/hyperlink" Target="https://twitter.com/manuelcarranco/status/804014789974294528" TargetMode="External"/><Relationship Id="rId1744" Type="http://schemas.openxmlformats.org/officeDocument/2006/relationships/hyperlink" Target="https://pbs.twimg.com/profile_images/525944451177263104/jGofUCAA_normal.jpeg" TargetMode="External"/><Relationship Id="rId1745" Type="http://schemas.openxmlformats.org/officeDocument/2006/relationships/hyperlink" Target="https://twitter.com/gp_riccardi" TargetMode="External"/><Relationship Id="rId1746" Type="http://schemas.openxmlformats.org/officeDocument/2006/relationships/hyperlink" Target="https://twitter.com/gp_riccardi/status/804020343153291265" TargetMode="External"/><Relationship Id="rId1747" Type="http://schemas.openxmlformats.org/officeDocument/2006/relationships/hyperlink" Target="https://pbs.twimg.com/profile_images/589084104337055744/-e8CU0iA_normal.jpg" TargetMode="External"/><Relationship Id="rId1748" Type="http://schemas.openxmlformats.org/officeDocument/2006/relationships/hyperlink" Target="https://twitter.com/KarlosAlipio" TargetMode="External"/><Relationship Id="rId1749" Type="http://schemas.openxmlformats.org/officeDocument/2006/relationships/hyperlink" Target="https://twitter.com/KarlosAlipio/status/804024180849147905" TargetMode="External"/><Relationship Id="rId1740" Type="http://schemas.openxmlformats.org/officeDocument/2006/relationships/hyperlink" Target="https://twitter.com/TheCanaryNews/status/804010570097770497" TargetMode="External"/><Relationship Id="rId1710" Type="http://schemas.openxmlformats.org/officeDocument/2006/relationships/hyperlink" Target="https://twitter.com/NoeDiepaQ/status/803991642550235137" TargetMode="External"/><Relationship Id="rId1711" Type="http://schemas.openxmlformats.org/officeDocument/2006/relationships/hyperlink" Target="https://pbs.twimg.com/profile_images/800725582866681857/SbvHps_z_normal.jpg" TargetMode="External"/><Relationship Id="rId1712" Type="http://schemas.openxmlformats.org/officeDocument/2006/relationships/hyperlink" Target="https://twitter.com/HernanGmez" TargetMode="External"/><Relationship Id="rId1713" Type="http://schemas.openxmlformats.org/officeDocument/2006/relationships/hyperlink" Target="https://twitter.com/HernanGmez/status/803994204011720704" TargetMode="External"/><Relationship Id="rId1714" Type="http://schemas.openxmlformats.org/officeDocument/2006/relationships/hyperlink" Target="https://pbs.twimg.com/profile_images/768523075612766213/y8n89gbd_normal.jpg" TargetMode="External"/><Relationship Id="rId1715" Type="http://schemas.openxmlformats.org/officeDocument/2006/relationships/hyperlink" Target="https://twitter.com/bermaxo09" TargetMode="External"/><Relationship Id="rId1716" Type="http://schemas.openxmlformats.org/officeDocument/2006/relationships/hyperlink" Target="https://twitter.com/bermaxo09/status/803995558117523456" TargetMode="External"/><Relationship Id="rId1717" Type="http://schemas.openxmlformats.org/officeDocument/2006/relationships/hyperlink" Target="https://pbs.twimg.com/profile_images/798476790478073856/iOD0HIRa_normal.jpg" TargetMode="External"/><Relationship Id="rId1718" Type="http://schemas.openxmlformats.org/officeDocument/2006/relationships/hyperlink" Target="https://twitter.com/CanaryIslandsEN" TargetMode="External"/><Relationship Id="rId1719" Type="http://schemas.openxmlformats.org/officeDocument/2006/relationships/hyperlink" Target="https://twitter.com/CanaryIslandsEN/status/803995718323146756" TargetMode="External"/><Relationship Id="rId1700" Type="http://schemas.openxmlformats.org/officeDocument/2006/relationships/hyperlink" Target="https://twitter.com/tweetaholiday" TargetMode="External"/><Relationship Id="rId1701" Type="http://schemas.openxmlformats.org/officeDocument/2006/relationships/hyperlink" Target="https://twitter.com/tweetaholiday/status/803990633371357184" TargetMode="External"/><Relationship Id="rId1702" Type="http://schemas.openxmlformats.org/officeDocument/2006/relationships/hyperlink" Target="https://pbs.twimg.com/profile_images/799341755804033025/FbQRfPnR_normal.jpg" TargetMode="External"/><Relationship Id="rId1703" Type="http://schemas.openxmlformats.org/officeDocument/2006/relationships/hyperlink" Target="https://twitter.com/islaspromo" TargetMode="External"/><Relationship Id="rId1704" Type="http://schemas.openxmlformats.org/officeDocument/2006/relationships/hyperlink" Target="https://twitter.com/islaspromo/status/803991128370462720" TargetMode="External"/><Relationship Id="rId1705" Type="http://schemas.openxmlformats.org/officeDocument/2006/relationships/hyperlink" Target="https://pbs.twimg.com/profile_images/570644453866483712/dvbC2x8W_normal.jpeg" TargetMode="External"/><Relationship Id="rId1706" Type="http://schemas.openxmlformats.org/officeDocument/2006/relationships/hyperlink" Target="https://twitter.com/islaspromo" TargetMode="External"/><Relationship Id="rId1707" Type="http://schemas.openxmlformats.org/officeDocument/2006/relationships/hyperlink" Target="https://twitter.com/islaspromo/status/803991238013751296" TargetMode="External"/><Relationship Id="rId1708" Type="http://schemas.openxmlformats.org/officeDocument/2006/relationships/hyperlink" Target="https://pbs.twimg.com/profile_images/570644453866483712/dvbC2x8W_normal.jpeg" TargetMode="External"/><Relationship Id="rId1709" Type="http://schemas.openxmlformats.org/officeDocument/2006/relationships/hyperlink" Target="https://twitter.com/NoeDiepaQ" TargetMode="External"/><Relationship Id="rId40" Type="http://schemas.openxmlformats.org/officeDocument/2006/relationships/hyperlink" Target="https://twitter.com/MedCruiseGuide" TargetMode="External"/><Relationship Id="rId3513" Type="http://schemas.openxmlformats.org/officeDocument/2006/relationships/hyperlink" Target="https://pbs.twimg.com/profile_images/686535231541768192/Rlk05H1a_normal.jpg" TargetMode="External"/><Relationship Id="rId4844" Type="http://schemas.openxmlformats.org/officeDocument/2006/relationships/hyperlink" Target="https://twitter.com/karl_louis_/status/806113725543497728" TargetMode="External"/><Relationship Id="rId3512" Type="http://schemas.openxmlformats.org/officeDocument/2006/relationships/hyperlink" Target="https://twitter.com/spain/status/805184363704958976" TargetMode="External"/><Relationship Id="rId4843" Type="http://schemas.openxmlformats.org/officeDocument/2006/relationships/hyperlink" Target="https://twitter.com/karl_louis_" TargetMode="External"/><Relationship Id="rId42" Type="http://schemas.openxmlformats.org/officeDocument/2006/relationships/hyperlink" Target="https://pbs.twimg.com/profile_images/805484536301780992/2tho24Rf_normal.jpg" TargetMode="External"/><Relationship Id="rId3515" Type="http://schemas.openxmlformats.org/officeDocument/2006/relationships/hyperlink" Target="https://twitter.com/YoMeAbstengo/status/805184642303328257" TargetMode="External"/><Relationship Id="rId4846" Type="http://schemas.openxmlformats.org/officeDocument/2006/relationships/hyperlink" Target="https://twitter.com/Chicharrotattoo" TargetMode="External"/><Relationship Id="rId41" Type="http://schemas.openxmlformats.org/officeDocument/2006/relationships/hyperlink" Target="https://twitter.com/MedCruiseGuide/status/802795600420868096" TargetMode="External"/><Relationship Id="rId3514" Type="http://schemas.openxmlformats.org/officeDocument/2006/relationships/hyperlink" Target="https://twitter.com/YoMeAbstengo" TargetMode="External"/><Relationship Id="rId4845" Type="http://schemas.openxmlformats.org/officeDocument/2006/relationships/hyperlink" Target="https://pbs.twimg.com/profile_images/688752497834459136/kDW9yvUQ_normal.jpg" TargetMode="External"/><Relationship Id="rId44" Type="http://schemas.openxmlformats.org/officeDocument/2006/relationships/hyperlink" Target="https://twitter.com/gergolippai/status/802796867369242624" TargetMode="External"/><Relationship Id="rId3517" Type="http://schemas.openxmlformats.org/officeDocument/2006/relationships/hyperlink" Target="https://twitter.com/nisaaziz_" TargetMode="External"/><Relationship Id="rId4848" Type="http://schemas.openxmlformats.org/officeDocument/2006/relationships/hyperlink" Target="https://pbs.twimg.com/profile_images/522361497960206337/umNF4FrG_normal.jpeg" TargetMode="External"/><Relationship Id="rId43" Type="http://schemas.openxmlformats.org/officeDocument/2006/relationships/hyperlink" Target="https://twitter.com/gergolippai" TargetMode="External"/><Relationship Id="rId3516" Type="http://schemas.openxmlformats.org/officeDocument/2006/relationships/hyperlink" Target="https://pbs.twimg.com/profile_images/685916732184260610/zreST-yg_normal.jpg" TargetMode="External"/><Relationship Id="rId4847" Type="http://schemas.openxmlformats.org/officeDocument/2006/relationships/hyperlink" Target="https://twitter.com/Chicharrotattoo/status/806114880210149376" TargetMode="External"/><Relationship Id="rId46" Type="http://schemas.openxmlformats.org/officeDocument/2006/relationships/hyperlink" Target="https://twitter.com/collectingsmile" TargetMode="External"/><Relationship Id="rId3519" Type="http://schemas.openxmlformats.org/officeDocument/2006/relationships/hyperlink" Target="https://pbs.twimg.com/profile_images/797475015054626816/0YtSi2Ja_normal.jpg" TargetMode="External"/><Relationship Id="rId45" Type="http://schemas.openxmlformats.org/officeDocument/2006/relationships/hyperlink" Target="https://pbs.twimg.com/profile_images/711341349983920129/gKtqDqg2_normal.jpg" TargetMode="External"/><Relationship Id="rId3518" Type="http://schemas.openxmlformats.org/officeDocument/2006/relationships/hyperlink" Target="https://twitter.com/nisaaziz_/status/805186238491676672" TargetMode="External"/><Relationship Id="rId4849" Type="http://schemas.openxmlformats.org/officeDocument/2006/relationships/hyperlink" Target="https://twitter.com/HessleTravel" TargetMode="External"/><Relationship Id="rId48" Type="http://schemas.openxmlformats.org/officeDocument/2006/relationships/hyperlink" Target="https://pbs.twimg.com/profile_images/267232211/me_normal.jpg" TargetMode="External"/><Relationship Id="rId47" Type="http://schemas.openxmlformats.org/officeDocument/2006/relationships/hyperlink" Target="https://twitter.com/collectingsmile/status/802800152721444864" TargetMode="External"/><Relationship Id="rId49" Type="http://schemas.openxmlformats.org/officeDocument/2006/relationships/hyperlink" Target="https://twitter.com/jbboats" TargetMode="External"/><Relationship Id="rId4840" Type="http://schemas.openxmlformats.org/officeDocument/2006/relationships/hyperlink" Target="https://twitter.com/SimonTurkas" TargetMode="External"/><Relationship Id="rId3511" Type="http://schemas.openxmlformats.org/officeDocument/2006/relationships/hyperlink" Target="https://twitter.com/spain" TargetMode="External"/><Relationship Id="rId4842" Type="http://schemas.openxmlformats.org/officeDocument/2006/relationships/hyperlink" Target="https://pbs.twimg.com/profile_images/800292908008144896/TiECGUpd_normal.jpg" TargetMode="External"/><Relationship Id="rId3510" Type="http://schemas.openxmlformats.org/officeDocument/2006/relationships/hyperlink" Target="https://pbs.twimg.com/profile_images/589334078941437952/pe_b07J0_normal.jpg" TargetMode="External"/><Relationship Id="rId4841" Type="http://schemas.openxmlformats.org/officeDocument/2006/relationships/hyperlink" Target="https://twitter.com/SimonTurkas/status/806111961318641664" TargetMode="External"/><Relationship Id="rId3502" Type="http://schemas.openxmlformats.org/officeDocument/2006/relationships/hyperlink" Target="https://twitter.com/josecdiez" TargetMode="External"/><Relationship Id="rId4833" Type="http://schemas.openxmlformats.org/officeDocument/2006/relationships/hyperlink" Target="https://pbs.twimg.com/profile_images/797265461075443712/-ap1T37u_normal.jpg" TargetMode="External"/><Relationship Id="rId3501" Type="http://schemas.openxmlformats.org/officeDocument/2006/relationships/hyperlink" Target="https://pbs.twimg.com/profile_images/378800000865806258/e_dAQxEM_normal.png" TargetMode="External"/><Relationship Id="rId4832" Type="http://schemas.openxmlformats.org/officeDocument/2006/relationships/hyperlink" Target="https://twitter.com/TomCanaryGC/status/806099229362049025" TargetMode="External"/><Relationship Id="rId31" Type="http://schemas.openxmlformats.org/officeDocument/2006/relationships/hyperlink" Target="https://twitter.com/pierodecaro" TargetMode="External"/><Relationship Id="rId3504" Type="http://schemas.openxmlformats.org/officeDocument/2006/relationships/hyperlink" Target="https://pbs.twimg.com/profile_images/772040397921083392/9nB8yk-G_normal.jpg" TargetMode="External"/><Relationship Id="rId4835" Type="http://schemas.openxmlformats.org/officeDocument/2006/relationships/hyperlink" Target="https://twitter.com/MeliaHacienda/status/806100951023153152" TargetMode="External"/><Relationship Id="rId30" Type="http://schemas.openxmlformats.org/officeDocument/2006/relationships/hyperlink" Target="https://pbs.twimg.com/profile_images/686922727480029184/9ztyb32p_normal.jpg" TargetMode="External"/><Relationship Id="rId3503" Type="http://schemas.openxmlformats.org/officeDocument/2006/relationships/hyperlink" Target="https://twitter.com/josecdiez/status/805169218673135616" TargetMode="External"/><Relationship Id="rId4834" Type="http://schemas.openxmlformats.org/officeDocument/2006/relationships/hyperlink" Target="https://twitter.com/MeliaHacienda" TargetMode="External"/><Relationship Id="rId33" Type="http://schemas.openxmlformats.org/officeDocument/2006/relationships/hyperlink" Target="https://pbs.twimg.com/profile_images/736866908159479808/dPsg7ZGs_normal.jpg" TargetMode="External"/><Relationship Id="rId3506" Type="http://schemas.openxmlformats.org/officeDocument/2006/relationships/hyperlink" Target="https://twitter.com/TitsBumsAndFeet/status/805182485185306624" TargetMode="External"/><Relationship Id="rId4837" Type="http://schemas.openxmlformats.org/officeDocument/2006/relationships/hyperlink" Target="https://twitter.com/TwiteroGuanche" TargetMode="External"/><Relationship Id="rId32" Type="http://schemas.openxmlformats.org/officeDocument/2006/relationships/hyperlink" Target="https://twitter.com/pierodecaro/status/802792702375063552" TargetMode="External"/><Relationship Id="rId3505" Type="http://schemas.openxmlformats.org/officeDocument/2006/relationships/hyperlink" Target="https://twitter.com/TitsBumsAndFeet" TargetMode="External"/><Relationship Id="rId4836" Type="http://schemas.openxmlformats.org/officeDocument/2006/relationships/hyperlink" Target="https://pbs.twimg.com/profile_images/793118609736339456/LMIq_8Rm_normal.jpg" TargetMode="External"/><Relationship Id="rId35" Type="http://schemas.openxmlformats.org/officeDocument/2006/relationships/hyperlink" Target="https://twitter.com/paisajecanario/status/802794513739739140" TargetMode="External"/><Relationship Id="rId3508" Type="http://schemas.openxmlformats.org/officeDocument/2006/relationships/hyperlink" Target="https://twitter.com/LairyBoy" TargetMode="External"/><Relationship Id="rId4839" Type="http://schemas.openxmlformats.org/officeDocument/2006/relationships/hyperlink" Target="https://pbs.twimg.com/profile_images/797939995411709952/PULsPLXF_normal.jpg" TargetMode="External"/><Relationship Id="rId34" Type="http://schemas.openxmlformats.org/officeDocument/2006/relationships/hyperlink" Target="https://twitter.com/paisajecanario" TargetMode="External"/><Relationship Id="rId3507" Type="http://schemas.openxmlformats.org/officeDocument/2006/relationships/hyperlink" Target="https://pbs.twimg.com/profile_images/617602385863659520/Obwo7i_I_normal.jpg" TargetMode="External"/><Relationship Id="rId4838" Type="http://schemas.openxmlformats.org/officeDocument/2006/relationships/hyperlink" Target="https://twitter.com/TwiteroGuanche/status/806104420895358976" TargetMode="External"/><Relationship Id="rId3509" Type="http://schemas.openxmlformats.org/officeDocument/2006/relationships/hyperlink" Target="https://twitter.com/LairyBoy/status/805183225958121472" TargetMode="External"/><Relationship Id="rId37" Type="http://schemas.openxmlformats.org/officeDocument/2006/relationships/hyperlink" Target="https://twitter.com/Blackauville" TargetMode="External"/><Relationship Id="rId36" Type="http://schemas.openxmlformats.org/officeDocument/2006/relationships/hyperlink" Target="https://pbs.twimg.com/profile_images/789364630850240512/Mw90qAlM_normal.jpg" TargetMode="External"/><Relationship Id="rId39" Type="http://schemas.openxmlformats.org/officeDocument/2006/relationships/hyperlink" Target="https://pbs.twimg.com/profile_images/687330177848848385/0DPNLjBw_normal.jpg" TargetMode="External"/><Relationship Id="rId38" Type="http://schemas.openxmlformats.org/officeDocument/2006/relationships/hyperlink" Target="https://twitter.com/Blackauville/status/802794559168200704" TargetMode="External"/><Relationship Id="rId3500" Type="http://schemas.openxmlformats.org/officeDocument/2006/relationships/hyperlink" Target="https://twitter.com/Lanzarote3C/status/805169146770112512" TargetMode="External"/><Relationship Id="rId4831" Type="http://schemas.openxmlformats.org/officeDocument/2006/relationships/hyperlink" Target="https://twitter.com/TomCanaryGC" TargetMode="External"/><Relationship Id="rId4830" Type="http://schemas.openxmlformats.org/officeDocument/2006/relationships/hyperlink" Target="https://pbs.twimg.com/profile_images/592798998773235713/aPa65SQO_normal.jpg" TargetMode="External"/><Relationship Id="rId2203" Type="http://schemas.openxmlformats.org/officeDocument/2006/relationships/hyperlink" Target="https://pbs.twimg.com/profile_images/553518889137885184/cM0dwG9q_normal.jpeg" TargetMode="External"/><Relationship Id="rId3535" Type="http://schemas.openxmlformats.org/officeDocument/2006/relationships/hyperlink" Target="https://twitter.com/DAgabeyoglu" TargetMode="External"/><Relationship Id="rId4866" Type="http://schemas.openxmlformats.org/officeDocument/2006/relationships/hyperlink" Target="https://pbs.twimg.com/profile_images/692758256259854340/d-9aYuwh_normal.jpg" TargetMode="External"/><Relationship Id="rId2204" Type="http://schemas.openxmlformats.org/officeDocument/2006/relationships/hyperlink" Target="https://twitter.com/quantom_nom" TargetMode="External"/><Relationship Id="rId3534" Type="http://schemas.openxmlformats.org/officeDocument/2006/relationships/hyperlink" Target="https://pbs.twimg.com/profile_images/533667794345136129/YsG85GvM_normal.jpeg" TargetMode="External"/><Relationship Id="rId4865" Type="http://schemas.openxmlformats.org/officeDocument/2006/relationships/hyperlink" Target="https://twitter.com/TfeKitesurf/status/806125075674046464" TargetMode="External"/><Relationship Id="rId20" Type="http://schemas.openxmlformats.org/officeDocument/2006/relationships/hyperlink" Target="https://twitter.com/swisshop4uEs/status/802784197438046208" TargetMode="External"/><Relationship Id="rId2205" Type="http://schemas.openxmlformats.org/officeDocument/2006/relationships/hyperlink" Target="https://twitter.com/quantom_nom/status/804314926647037952" TargetMode="External"/><Relationship Id="rId3537" Type="http://schemas.openxmlformats.org/officeDocument/2006/relationships/hyperlink" Target="https://pbs.twimg.com/profile_images/790307522045435904/wYegLsfT_normal.jpg" TargetMode="External"/><Relationship Id="rId4868" Type="http://schemas.openxmlformats.org/officeDocument/2006/relationships/hyperlink" Target="https://twitter.com/beeniBO/status/806125473281478656" TargetMode="External"/><Relationship Id="rId2206" Type="http://schemas.openxmlformats.org/officeDocument/2006/relationships/hyperlink" Target="https://pbs.twimg.com/profile_images/768787615223058432/MD_3s3Z2_normal.jpg" TargetMode="External"/><Relationship Id="rId3536" Type="http://schemas.openxmlformats.org/officeDocument/2006/relationships/hyperlink" Target="https://twitter.com/DAgabeyoglu/status/805188516472823808" TargetMode="External"/><Relationship Id="rId4867" Type="http://schemas.openxmlformats.org/officeDocument/2006/relationships/hyperlink" Target="https://twitter.com/beeniBO" TargetMode="External"/><Relationship Id="rId22" Type="http://schemas.openxmlformats.org/officeDocument/2006/relationships/hyperlink" Target="https://twitter.com/PCarreraAlvarez" TargetMode="External"/><Relationship Id="rId2207" Type="http://schemas.openxmlformats.org/officeDocument/2006/relationships/hyperlink" Target="https://twitter.com/ladywalks83" TargetMode="External"/><Relationship Id="rId3539" Type="http://schemas.openxmlformats.org/officeDocument/2006/relationships/hyperlink" Target="https://twitter.com/GloriaRaquel243/status/805189003242770432" TargetMode="External"/><Relationship Id="rId21" Type="http://schemas.openxmlformats.org/officeDocument/2006/relationships/hyperlink" Target="https://pbs.twimg.com/profile_images/378800000213382003/4f562b59f92995b884d2d440f71fc5ce_normal.png" TargetMode="External"/><Relationship Id="rId2208" Type="http://schemas.openxmlformats.org/officeDocument/2006/relationships/hyperlink" Target="https://twitter.com/ladywalks83/status/804315956336070656" TargetMode="External"/><Relationship Id="rId3538" Type="http://schemas.openxmlformats.org/officeDocument/2006/relationships/hyperlink" Target="https://twitter.com/GloriaRaquel243" TargetMode="External"/><Relationship Id="rId4869" Type="http://schemas.openxmlformats.org/officeDocument/2006/relationships/hyperlink" Target="https://pbs.twimg.com/profile_images/801073228445786112/7_yjhoAE_normal.jpg" TargetMode="External"/><Relationship Id="rId24" Type="http://schemas.openxmlformats.org/officeDocument/2006/relationships/hyperlink" Target="https://pbs.twimg.com/profile_images/2998974448/5b4a78546eaedd31a9958a8f2775a0f1_normal.jpeg" TargetMode="External"/><Relationship Id="rId2209" Type="http://schemas.openxmlformats.org/officeDocument/2006/relationships/hyperlink" Target="https://pbs.twimg.com/profile_images/778615798105567232/W7kY3Cc9_normal.jpg" TargetMode="External"/><Relationship Id="rId23" Type="http://schemas.openxmlformats.org/officeDocument/2006/relationships/hyperlink" Target="https://twitter.com/PCarreraAlvarez/status/802790883884142592" TargetMode="External"/><Relationship Id="rId26" Type="http://schemas.openxmlformats.org/officeDocument/2006/relationships/hyperlink" Target="https://twitter.com/la_palma/status/802791089304276993" TargetMode="External"/><Relationship Id="rId25" Type="http://schemas.openxmlformats.org/officeDocument/2006/relationships/hyperlink" Target="https://twitter.com/la_palma" TargetMode="External"/><Relationship Id="rId28" Type="http://schemas.openxmlformats.org/officeDocument/2006/relationships/hyperlink" Target="https://twitter.com/SuneHolidays" TargetMode="External"/><Relationship Id="rId4860" Type="http://schemas.openxmlformats.org/officeDocument/2006/relationships/hyperlink" Target="https://pbs.twimg.com/profile_images/794313170936614912/DgBYnoSu_normal.jpg" TargetMode="External"/><Relationship Id="rId27" Type="http://schemas.openxmlformats.org/officeDocument/2006/relationships/hyperlink" Target="https://pbs.twimg.com/profile_images/3722356956/fa39d69a57bac26ec686d40f2bbf96ad_normal.jpeg" TargetMode="External"/><Relationship Id="rId3531" Type="http://schemas.openxmlformats.org/officeDocument/2006/relationships/hyperlink" Target="https://pbs.twimg.com/profile_images/727638478360596481/0rzlCELB_normal.jpg" TargetMode="External"/><Relationship Id="rId4862" Type="http://schemas.openxmlformats.org/officeDocument/2006/relationships/hyperlink" Target="https://twitter.com/MeteoDance/status/806123030627942402" TargetMode="External"/><Relationship Id="rId29" Type="http://schemas.openxmlformats.org/officeDocument/2006/relationships/hyperlink" Target="https://twitter.com/SuneHolidays/status/802791572320485376" TargetMode="External"/><Relationship Id="rId2200" Type="http://schemas.openxmlformats.org/officeDocument/2006/relationships/hyperlink" Target="https://pbs.twimg.com/profile_images/519964881336799233/BOCtuq-p_normal.jpeg" TargetMode="External"/><Relationship Id="rId3530" Type="http://schemas.openxmlformats.org/officeDocument/2006/relationships/hyperlink" Target="https://twitter.com/Austin13Fortier/status/805187357431492612" TargetMode="External"/><Relationship Id="rId4861" Type="http://schemas.openxmlformats.org/officeDocument/2006/relationships/hyperlink" Target="https://twitter.com/MeteoDance" TargetMode="External"/><Relationship Id="rId2201" Type="http://schemas.openxmlformats.org/officeDocument/2006/relationships/hyperlink" Target="https://twitter.com/piscosybuches" TargetMode="External"/><Relationship Id="rId3533" Type="http://schemas.openxmlformats.org/officeDocument/2006/relationships/hyperlink" Target="https://twitter.com/diegogonzalo92/status/805187368428965888" TargetMode="External"/><Relationship Id="rId4864" Type="http://schemas.openxmlformats.org/officeDocument/2006/relationships/hyperlink" Target="https://twitter.com/TfeKitesurf" TargetMode="External"/><Relationship Id="rId2202" Type="http://schemas.openxmlformats.org/officeDocument/2006/relationships/hyperlink" Target="https://twitter.com/piscosybuches/status/804314777098928129" TargetMode="External"/><Relationship Id="rId3532" Type="http://schemas.openxmlformats.org/officeDocument/2006/relationships/hyperlink" Target="https://twitter.com/diegogonzalo92" TargetMode="External"/><Relationship Id="rId4863" Type="http://schemas.openxmlformats.org/officeDocument/2006/relationships/hyperlink" Target="https://pbs.twimg.com/profile_images/557443736255623168/Pn8GJ3GP_normal.jpeg" TargetMode="External"/><Relationship Id="rId3524" Type="http://schemas.openxmlformats.org/officeDocument/2006/relationships/hyperlink" Target="https://twitter.com/ale1linares/status/805186955038392320" TargetMode="External"/><Relationship Id="rId4855" Type="http://schemas.openxmlformats.org/officeDocument/2006/relationships/hyperlink" Target="https://twitter.com/DesireePadCoe" TargetMode="External"/><Relationship Id="rId3523" Type="http://schemas.openxmlformats.org/officeDocument/2006/relationships/hyperlink" Target="https://twitter.com/ale1linares" TargetMode="External"/><Relationship Id="rId4854" Type="http://schemas.openxmlformats.org/officeDocument/2006/relationships/hyperlink" Target="https://pbs.twimg.com/profile_images/651017498373046272/9239SLpQ_normal.jpg" TargetMode="External"/><Relationship Id="rId3526" Type="http://schemas.openxmlformats.org/officeDocument/2006/relationships/hyperlink" Target="https://twitter.com/josejasz" TargetMode="External"/><Relationship Id="rId4857" Type="http://schemas.openxmlformats.org/officeDocument/2006/relationships/hyperlink" Target="https://pbs.twimg.com/profile_images/805543924681023493/XB1mRrii_normal.jpg" TargetMode="External"/><Relationship Id="rId3525" Type="http://schemas.openxmlformats.org/officeDocument/2006/relationships/hyperlink" Target="https://pbs.twimg.com/profile_images/801948074700603393/xVmO8vME_normal.jpg" TargetMode="External"/><Relationship Id="rId4856" Type="http://schemas.openxmlformats.org/officeDocument/2006/relationships/hyperlink" Target="https://twitter.com/DesireePadCoe/status/806119519584391168" TargetMode="External"/><Relationship Id="rId11" Type="http://schemas.openxmlformats.org/officeDocument/2006/relationships/hyperlink" Target="https://twitter.com/EmocionesCan/status/802776270241140736" TargetMode="External"/><Relationship Id="rId3528" Type="http://schemas.openxmlformats.org/officeDocument/2006/relationships/hyperlink" Target="https://pbs.twimg.com/profile_images/681205593550548992/TV4ebZ-2_normal.jpg" TargetMode="External"/><Relationship Id="rId4859" Type="http://schemas.openxmlformats.org/officeDocument/2006/relationships/hyperlink" Target="https://twitter.com/LoqueveoTfe/status/806121098471473152" TargetMode="External"/><Relationship Id="rId10" Type="http://schemas.openxmlformats.org/officeDocument/2006/relationships/hyperlink" Target="https://twitter.com/EmocionesCan" TargetMode="External"/><Relationship Id="rId3527" Type="http://schemas.openxmlformats.org/officeDocument/2006/relationships/hyperlink" Target="https://twitter.com/josejasz/status/805187320341233665" TargetMode="External"/><Relationship Id="rId4858" Type="http://schemas.openxmlformats.org/officeDocument/2006/relationships/hyperlink" Target="https://twitter.com/LoqueveoTfe" TargetMode="External"/><Relationship Id="rId13" Type="http://schemas.openxmlformats.org/officeDocument/2006/relationships/hyperlink" Target="https://twitter.com/alenodi" TargetMode="External"/><Relationship Id="rId12" Type="http://schemas.openxmlformats.org/officeDocument/2006/relationships/hyperlink" Target="https://pbs.twimg.com/profile_images/1508754713/Logos_Perfiles_EECC_-_Sin_borde_y_sin_texto_normal.jpg" TargetMode="External"/><Relationship Id="rId3529" Type="http://schemas.openxmlformats.org/officeDocument/2006/relationships/hyperlink" Target="https://twitter.com/Austin13Fortier" TargetMode="External"/><Relationship Id="rId15" Type="http://schemas.openxmlformats.org/officeDocument/2006/relationships/hyperlink" Target="https://pbs.twimg.com/profile_images/719464367616606208/haQ6Fe8l_normal.jpg" TargetMode="External"/><Relationship Id="rId14" Type="http://schemas.openxmlformats.org/officeDocument/2006/relationships/hyperlink" Target="https://twitter.com/alenodi/status/802776451871342592" TargetMode="External"/><Relationship Id="rId17" Type="http://schemas.openxmlformats.org/officeDocument/2006/relationships/hyperlink" Target="https://twitter.com/holyber/status/802779524085600257" TargetMode="External"/><Relationship Id="rId16" Type="http://schemas.openxmlformats.org/officeDocument/2006/relationships/hyperlink" Target="https://twitter.com/holyber" TargetMode="External"/><Relationship Id="rId19" Type="http://schemas.openxmlformats.org/officeDocument/2006/relationships/hyperlink" Target="https://twitter.com/swisshop4uEs" TargetMode="External"/><Relationship Id="rId3520" Type="http://schemas.openxmlformats.org/officeDocument/2006/relationships/hyperlink" Target="https://twitter.com/mebelle5490" TargetMode="External"/><Relationship Id="rId4851" Type="http://schemas.openxmlformats.org/officeDocument/2006/relationships/hyperlink" Target="https://pbs.twimg.com/profile_images/698309673066303488/gU84mK_F_normal.jpg" TargetMode="External"/><Relationship Id="rId18" Type="http://schemas.openxmlformats.org/officeDocument/2006/relationships/hyperlink" Target="https://pbs.twimg.com/profile_images/475644614448123904/FiCl2pX4_normal.jpeg" TargetMode="External"/><Relationship Id="rId4850" Type="http://schemas.openxmlformats.org/officeDocument/2006/relationships/hyperlink" Target="https://twitter.com/HessleTravel/status/806115073450274816" TargetMode="External"/><Relationship Id="rId3522" Type="http://schemas.openxmlformats.org/officeDocument/2006/relationships/hyperlink" Target="https://pbs.twimg.com/profile_images/800094840050642944/Ai0UfnVu_normal.jpg" TargetMode="External"/><Relationship Id="rId4853" Type="http://schemas.openxmlformats.org/officeDocument/2006/relationships/hyperlink" Target="https://twitter.com/homesundersun/status/806115478372515840" TargetMode="External"/><Relationship Id="rId3521" Type="http://schemas.openxmlformats.org/officeDocument/2006/relationships/hyperlink" Target="https://twitter.com/mebelle5490/status/805186540947308544" TargetMode="External"/><Relationship Id="rId4852" Type="http://schemas.openxmlformats.org/officeDocument/2006/relationships/hyperlink" Target="https://twitter.com/homesundersun" TargetMode="External"/><Relationship Id="rId84" Type="http://schemas.openxmlformats.org/officeDocument/2006/relationships/hyperlink" Target="https://pbs.twimg.com/profile_images/783382917640781824/AqM_zAOY_normal.jpg" TargetMode="External"/><Relationship Id="rId1774" Type="http://schemas.openxmlformats.org/officeDocument/2006/relationships/hyperlink" Target="https://pbs.twimg.com/profile_images/794679362788478977/dOKv-_FP_normal.jpg" TargetMode="External"/><Relationship Id="rId4800" Type="http://schemas.openxmlformats.org/officeDocument/2006/relationships/hyperlink" Target="https://pbs.twimg.com/profile_images/475644614448123904/FiCl2pX4_normal.jpeg" TargetMode="External"/><Relationship Id="rId83" Type="http://schemas.openxmlformats.org/officeDocument/2006/relationships/hyperlink" Target="https://twitter.com/ComposerShades/status/802813592764612608" TargetMode="External"/><Relationship Id="rId1775" Type="http://schemas.openxmlformats.org/officeDocument/2006/relationships/hyperlink" Target="https://twitter.com/elastword" TargetMode="External"/><Relationship Id="rId86" Type="http://schemas.openxmlformats.org/officeDocument/2006/relationships/hyperlink" Target="https://twitter.com/DorisVisits/status/802813599085367296" TargetMode="External"/><Relationship Id="rId1776" Type="http://schemas.openxmlformats.org/officeDocument/2006/relationships/hyperlink" Target="https://twitter.com/elastword/status/804034091175682048" TargetMode="External"/><Relationship Id="rId4802" Type="http://schemas.openxmlformats.org/officeDocument/2006/relationships/hyperlink" Target="https://twitter.com/inditravelfeed/status/806082289465720832" TargetMode="External"/><Relationship Id="rId85" Type="http://schemas.openxmlformats.org/officeDocument/2006/relationships/hyperlink" Target="https://twitter.com/DorisVisits" TargetMode="External"/><Relationship Id="rId1777" Type="http://schemas.openxmlformats.org/officeDocument/2006/relationships/hyperlink" Target="https://pbs.twimg.com/profile_images/779785036996415489/a2nilB1d_normal.jpg" TargetMode="External"/><Relationship Id="rId4801" Type="http://schemas.openxmlformats.org/officeDocument/2006/relationships/hyperlink" Target="https://twitter.com/inditravelfeed" TargetMode="External"/><Relationship Id="rId88" Type="http://schemas.openxmlformats.org/officeDocument/2006/relationships/hyperlink" Target="https://twitter.com/Johnalanpick" TargetMode="External"/><Relationship Id="rId1778" Type="http://schemas.openxmlformats.org/officeDocument/2006/relationships/hyperlink" Target="https://twitter.com/elastword" TargetMode="External"/><Relationship Id="rId4804" Type="http://schemas.openxmlformats.org/officeDocument/2006/relationships/hyperlink" Target="https://twitter.com/PedroARodrguez" TargetMode="External"/><Relationship Id="rId87" Type="http://schemas.openxmlformats.org/officeDocument/2006/relationships/hyperlink" Target="https://pbs.twimg.com/profile_images/668416648211222529/-2knYf0__normal.jpg" TargetMode="External"/><Relationship Id="rId1779" Type="http://schemas.openxmlformats.org/officeDocument/2006/relationships/hyperlink" Target="https://twitter.com/elastword/status/804034611776876544" TargetMode="External"/><Relationship Id="rId4803" Type="http://schemas.openxmlformats.org/officeDocument/2006/relationships/hyperlink" Target="https://pbs.twimg.com/profile_images/787706464752271360/8O90q4NY_normal.jpg" TargetMode="External"/><Relationship Id="rId4806" Type="http://schemas.openxmlformats.org/officeDocument/2006/relationships/hyperlink" Target="https://pbs.twimg.com/profile_images/3111914704/434e501b41ec918bdcd7511b6e31a149_normal.jpeg" TargetMode="External"/><Relationship Id="rId89" Type="http://schemas.openxmlformats.org/officeDocument/2006/relationships/hyperlink" Target="https://twitter.com/Johnalanpick/status/802819256316366848" TargetMode="External"/><Relationship Id="rId4805" Type="http://schemas.openxmlformats.org/officeDocument/2006/relationships/hyperlink" Target="https://twitter.com/PedroARodrguez/status/806083652228698114" TargetMode="External"/><Relationship Id="rId4808" Type="http://schemas.openxmlformats.org/officeDocument/2006/relationships/hyperlink" Target="https://twitter.com/Bondy82/status/806084876357103616" TargetMode="External"/><Relationship Id="rId4807" Type="http://schemas.openxmlformats.org/officeDocument/2006/relationships/hyperlink" Target="https://twitter.com/Bondy82" TargetMode="External"/><Relationship Id="rId4809" Type="http://schemas.openxmlformats.org/officeDocument/2006/relationships/hyperlink" Target="https://pbs.twimg.com/profile_images/2980109286/fa0f8b0efd44c7cd95ec1875eb9ac5b6_normal.jpeg" TargetMode="External"/><Relationship Id="rId80" Type="http://schemas.openxmlformats.org/officeDocument/2006/relationships/hyperlink" Target="https://twitter.com/Doris_Blog/status/802813587387510785" TargetMode="External"/><Relationship Id="rId82" Type="http://schemas.openxmlformats.org/officeDocument/2006/relationships/hyperlink" Target="https://twitter.com/ComposerShades" TargetMode="External"/><Relationship Id="rId81" Type="http://schemas.openxmlformats.org/officeDocument/2006/relationships/hyperlink" Target="https://pbs.twimg.com/profile_images/769621211911450624/O-JLlK5O_normal.jpg" TargetMode="External"/><Relationship Id="rId1770" Type="http://schemas.openxmlformats.org/officeDocument/2006/relationships/hyperlink" Target="https://twitter.com/pazgcmara/status/804031710727905281" TargetMode="External"/><Relationship Id="rId1771" Type="http://schemas.openxmlformats.org/officeDocument/2006/relationships/hyperlink" Target="https://pbs.twimg.com/profile_images/774629921771626496/5phwvhV0_normal.jpg" TargetMode="External"/><Relationship Id="rId1772" Type="http://schemas.openxmlformats.org/officeDocument/2006/relationships/hyperlink" Target="https://twitter.com/Mari_Ramos_" TargetMode="External"/><Relationship Id="rId1773" Type="http://schemas.openxmlformats.org/officeDocument/2006/relationships/hyperlink" Target="https://twitter.com/Mari_Ramos_/status/804032363995004929" TargetMode="External"/><Relationship Id="rId73" Type="http://schemas.openxmlformats.org/officeDocument/2006/relationships/hyperlink" Target="https://twitter.com/Shades_Of_Bad_" TargetMode="External"/><Relationship Id="rId1763" Type="http://schemas.openxmlformats.org/officeDocument/2006/relationships/hyperlink" Target="https://twitter.com/holyber" TargetMode="External"/><Relationship Id="rId72" Type="http://schemas.openxmlformats.org/officeDocument/2006/relationships/hyperlink" Target="https://pbs.twimg.com/profile_images/717599671888162816/wrI45qOG_normal.jpg" TargetMode="External"/><Relationship Id="rId1764" Type="http://schemas.openxmlformats.org/officeDocument/2006/relationships/hyperlink" Target="https://twitter.com/holyber/status/804028853924593665" TargetMode="External"/><Relationship Id="rId75" Type="http://schemas.openxmlformats.org/officeDocument/2006/relationships/hyperlink" Target="https://pbs.twimg.com/profile_images/605126470994903041/ANadzfFp_normal.jpg" TargetMode="External"/><Relationship Id="rId1765" Type="http://schemas.openxmlformats.org/officeDocument/2006/relationships/hyperlink" Target="https://pbs.twimg.com/profile_images/475644614448123904/FiCl2pX4_normal.jpeg" TargetMode="External"/><Relationship Id="rId74" Type="http://schemas.openxmlformats.org/officeDocument/2006/relationships/hyperlink" Target="https://twitter.com/Shades_Of_Bad_/status/802813573663756288" TargetMode="External"/><Relationship Id="rId1766" Type="http://schemas.openxmlformats.org/officeDocument/2006/relationships/hyperlink" Target="https://twitter.com/KayakBak" TargetMode="External"/><Relationship Id="rId77" Type="http://schemas.openxmlformats.org/officeDocument/2006/relationships/hyperlink" Target="https://twitter.com/DorisShades/status/802813581100077056" TargetMode="External"/><Relationship Id="rId1767" Type="http://schemas.openxmlformats.org/officeDocument/2006/relationships/hyperlink" Target="https://twitter.com/KayakBak/status/804030269716107270" TargetMode="External"/><Relationship Id="rId76" Type="http://schemas.openxmlformats.org/officeDocument/2006/relationships/hyperlink" Target="https://twitter.com/DorisShades" TargetMode="External"/><Relationship Id="rId1768" Type="http://schemas.openxmlformats.org/officeDocument/2006/relationships/hyperlink" Target="https://pbs.twimg.com/profile_images/694242395123236864/1Shv44NL_normal.jpg" TargetMode="External"/><Relationship Id="rId79" Type="http://schemas.openxmlformats.org/officeDocument/2006/relationships/hyperlink" Target="https://twitter.com/Doris_Blog" TargetMode="External"/><Relationship Id="rId1769" Type="http://schemas.openxmlformats.org/officeDocument/2006/relationships/hyperlink" Target="https://twitter.com/pazgcmara" TargetMode="External"/><Relationship Id="rId78" Type="http://schemas.openxmlformats.org/officeDocument/2006/relationships/hyperlink" Target="https://pbs.twimg.com/profile_images/777456052094791681/oTN7NDTr_normal.jpg" TargetMode="External"/><Relationship Id="rId71" Type="http://schemas.openxmlformats.org/officeDocument/2006/relationships/hyperlink" Target="https://twitter.com/changuaRs13/status/802811442390933505" TargetMode="External"/><Relationship Id="rId70" Type="http://schemas.openxmlformats.org/officeDocument/2006/relationships/hyperlink" Target="https://twitter.com/changuaRs13" TargetMode="External"/><Relationship Id="rId1760" Type="http://schemas.openxmlformats.org/officeDocument/2006/relationships/hyperlink" Target="https://twitter.com/PdPasito" TargetMode="External"/><Relationship Id="rId1761" Type="http://schemas.openxmlformats.org/officeDocument/2006/relationships/hyperlink" Target="https://twitter.com/PdPasito/status/804028011356028929" TargetMode="External"/><Relationship Id="rId1762" Type="http://schemas.openxmlformats.org/officeDocument/2006/relationships/hyperlink" Target="https://pbs.twimg.com/profile_images/758788015040888832/S06cQIeK_normal.jpg" TargetMode="External"/><Relationship Id="rId62" Type="http://schemas.openxmlformats.org/officeDocument/2006/relationships/hyperlink" Target="https://twitter.com/_TenDive/status/802804357146247168" TargetMode="External"/><Relationship Id="rId1796" Type="http://schemas.openxmlformats.org/officeDocument/2006/relationships/hyperlink" Target="https://twitter.com/elastword" TargetMode="External"/><Relationship Id="rId4822" Type="http://schemas.openxmlformats.org/officeDocument/2006/relationships/hyperlink" Target="https://twitter.com/tlgfocus" TargetMode="External"/><Relationship Id="rId61" Type="http://schemas.openxmlformats.org/officeDocument/2006/relationships/hyperlink" Target="https://twitter.com/_TenDive" TargetMode="External"/><Relationship Id="rId1797" Type="http://schemas.openxmlformats.org/officeDocument/2006/relationships/hyperlink" Target="https://twitter.com/elastword/status/804037826824146944" TargetMode="External"/><Relationship Id="rId4821" Type="http://schemas.openxmlformats.org/officeDocument/2006/relationships/hyperlink" Target="https://pbs.twimg.com/profile_images/801413785382744064/M1isZg_R_normal.jpg" TargetMode="External"/><Relationship Id="rId64" Type="http://schemas.openxmlformats.org/officeDocument/2006/relationships/hyperlink" Target="https://twitter.com/ffcomunicacion" TargetMode="External"/><Relationship Id="rId1798" Type="http://schemas.openxmlformats.org/officeDocument/2006/relationships/hyperlink" Target="https://pbs.twimg.com/profile_images/779785036996415489/a2nilB1d_normal.jpg" TargetMode="External"/><Relationship Id="rId4824" Type="http://schemas.openxmlformats.org/officeDocument/2006/relationships/hyperlink" Target="https://pbs.twimg.com/profile_images/598112763890823168/Lfk5ONzs_normal.jpg" TargetMode="External"/><Relationship Id="rId63" Type="http://schemas.openxmlformats.org/officeDocument/2006/relationships/hyperlink" Target="https://pbs.twimg.com/profile_images/694439157893107712/KkG57Zcq_normal.jpg" TargetMode="External"/><Relationship Id="rId1799" Type="http://schemas.openxmlformats.org/officeDocument/2006/relationships/hyperlink" Target="https://twitter.com/lisiteasa" TargetMode="External"/><Relationship Id="rId4823" Type="http://schemas.openxmlformats.org/officeDocument/2006/relationships/hyperlink" Target="https://twitter.com/tlgfocus/status/806088600433688576" TargetMode="External"/><Relationship Id="rId66" Type="http://schemas.openxmlformats.org/officeDocument/2006/relationships/hyperlink" Target="https://pbs.twimg.com/profile_images/1968981420/ff180x180_normal.jpg" TargetMode="External"/><Relationship Id="rId4826" Type="http://schemas.openxmlformats.org/officeDocument/2006/relationships/hyperlink" Target="https://twitter.com/ebook_travel/status/806092142288441348" TargetMode="External"/><Relationship Id="rId65" Type="http://schemas.openxmlformats.org/officeDocument/2006/relationships/hyperlink" Target="https://twitter.com/ffcomunicacion/status/802810149526261760" TargetMode="External"/><Relationship Id="rId4825" Type="http://schemas.openxmlformats.org/officeDocument/2006/relationships/hyperlink" Target="https://twitter.com/ebook_travel" TargetMode="External"/><Relationship Id="rId68" Type="http://schemas.openxmlformats.org/officeDocument/2006/relationships/hyperlink" Target="https://twitter.com/kaiktasgang/status/802811348786774016" TargetMode="External"/><Relationship Id="rId4828" Type="http://schemas.openxmlformats.org/officeDocument/2006/relationships/hyperlink" Target="https://twitter.com/KeyserSoSo" TargetMode="External"/><Relationship Id="rId67" Type="http://schemas.openxmlformats.org/officeDocument/2006/relationships/hyperlink" Target="https://twitter.com/kaiktasgang" TargetMode="External"/><Relationship Id="rId4827" Type="http://schemas.openxmlformats.org/officeDocument/2006/relationships/hyperlink" Target="https://pbs.twimg.com/profile_images/506732081079013377/VmrRkhPe_normal.jpeg" TargetMode="External"/><Relationship Id="rId4829" Type="http://schemas.openxmlformats.org/officeDocument/2006/relationships/hyperlink" Target="https://twitter.com/KeyserSoSo/status/806093382393151488" TargetMode="External"/><Relationship Id="rId60" Type="http://schemas.openxmlformats.org/officeDocument/2006/relationships/hyperlink" Target="https://pbs.twimg.com/profile_images/619829946844905472/lATJAoWb_normal.jpg" TargetMode="External"/><Relationship Id="rId69" Type="http://schemas.openxmlformats.org/officeDocument/2006/relationships/hyperlink" Target="https://pbs.twimg.com/profile_images/779399951772246016/9XO7kAhj_normal.jpg" TargetMode="External"/><Relationship Id="rId1790" Type="http://schemas.openxmlformats.org/officeDocument/2006/relationships/hyperlink" Target="https://twitter.com/elastword" TargetMode="External"/><Relationship Id="rId1791" Type="http://schemas.openxmlformats.org/officeDocument/2006/relationships/hyperlink" Target="https://twitter.com/elastword/status/804036744991494144" TargetMode="External"/><Relationship Id="rId1792" Type="http://schemas.openxmlformats.org/officeDocument/2006/relationships/hyperlink" Target="https://pbs.twimg.com/profile_images/779785036996415489/a2nilB1d_normal.jpg" TargetMode="External"/><Relationship Id="rId1793" Type="http://schemas.openxmlformats.org/officeDocument/2006/relationships/hyperlink" Target="https://twitter.com/elastword" TargetMode="External"/><Relationship Id="rId1794" Type="http://schemas.openxmlformats.org/officeDocument/2006/relationships/hyperlink" Target="https://twitter.com/elastword/status/804037238375886848" TargetMode="External"/><Relationship Id="rId4820" Type="http://schemas.openxmlformats.org/officeDocument/2006/relationships/hyperlink" Target="https://twitter.com/curraghtravel/status/806086084681547776" TargetMode="External"/><Relationship Id="rId1795" Type="http://schemas.openxmlformats.org/officeDocument/2006/relationships/hyperlink" Target="https://pbs.twimg.com/profile_images/779785036996415489/a2nilB1d_normal.jpg" TargetMode="External"/><Relationship Id="rId51" Type="http://schemas.openxmlformats.org/officeDocument/2006/relationships/hyperlink" Target="https://pbs.twimg.com/profile_images/804650290771357700/bbd3se1j_normal.jpg" TargetMode="External"/><Relationship Id="rId1785" Type="http://schemas.openxmlformats.org/officeDocument/2006/relationships/hyperlink" Target="https://twitter.com/elastword/status/804035488898117632" TargetMode="External"/><Relationship Id="rId4811" Type="http://schemas.openxmlformats.org/officeDocument/2006/relationships/hyperlink" Target="https://twitter.com/Bondy82/status/806085102534991872" TargetMode="External"/><Relationship Id="rId50" Type="http://schemas.openxmlformats.org/officeDocument/2006/relationships/hyperlink" Target="https://twitter.com/jbboats/status/802800491122085888" TargetMode="External"/><Relationship Id="rId1786" Type="http://schemas.openxmlformats.org/officeDocument/2006/relationships/hyperlink" Target="https://pbs.twimg.com/profile_images/779785036996415489/a2nilB1d_normal.jpg" TargetMode="External"/><Relationship Id="rId4810" Type="http://schemas.openxmlformats.org/officeDocument/2006/relationships/hyperlink" Target="https://twitter.com/Bondy82" TargetMode="External"/><Relationship Id="rId53" Type="http://schemas.openxmlformats.org/officeDocument/2006/relationships/hyperlink" Target="https://twitter.com/gdnr81/status/802800603852378112" TargetMode="External"/><Relationship Id="rId1787" Type="http://schemas.openxmlformats.org/officeDocument/2006/relationships/hyperlink" Target="https://twitter.com/elastword" TargetMode="External"/><Relationship Id="rId4813" Type="http://schemas.openxmlformats.org/officeDocument/2006/relationships/hyperlink" Target="https://twitter.com/DunasHoteles" TargetMode="External"/><Relationship Id="rId52" Type="http://schemas.openxmlformats.org/officeDocument/2006/relationships/hyperlink" Target="https://twitter.com/gdnr81" TargetMode="External"/><Relationship Id="rId1788" Type="http://schemas.openxmlformats.org/officeDocument/2006/relationships/hyperlink" Target="https://twitter.com/elastword/status/804036083323281408" TargetMode="External"/><Relationship Id="rId4812" Type="http://schemas.openxmlformats.org/officeDocument/2006/relationships/hyperlink" Target="https://pbs.twimg.com/profile_images/2980109286/fa0f8b0efd44c7cd95ec1875eb9ac5b6_normal.jpeg" TargetMode="External"/><Relationship Id="rId55" Type="http://schemas.openxmlformats.org/officeDocument/2006/relationships/hyperlink" Target="https://twitter.com/peopleproduccio" TargetMode="External"/><Relationship Id="rId1789" Type="http://schemas.openxmlformats.org/officeDocument/2006/relationships/hyperlink" Target="https://pbs.twimg.com/profile_images/779785036996415489/a2nilB1d_normal.jpg" TargetMode="External"/><Relationship Id="rId4815" Type="http://schemas.openxmlformats.org/officeDocument/2006/relationships/hyperlink" Target="https://pbs.twimg.com/profile_images/461470205227454465/4u4KGofw_normal.jpeg" TargetMode="External"/><Relationship Id="rId54" Type="http://schemas.openxmlformats.org/officeDocument/2006/relationships/hyperlink" Target="https://pbs.twimg.com/profile_images/601837630288965633/i7gsjX6q_normal.jpg" TargetMode="External"/><Relationship Id="rId4814" Type="http://schemas.openxmlformats.org/officeDocument/2006/relationships/hyperlink" Target="https://twitter.com/DunasHoteles/status/806085871137124352" TargetMode="External"/><Relationship Id="rId57" Type="http://schemas.openxmlformats.org/officeDocument/2006/relationships/hyperlink" Target="https://pbs.twimg.com/profile_images/659344902489292800/m3Mqq7yv_normal.jpg" TargetMode="External"/><Relationship Id="rId4817" Type="http://schemas.openxmlformats.org/officeDocument/2006/relationships/hyperlink" Target="https://twitter.com/curraghtravel/status/806086078532722688" TargetMode="External"/><Relationship Id="rId56" Type="http://schemas.openxmlformats.org/officeDocument/2006/relationships/hyperlink" Target="https://twitter.com/peopleproduccio/status/802803110490030080" TargetMode="External"/><Relationship Id="rId4816" Type="http://schemas.openxmlformats.org/officeDocument/2006/relationships/hyperlink" Target="https://twitter.com/curraghtravel" TargetMode="External"/><Relationship Id="rId4819" Type="http://schemas.openxmlformats.org/officeDocument/2006/relationships/hyperlink" Target="https://twitter.com/curraghtravel" TargetMode="External"/><Relationship Id="rId4818" Type="http://schemas.openxmlformats.org/officeDocument/2006/relationships/hyperlink" Target="https://pbs.twimg.com/profile_images/801413785382744064/M1isZg_R_normal.jpg" TargetMode="External"/><Relationship Id="rId59" Type="http://schemas.openxmlformats.org/officeDocument/2006/relationships/hyperlink" Target="https://twitter.com/MH_EmeHache/status/802804229979021312" TargetMode="External"/><Relationship Id="rId58" Type="http://schemas.openxmlformats.org/officeDocument/2006/relationships/hyperlink" Target="https://twitter.com/MH_EmeHache" TargetMode="External"/><Relationship Id="rId1780" Type="http://schemas.openxmlformats.org/officeDocument/2006/relationships/hyperlink" Target="https://pbs.twimg.com/profile_images/779785036996415489/a2nilB1d_normal.jpg" TargetMode="External"/><Relationship Id="rId1781" Type="http://schemas.openxmlformats.org/officeDocument/2006/relationships/hyperlink" Target="https://twitter.com/elastword" TargetMode="External"/><Relationship Id="rId1782" Type="http://schemas.openxmlformats.org/officeDocument/2006/relationships/hyperlink" Target="https://twitter.com/elastword/status/804035040036302848" TargetMode="External"/><Relationship Id="rId1783" Type="http://schemas.openxmlformats.org/officeDocument/2006/relationships/hyperlink" Target="https://pbs.twimg.com/profile_images/779785036996415489/a2nilB1d_normal.jpg" TargetMode="External"/><Relationship Id="rId1784" Type="http://schemas.openxmlformats.org/officeDocument/2006/relationships/hyperlink" Target="https://twitter.com/elastword" TargetMode="External"/><Relationship Id="rId2269" Type="http://schemas.openxmlformats.org/officeDocument/2006/relationships/hyperlink" Target="https://twitter.com/elastword/status/804342070915792896" TargetMode="External"/><Relationship Id="rId349" Type="http://schemas.openxmlformats.org/officeDocument/2006/relationships/hyperlink" Target="https://twitter.com/LesRandosdeCaco" TargetMode="External"/><Relationship Id="rId348" Type="http://schemas.openxmlformats.org/officeDocument/2006/relationships/hyperlink" Target="https://pbs.twimg.com/profile_images/670590595962953728/Wms2JA_L_normal.jpg" TargetMode="External"/><Relationship Id="rId347" Type="http://schemas.openxmlformats.org/officeDocument/2006/relationships/hyperlink" Target="https://twitter.com/EvaSait/status/802966013335760898" TargetMode="External"/><Relationship Id="rId346" Type="http://schemas.openxmlformats.org/officeDocument/2006/relationships/hyperlink" Target="https://twitter.com/EvaSait" TargetMode="External"/><Relationship Id="rId3591" Type="http://schemas.openxmlformats.org/officeDocument/2006/relationships/hyperlink" Target="https://pbs.twimg.com/profile_images/378800000213382003/4f562b59f92995b884d2d440f71fc5ce_normal.png" TargetMode="External"/><Relationship Id="rId2260" Type="http://schemas.openxmlformats.org/officeDocument/2006/relationships/hyperlink" Target="https://twitter.com/elastword/status/804339667571183618" TargetMode="External"/><Relationship Id="rId3590" Type="http://schemas.openxmlformats.org/officeDocument/2006/relationships/hyperlink" Target="https://twitter.com/swisshop4uEs/status/805203786142777345" TargetMode="External"/><Relationship Id="rId341" Type="http://schemas.openxmlformats.org/officeDocument/2006/relationships/hyperlink" Target="https://twitter.com/CJ_TenisClub/status/802959208308207616" TargetMode="External"/><Relationship Id="rId2261" Type="http://schemas.openxmlformats.org/officeDocument/2006/relationships/hyperlink" Target="https://pbs.twimg.com/profile_images/779785036996415489/a2nilB1d_normal.jpg" TargetMode="External"/><Relationship Id="rId3593" Type="http://schemas.openxmlformats.org/officeDocument/2006/relationships/hyperlink" Target="https://twitter.com/VikToreus/status/805207031133196288" TargetMode="External"/><Relationship Id="rId340" Type="http://schemas.openxmlformats.org/officeDocument/2006/relationships/hyperlink" Target="https://twitter.com/CJ_TenisClub" TargetMode="External"/><Relationship Id="rId2262" Type="http://schemas.openxmlformats.org/officeDocument/2006/relationships/hyperlink" Target="https://twitter.com/LanzaroteESD" TargetMode="External"/><Relationship Id="rId3592" Type="http://schemas.openxmlformats.org/officeDocument/2006/relationships/hyperlink" Target="https://twitter.com/VikToreus" TargetMode="External"/><Relationship Id="rId2263" Type="http://schemas.openxmlformats.org/officeDocument/2006/relationships/hyperlink" Target="https://twitter.com/LanzaroteESD/status/804339667684519936" TargetMode="External"/><Relationship Id="rId3595" Type="http://schemas.openxmlformats.org/officeDocument/2006/relationships/hyperlink" Target="https://twitter.com/aristiablack" TargetMode="External"/><Relationship Id="rId2264" Type="http://schemas.openxmlformats.org/officeDocument/2006/relationships/hyperlink" Target="https://pbs.twimg.com/profile_images/733704041620897792/G1KvPHAL_normal.jpg" TargetMode="External"/><Relationship Id="rId3594" Type="http://schemas.openxmlformats.org/officeDocument/2006/relationships/hyperlink" Target="https://pbs.twimg.com/profile_images/579814690181758976/qKyv4sZ8_normal.jpg" TargetMode="External"/><Relationship Id="rId345" Type="http://schemas.openxmlformats.org/officeDocument/2006/relationships/hyperlink" Target="https://pbs.twimg.com/profile_images/804253424007151617/4SgpI4u9_normal.jpg" TargetMode="External"/><Relationship Id="rId2265" Type="http://schemas.openxmlformats.org/officeDocument/2006/relationships/hyperlink" Target="https://twitter.com/RakheeV" TargetMode="External"/><Relationship Id="rId3597" Type="http://schemas.openxmlformats.org/officeDocument/2006/relationships/hyperlink" Target="https://pbs.twimg.com/profile_images/800402534762364928/dQd6p9i7_normal.jpg" TargetMode="External"/><Relationship Id="rId344" Type="http://schemas.openxmlformats.org/officeDocument/2006/relationships/hyperlink" Target="https://twitter.com/holidayhype/status/802965981488300032" TargetMode="External"/><Relationship Id="rId2266" Type="http://schemas.openxmlformats.org/officeDocument/2006/relationships/hyperlink" Target="https://twitter.com/RakheeV/status/804341496384102400" TargetMode="External"/><Relationship Id="rId3596" Type="http://schemas.openxmlformats.org/officeDocument/2006/relationships/hyperlink" Target="https://twitter.com/aristiablack/status/805210658794934272" TargetMode="External"/><Relationship Id="rId343" Type="http://schemas.openxmlformats.org/officeDocument/2006/relationships/hyperlink" Target="https://twitter.com/holidayhype" TargetMode="External"/><Relationship Id="rId2267" Type="http://schemas.openxmlformats.org/officeDocument/2006/relationships/hyperlink" Target="https://pbs.twimg.com/profile_images/742026136801161217/evJgSUlG_normal.jpg" TargetMode="External"/><Relationship Id="rId3599" Type="http://schemas.openxmlformats.org/officeDocument/2006/relationships/hyperlink" Target="https://twitter.com/gabrielturmo/status/805210992401645568" TargetMode="External"/><Relationship Id="rId342" Type="http://schemas.openxmlformats.org/officeDocument/2006/relationships/hyperlink" Target="https://pbs.twimg.com/profile_images/718837181683494913/iga7i5m8_normal.jpg" TargetMode="External"/><Relationship Id="rId2268" Type="http://schemas.openxmlformats.org/officeDocument/2006/relationships/hyperlink" Target="https://twitter.com/elastword" TargetMode="External"/><Relationship Id="rId3598" Type="http://schemas.openxmlformats.org/officeDocument/2006/relationships/hyperlink" Target="https://twitter.com/gabrielturmo" TargetMode="External"/><Relationship Id="rId2258" Type="http://schemas.openxmlformats.org/officeDocument/2006/relationships/hyperlink" Target="https://pbs.twimg.com/profile_images/779785036996415489/a2nilB1d_normal.jpg" TargetMode="External"/><Relationship Id="rId2259" Type="http://schemas.openxmlformats.org/officeDocument/2006/relationships/hyperlink" Target="https://twitter.com/elastword" TargetMode="External"/><Relationship Id="rId3589" Type="http://schemas.openxmlformats.org/officeDocument/2006/relationships/hyperlink" Target="https://twitter.com/swisshop4uEs" TargetMode="External"/><Relationship Id="rId338" Type="http://schemas.openxmlformats.org/officeDocument/2006/relationships/hyperlink" Target="https://twitter.com/LuxurySpainTrav/status/802957946615463936" TargetMode="External"/><Relationship Id="rId337" Type="http://schemas.openxmlformats.org/officeDocument/2006/relationships/hyperlink" Target="https://twitter.com/LuxurySpainTrav" TargetMode="External"/><Relationship Id="rId336" Type="http://schemas.openxmlformats.org/officeDocument/2006/relationships/hyperlink" Target="https://pbs.twimg.com/profile_images/715217860361121792/d_kZTx2u_normal.jpg" TargetMode="External"/><Relationship Id="rId335" Type="http://schemas.openxmlformats.org/officeDocument/2006/relationships/hyperlink" Target="https://twitter.com/VeraSychrova/status/802956608762507264" TargetMode="External"/><Relationship Id="rId3580" Type="http://schemas.openxmlformats.org/officeDocument/2006/relationships/hyperlink" Target="https://twitter.com/David_Guanche" TargetMode="External"/><Relationship Id="rId339" Type="http://schemas.openxmlformats.org/officeDocument/2006/relationships/hyperlink" Target="https://pbs.twimg.com/profile_images/659310953503334400/p4bMqDd0_normal.jpg" TargetMode="External"/><Relationship Id="rId330" Type="http://schemas.openxmlformats.org/officeDocument/2006/relationships/hyperlink" Target="https://pbs.twimg.com/profile_images/573176497390940160/iZGqs28N_normal.jpeg" TargetMode="External"/><Relationship Id="rId2250" Type="http://schemas.openxmlformats.org/officeDocument/2006/relationships/hyperlink" Target="https://twitter.com/elastword" TargetMode="External"/><Relationship Id="rId3582" Type="http://schemas.openxmlformats.org/officeDocument/2006/relationships/hyperlink" Target="https://pbs.twimg.com/profile_images/3689512164/a872c4b500747f640282e5e7e2622ea5_normal.jpeg" TargetMode="External"/><Relationship Id="rId2251" Type="http://schemas.openxmlformats.org/officeDocument/2006/relationships/hyperlink" Target="https://twitter.com/elastword/status/804337715793764352" TargetMode="External"/><Relationship Id="rId3581" Type="http://schemas.openxmlformats.org/officeDocument/2006/relationships/hyperlink" Target="https://twitter.com/David_Guanche/status/805201388745662464" TargetMode="External"/><Relationship Id="rId2252" Type="http://schemas.openxmlformats.org/officeDocument/2006/relationships/hyperlink" Target="https://pbs.twimg.com/profile_images/779785036996415489/a2nilB1d_normal.jpg" TargetMode="External"/><Relationship Id="rId3584" Type="http://schemas.openxmlformats.org/officeDocument/2006/relationships/hyperlink" Target="https://twitter.com/moonstruck_days/status/805202732743147520" TargetMode="External"/><Relationship Id="rId2253" Type="http://schemas.openxmlformats.org/officeDocument/2006/relationships/hyperlink" Target="https://twitter.com/elastword" TargetMode="External"/><Relationship Id="rId3583" Type="http://schemas.openxmlformats.org/officeDocument/2006/relationships/hyperlink" Target="https://twitter.com/moonstruck_days" TargetMode="External"/><Relationship Id="rId334" Type="http://schemas.openxmlformats.org/officeDocument/2006/relationships/hyperlink" Target="https://twitter.com/VeraSychrova" TargetMode="External"/><Relationship Id="rId2254" Type="http://schemas.openxmlformats.org/officeDocument/2006/relationships/hyperlink" Target="https://twitter.com/elastword/status/804338168619270144" TargetMode="External"/><Relationship Id="rId3586" Type="http://schemas.openxmlformats.org/officeDocument/2006/relationships/hyperlink" Target="https://twitter.com/DrKavarga" TargetMode="External"/><Relationship Id="rId333" Type="http://schemas.openxmlformats.org/officeDocument/2006/relationships/hyperlink" Target="https://pbs.twimg.com/profile_images/570644453866483712/dvbC2x8W_normal.jpeg" TargetMode="External"/><Relationship Id="rId2255" Type="http://schemas.openxmlformats.org/officeDocument/2006/relationships/hyperlink" Target="https://pbs.twimg.com/profile_images/779785036996415489/a2nilB1d_normal.jpg" TargetMode="External"/><Relationship Id="rId3585" Type="http://schemas.openxmlformats.org/officeDocument/2006/relationships/hyperlink" Target="https://pbs.twimg.com/profile_images/768097304465158145/UWo1MJ1M_normal.jpg" TargetMode="External"/><Relationship Id="rId332" Type="http://schemas.openxmlformats.org/officeDocument/2006/relationships/hyperlink" Target="https://twitter.com/islaspromo/status/802954245158768640" TargetMode="External"/><Relationship Id="rId2256" Type="http://schemas.openxmlformats.org/officeDocument/2006/relationships/hyperlink" Target="https://twitter.com/elastword" TargetMode="External"/><Relationship Id="rId3588" Type="http://schemas.openxmlformats.org/officeDocument/2006/relationships/hyperlink" Target="https://pbs.twimg.com/profile_images/792973567352721408/E2QVfQRl_normal.jpg" TargetMode="External"/><Relationship Id="rId331" Type="http://schemas.openxmlformats.org/officeDocument/2006/relationships/hyperlink" Target="https://twitter.com/islaspromo" TargetMode="External"/><Relationship Id="rId2257" Type="http://schemas.openxmlformats.org/officeDocument/2006/relationships/hyperlink" Target="https://twitter.com/elastword/status/804338571406667776" TargetMode="External"/><Relationship Id="rId3587" Type="http://schemas.openxmlformats.org/officeDocument/2006/relationships/hyperlink" Target="https://twitter.com/DrKavarga/status/805202907888947200" TargetMode="External"/><Relationship Id="rId370" Type="http://schemas.openxmlformats.org/officeDocument/2006/relationships/hyperlink" Target="https://twitter.com/CostaAdejeHotel" TargetMode="External"/><Relationship Id="rId369" Type="http://schemas.openxmlformats.org/officeDocument/2006/relationships/hyperlink" Target="https://pbs.twimg.com/profile_images/557630528963502081/OCAAyTzI_normal.jpeg" TargetMode="External"/><Relationship Id="rId368" Type="http://schemas.openxmlformats.org/officeDocument/2006/relationships/hyperlink" Target="https://twitter.com/alesielmio2/status/802987969002934272" TargetMode="External"/><Relationship Id="rId2280" Type="http://schemas.openxmlformats.org/officeDocument/2006/relationships/hyperlink" Target="https://twitter.com/TwiTenerifeGolf" TargetMode="External"/><Relationship Id="rId2281" Type="http://schemas.openxmlformats.org/officeDocument/2006/relationships/hyperlink" Target="https://twitter.com/TwiTenerifeGolf/status/804361348712951809" TargetMode="External"/><Relationship Id="rId2282" Type="http://schemas.openxmlformats.org/officeDocument/2006/relationships/hyperlink" Target="https://pbs.twimg.com/profile_images/723156330673000448/xa2FT8Re_normal.jpg" TargetMode="External"/><Relationship Id="rId363" Type="http://schemas.openxmlformats.org/officeDocument/2006/relationships/hyperlink" Target="https://pbs.twimg.com/profile_images/740274644851281920/lU2QY09I_normal.jpg" TargetMode="External"/><Relationship Id="rId2283" Type="http://schemas.openxmlformats.org/officeDocument/2006/relationships/hyperlink" Target="https://twitter.com/locarpedom" TargetMode="External"/><Relationship Id="rId362" Type="http://schemas.openxmlformats.org/officeDocument/2006/relationships/hyperlink" Target="https://twitter.com/Tosky07_PS/status/802983851844739073" TargetMode="External"/><Relationship Id="rId2284" Type="http://schemas.openxmlformats.org/officeDocument/2006/relationships/hyperlink" Target="https://twitter.com/locarpedom/status/804361812556791808" TargetMode="External"/><Relationship Id="rId361" Type="http://schemas.openxmlformats.org/officeDocument/2006/relationships/hyperlink" Target="https://twitter.com/Tosky07_PS" TargetMode="External"/><Relationship Id="rId2285" Type="http://schemas.openxmlformats.org/officeDocument/2006/relationships/hyperlink" Target="https://pbs.twimg.com/profile_images/754371454330933248/Blg3GjUT_normal.jpg" TargetMode="External"/><Relationship Id="rId360" Type="http://schemas.openxmlformats.org/officeDocument/2006/relationships/hyperlink" Target="https://pbs.twimg.com/profile_images/639142993065287680/-EVuuybA_normal.jpg" TargetMode="External"/><Relationship Id="rId2286" Type="http://schemas.openxmlformats.org/officeDocument/2006/relationships/hyperlink" Target="https://twitter.com/RakheeV" TargetMode="External"/><Relationship Id="rId367" Type="http://schemas.openxmlformats.org/officeDocument/2006/relationships/hyperlink" Target="https://twitter.com/alesielmio2" TargetMode="External"/><Relationship Id="rId2287" Type="http://schemas.openxmlformats.org/officeDocument/2006/relationships/hyperlink" Target="https://twitter.com/RakheeV/status/804362744325517312" TargetMode="External"/><Relationship Id="rId366" Type="http://schemas.openxmlformats.org/officeDocument/2006/relationships/hyperlink" Target="https://pbs.twimg.com/profile_images/767813041043931137/hXrdJnyo_normal.jpg" TargetMode="External"/><Relationship Id="rId2288" Type="http://schemas.openxmlformats.org/officeDocument/2006/relationships/hyperlink" Target="https://pbs.twimg.com/profile_images/742026136801161217/evJgSUlG_normal.jpg" TargetMode="External"/><Relationship Id="rId365" Type="http://schemas.openxmlformats.org/officeDocument/2006/relationships/hyperlink" Target="https://twitter.com/maytequimera/status/802984826223480832" TargetMode="External"/><Relationship Id="rId2289" Type="http://schemas.openxmlformats.org/officeDocument/2006/relationships/hyperlink" Target="https://twitter.com/CJ_TenisClub" TargetMode="External"/><Relationship Id="rId364" Type="http://schemas.openxmlformats.org/officeDocument/2006/relationships/hyperlink" Target="https://twitter.com/maytequimera" TargetMode="External"/><Relationship Id="rId95" Type="http://schemas.openxmlformats.org/officeDocument/2006/relationships/hyperlink" Target="https://twitter.com/LpaVisit/status/802823210488266752" TargetMode="External"/><Relationship Id="rId94" Type="http://schemas.openxmlformats.org/officeDocument/2006/relationships/hyperlink" Target="https://twitter.com/LpaVisit" TargetMode="External"/><Relationship Id="rId97" Type="http://schemas.openxmlformats.org/officeDocument/2006/relationships/hyperlink" Target="https://twitter.com/ShopAfortunadas" TargetMode="External"/><Relationship Id="rId96" Type="http://schemas.openxmlformats.org/officeDocument/2006/relationships/hyperlink" Target="https://pbs.twimg.com/profile_images/656385242819907584/6_e-4aUc_normal.jpg" TargetMode="External"/><Relationship Id="rId99" Type="http://schemas.openxmlformats.org/officeDocument/2006/relationships/hyperlink" Target="https://pbs.twimg.com/profile_images/679251177305972736/xtBJP7kS_normal.jpg" TargetMode="External"/><Relationship Id="rId98" Type="http://schemas.openxmlformats.org/officeDocument/2006/relationships/hyperlink" Target="https://twitter.com/ShopAfortunadas/status/802824609670328321" TargetMode="External"/><Relationship Id="rId91" Type="http://schemas.openxmlformats.org/officeDocument/2006/relationships/hyperlink" Target="https://twitter.com/HARROW_h" TargetMode="External"/><Relationship Id="rId90" Type="http://schemas.openxmlformats.org/officeDocument/2006/relationships/hyperlink" Target="https://pbs.twimg.com/profile_images/721987658449305600/1WmSYuM-_normal.jpg" TargetMode="External"/><Relationship Id="rId93" Type="http://schemas.openxmlformats.org/officeDocument/2006/relationships/hyperlink" Target="https://pbs.twimg.com/profile_images/806121280281919488/VpxMiCXt_normal.jpg" TargetMode="External"/><Relationship Id="rId92" Type="http://schemas.openxmlformats.org/officeDocument/2006/relationships/hyperlink" Target="https://twitter.com/HARROW_h/status/802819386197221376" TargetMode="External"/><Relationship Id="rId359" Type="http://schemas.openxmlformats.org/officeDocument/2006/relationships/hyperlink" Target="https://twitter.com/NikoJardiner/status/802982847074054144" TargetMode="External"/><Relationship Id="rId358" Type="http://schemas.openxmlformats.org/officeDocument/2006/relationships/hyperlink" Target="https://twitter.com/NikoJardiner" TargetMode="External"/><Relationship Id="rId357" Type="http://schemas.openxmlformats.org/officeDocument/2006/relationships/hyperlink" Target="https://pbs.twimg.com/profile_images/563035503684231168/RLWuY9HK_normal.jpeg" TargetMode="External"/><Relationship Id="rId2270" Type="http://schemas.openxmlformats.org/officeDocument/2006/relationships/hyperlink" Target="https://pbs.twimg.com/profile_images/779785036996415489/a2nilB1d_normal.jpg" TargetMode="External"/><Relationship Id="rId2271" Type="http://schemas.openxmlformats.org/officeDocument/2006/relationships/hyperlink" Target="https://twitter.com/sellmytshare" TargetMode="External"/><Relationship Id="rId352" Type="http://schemas.openxmlformats.org/officeDocument/2006/relationships/hyperlink" Target="https://twitter.com/travelsupport7" TargetMode="External"/><Relationship Id="rId2272" Type="http://schemas.openxmlformats.org/officeDocument/2006/relationships/hyperlink" Target="https://twitter.com/sellmytshare/status/804346532405317633" TargetMode="External"/><Relationship Id="rId351" Type="http://schemas.openxmlformats.org/officeDocument/2006/relationships/hyperlink" Target="https://pbs.twimg.com/profile_images/802073872866705408/wMHnHYch_normal.jpg" TargetMode="External"/><Relationship Id="rId2273" Type="http://schemas.openxmlformats.org/officeDocument/2006/relationships/hyperlink" Target="https://pbs.twimg.com/profile_images/661939380370726912/YsXXMKwm_normal.png" TargetMode="External"/><Relationship Id="rId350" Type="http://schemas.openxmlformats.org/officeDocument/2006/relationships/hyperlink" Target="https://twitter.com/LesRandosdeCaco/status/802974070107029504" TargetMode="External"/><Relationship Id="rId2274" Type="http://schemas.openxmlformats.org/officeDocument/2006/relationships/hyperlink" Target="https://twitter.com/MeteoRTVC" TargetMode="External"/><Relationship Id="rId2275" Type="http://schemas.openxmlformats.org/officeDocument/2006/relationships/hyperlink" Target="https://twitter.com/MeteoRTVC/status/804358026136326144" TargetMode="External"/><Relationship Id="rId356" Type="http://schemas.openxmlformats.org/officeDocument/2006/relationships/hyperlink" Target="https://twitter.com/yosi222010/status/802981820447002624" TargetMode="External"/><Relationship Id="rId2276" Type="http://schemas.openxmlformats.org/officeDocument/2006/relationships/hyperlink" Target="https://pbs.twimg.com/profile_images/524975915512500224/4nGPvR5X_normal.jpeg" TargetMode="External"/><Relationship Id="rId355" Type="http://schemas.openxmlformats.org/officeDocument/2006/relationships/hyperlink" Target="https://twitter.com/yosi222010" TargetMode="External"/><Relationship Id="rId2277" Type="http://schemas.openxmlformats.org/officeDocument/2006/relationships/hyperlink" Target="https://twitter.com/TenerifeSup" TargetMode="External"/><Relationship Id="rId354" Type="http://schemas.openxmlformats.org/officeDocument/2006/relationships/hyperlink" Target="https://pbs.twimg.com/profile_images/739756655391481857/1iOj5jcg_normal.jpg" TargetMode="External"/><Relationship Id="rId2278" Type="http://schemas.openxmlformats.org/officeDocument/2006/relationships/hyperlink" Target="https://twitter.com/TenerifeSup/status/804361286691803136" TargetMode="External"/><Relationship Id="rId353" Type="http://schemas.openxmlformats.org/officeDocument/2006/relationships/hyperlink" Target="https://twitter.com/travelsupport7/status/802979849220538369" TargetMode="External"/><Relationship Id="rId2279" Type="http://schemas.openxmlformats.org/officeDocument/2006/relationships/hyperlink" Target="https://pbs.twimg.com/profile_images/792801110587236353/_ZALQiBa_normal.jpg" TargetMode="External"/><Relationship Id="rId2225" Type="http://schemas.openxmlformats.org/officeDocument/2006/relationships/hyperlink" Target="https://twitter.com/MegGiod" TargetMode="External"/><Relationship Id="rId3557" Type="http://schemas.openxmlformats.org/officeDocument/2006/relationships/hyperlink" Target="https://twitter.com/visi_maria/status/805193255142957056" TargetMode="External"/><Relationship Id="rId4888" Type="http://schemas.openxmlformats.org/officeDocument/2006/relationships/hyperlink" Target="https://twitter.com/tbw_network" TargetMode="External"/><Relationship Id="rId2226" Type="http://schemas.openxmlformats.org/officeDocument/2006/relationships/hyperlink" Target="https://twitter.com/MegGiod/status/804326570957688832" TargetMode="External"/><Relationship Id="rId3556" Type="http://schemas.openxmlformats.org/officeDocument/2006/relationships/hyperlink" Target="https://twitter.com/visi_maria" TargetMode="External"/><Relationship Id="rId4887" Type="http://schemas.openxmlformats.org/officeDocument/2006/relationships/hyperlink" Target="https://pbs.twimg.com/profile_images/378800000083690923/dbe503482dbc6fb903ff43df84e8109c_normal.png" TargetMode="External"/><Relationship Id="rId2227" Type="http://schemas.openxmlformats.org/officeDocument/2006/relationships/hyperlink" Target="https://pbs.twimg.com/profile_images/573922103767994368/CBXjlh4a_normal.jpeg" TargetMode="External"/><Relationship Id="rId3559" Type="http://schemas.openxmlformats.org/officeDocument/2006/relationships/hyperlink" Target="https://twitter.com/jackiemccaffrey" TargetMode="External"/><Relationship Id="rId2228" Type="http://schemas.openxmlformats.org/officeDocument/2006/relationships/hyperlink" Target="https://twitter.com/CanaryIslandsEN" TargetMode="External"/><Relationship Id="rId3558" Type="http://schemas.openxmlformats.org/officeDocument/2006/relationships/hyperlink" Target="https://pbs.twimg.com/profile_images/690284858552250368/8M1qZWOt_normal.jpg" TargetMode="External"/><Relationship Id="rId4889" Type="http://schemas.openxmlformats.org/officeDocument/2006/relationships/hyperlink" Target="https://twitter.com/tbw_network/status/806148457773854720" TargetMode="External"/><Relationship Id="rId2229" Type="http://schemas.openxmlformats.org/officeDocument/2006/relationships/hyperlink" Target="https://twitter.com/CanaryIslandsEN/status/804326701782171648" TargetMode="External"/><Relationship Id="rId305" Type="http://schemas.openxmlformats.org/officeDocument/2006/relationships/hyperlink" Target="https://twitter.com/presasgc/status/802941458265374722" TargetMode="External"/><Relationship Id="rId304" Type="http://schemas.openxmlformats.org/officeDocument/2006/relationships/hyperlink" Target="https://twitter.com/presasgc" TargetMode="External"/><Relationship Id="rId303" Type="http://schemas.openxmlformats.org/officeDocument/2006/relationships/hyperlink" Target="https://pbs.twimg.com/profile_images/660990494768504833/nZJ5VzRf_normal.jpg" TargetMode="External"/><Relationship Id="rId302" Type="http://schemas.openxmlformats.org/officeDocument/2006/relationships/hyperlink" Target="https://twitter.com/guanac2/status/802939360593252356" TargetMode="External"/><Relationship Id="rId309" Type="http://schemas.openxmlformats.org/officeDocument/2006/relationships/hyperlink" Target="https://pbs.twimg.com/profile_images/622340886916124672/0n21NsD9_normal.jpg" TargetMode="External"/><Relationship Id="rId308" Type="http://schemas.openxmlformats.org/officeDocument/2006/relationships/hyperlink" Target="https://twitter.com/enri_cardi/status/802942113658900480" TargetMode="External"/><Relationship Id="rId307" Type="http://schemas.openxmlformats.org/officeDocument/2006/relationships/hyperlink" Target="https://twitter.com/enri_cardi" TargetMode="External"/><Relationship Id="rId306" Type="http://schemas.openxmlformats.org/officeDocument/2006/relationships/hyperlink" Target="https://pbs.twimg.com/profile_images/614822380859473920/pkG6W2ir_normal.jpg" TargetMode="External"/><Relationship Id="rId4880" Type="http://schemas.openxmlformats.org/officeDocument/2006/relationships/hyperlink" Target="https://twitter.com/holyber/status/806141732719132676" TargetMode="External"/><Relationship Id="rId3551" Type="http://schemas.openxmlformats.org/officeDocument/2006/relationships/hyperlink" Target="https://twitter.com/EmocionesCan/status/805192658587160576" TargetMode="External"/><Relationship Id="rId4882" Type="http://schemas.openxmlformats.org/officeDocument/2006/relationships/hyperlink" Target="https://twitter.com/TheCanaryNews" TargetMode="External"/><Relationship Id="rId2220" Type="http://schemas.openxmlformats.org/officeDocument/2006/relationships/hyperlink" Target="https://twitter.com/swisshop4uEs/status/804325681186410496" TargetMode="External"/><Relationship Id="rId3550" Type="http://schemas.openxmlformats.org/officeDocument/2006/relationships/hyperlink" Target="https://twitter.com/EmocionesCan" TargetMode="External"/><Relationship Id="rId4881" Type="http://schemas.openxmlformats.org/officeDocument/2006/relationships/hyperlink" Target="https://pbs.twimg.com/profile_images/475644614448123904/FiCl2pX4_normal.jpeg" TargetMode="External"/><Relationship Id="rId301" Type="http://schemas.openxmlformats.org/officeDocument/2006/relationships/hyperlink" Target="https://twitter.com/guanac2" TargetMode="External"/><Relationship Id="rId2221" Type="http://schemas.openxmlformats.org/officeDocument/2006/relationships/hyperlink" Target="https://pbs.twimg.com/profile_images/378800000213382003/4f562b59f92995b884d2d440f71fc5ce_normal.png" TargetMode="External"/><Relationship Id="rId3553" Type="http://schemas.openxmlformats.org/officeDocument/2006/relationships/hyperlink" Target="https://twitter.com/EmocionesCan" TargetMode="External"/><Relationship Id="rId4884" Type="http://schemas.openxmlformats.org/officeDocument/2006/relationships/hyperlink" Target="https://pbs.twimg.com/profile_images/422427750876463104/qmjyKloM_normal.png" TargetMode="External"/><Relationship Id="rId300" Type="http://schemas.openxmlformats.org/officeDocument/2006/relationships/hyperlink" Target="https://pbs.twimg.com/profile_images/549237218955362304/X_z4yrVs_normal.png" TargetMode="External"/><Relationship Id="rId2222" Type="http://schemas.openxmlformats.org/officeDocument/2006/relationships/hyperlink" Target="https://twitter.com/Endorgar" TargetMode="External"/><Relationship Id="rId3552" Type="http://schemas.openxmlformats.org/officeDocument/2006/relationships/hyperlink" Target="https://pbs.twimg.com/profile_images/1508754713/Logos_Perfiles_EECC_-_Sin_borde_y_sin_texto_normal.jpg" TargetMode="External"/><Relationship Id="rId4883" Type="http://schemas.openxmlformats.org/officeDocument/2006/relationships/hyperlink" Target="https://twitter.com/TheCanaryNews/status/806141867716964352" TargetMode="External"/><Relationship Id="rId2223" Type="http://schemas.openxmlformats.org/officeDocument/2006/relationships/hyperlink" Target="https://twitter.com/Endorgar/status/804325879534993409" TargetMode="External"/><Relationship Id="rId3555" Type="http://schemas.openxmlformats.org/officeDocument/2006/relationships/hyperlink" Target="https://pbs.twimg.com/profile_images/1508754713/Logos_Perfiles_EECC_-_Sin_borde_y_sin_texto_normal.jpg" TargetMode="External"/><Relationship Id="rId4886" Type="http://schemas.openxmlformats.org/officeDocument/2006/relationships/hyperlink" Target="https://twitter.com/WDGStudio/status/806142197301202946" TargetMode="External"/><Relationship Id="rId2224" Type="http://schemas.openxmlformats.org/officeDocument/2006/relationships/hyperlink" Target="https://pbs.twimg.com/profile_images/1207473018/IMG_1954_normal.jpg" TargetMode="External"/><Relationship Id="rId3554" Type="http://schemas.openxmlformats.org/officeDocument/2006/relationships/hyperlink" Target="https://twitter.com/EmocionesCan/status/805193094014574592" TargetMode="External"/><Relationship Id="rId4885" Type="http://schemas.openxmlformats.org/officeDocument/2006/relationships/hyperlink" Target="https://twitter.com/WDGStudio" TargetMode="External"/><Relationship Id="rId2214" Type="http://schemas.openxmlformats.org/officeDocument/2006/relationships/hyperlink" Target="https://twitter.com/CorralejoLive/status/804316138964447232" TargetMode="External"/><Relationship Id="rId3546" Type="http://schemas.openxmlformats.org/officeDocument/2006/relationships/hyperlink" Target="https://pbs.twimg.com/profile_images/697852082813038592/jy3NFF-1_normal.png" TargetMode="External"/><Relationship Id="rId4877" Type="http://schemas.openxmlformats.org/officeDocument/2006/relationships/hyperlink" Target="https://twitter.com/enduriaholidays/status/806139906678554626" TargetMode="External"/><Relationship Id="rId2215" Type="http://schemas.openxmlformats.org/officeDocument/2006/relationships/hyperlink" Target="https://pbs.twimg.com/profile_images/514897634113228800/Pne1BN2P_normal.jpeg" TargetMode="External"/><Relationship Id="rId3545" Type="http://schemas.openxmlformats.org/officeDocument/2006/relationships/hyperlink" Target="https://twitter.com/turomaquia/status/805190223986561025" TargetMode="External"/><Relationship Id="rId4876" Type="http://schemas.openxmlformats.org/officeDocument/2006/relationships/hyperlink" Target="https://twitter.com/enduriaholidays" TargetMode="External"/><Relationship Id="rId2216" Type="http://schemas.openxmlformats.org/officeDocument/2006/relationships/hyperlink" Target="https://twitter.com/JulioAl18175505" TargetMode="External"/><Relationship Id="rId3548" Type="http://schemas.openxmlformats.org/officeDocument/2006/relationships/hyperlink" Target="https://twitter.com/Madrid_Brand/status/805190985244409856" TargetMode="External"/><Relationship Id="rId4879" Type="http://schemas.openxmlformats.org/officeDocument/2006/relationships/hyperlink" Target="https://twitter.com/holyber" TargetMode="External"/><Relationship Id="rId2217" Type="http://schemas.openxmlformats.org/officeDocument/2006/relationships/hyperlink" Target="https://twitter.com/JulioAl18175505/status/804325420057366529" TargetMode="External"/><Relationship Id="rId3547" Type="http://schemas.openxmlformats.org/officeDocument/2006/relationships/hyperlink" Target="https://twitter.com/Madrid_Brand" TargetMode="External"/><Relationship Id="rId4878" Type="http://schemas.openxmlformats.org/officeDocument/2006/relationships/hyperlink" Target="https://pbs.twimg.com/profile_images/726026649356128258/xCSaP1IW_normal.jpg" TargetMode="External"/><Relationship Id="rId2218" Type="http://schemas.openxmlformats.org/officeDocument/2006/relationships/hyperlink" Target="https://pbs.twimg.com/profile_images/706839494851436544/7igsf91D_normal.jpg" TargetMode="External"/><Relationship Id="rId2219" Type="http://schemas.openxmlformats.org/officeDocument/2006/relationships/hyperlink" Target="https://twitter.com/swisshop4uEs" TargetMode="External"/><Relationship Id="rId3549" Type="http://schemas.openxmlformats.org/officeDocument/2006/relationships/hyperlink" Target="https://pbs.twimg.com/profile_images/750627278560854016/KN2Nadpe_normal.jpg" TargetMode="External"/><Relationship Id="rId3540" Type="http://schemas.openxmlformats.org/officeDocument/2006/relationships/hyperlink" Target="https://pbs.twimg.com/profile_images/472038388451663872/tbzNBFim_normal.jpeg" TargetMode="External"/><Relationship Id="rId4871" Type="http://schemas.openxmlformats.org/officeDocument/2006/relationships/hyperlink" Target="https://twitter.com/ebook_travel/status/806131204873404416" TargetMode="External"/><Relationship Id="rId4870" Type="http://schemas.openxmlformats.org/officeDocument/2006/relationships/hyperlink" Target="https://twitter.com/ebook_travel" TargetMode="External"/><Relationship Id="rId2210" Type="http://schemas.openxmlformats.org/officeDocument/2006/relationships/hyperlink" Target="https://twitter.com/CorralejoLive" TargetMode="External"/><Relationship Id="rId3542" Type="http://schemas.openxmlformats.org/officeDocument/2006/relationships/hyperlink" Target="https://twitter.com/angelitooo111/status/805189335750475776" TargetMode="External"/><Relationship Id="rId4873" Type="http://schemas.openxmlformats.org/officeDocument/2006/relationships/hyperlink" Target="https://twitter.com/CanaryIslandsEN" TargetMode="External"/><Relationship Id="rId2211" Type="http://schemas.openxmlformats.org/officeDocument/2006/relationships/hyperlink" Target="https://twitter.com/CorralejoLive/status/804316082207125504" TargetMode="External"/><Relationship Id="rId3541" Type="http://schemas.openxmlformats.org/officeDocument/2006/relationships/hyperlink" Target="https://twitter.com/angelitooo111" TargetMode="External"/><Relationship Id="rId4872" Type="http://schemas.openxmlformats.org/officeDocument/2006/relationships/hyperlink" Target="https://pbs.twimg.com/profile_images/506732081079013377/VmrRkhPe_normal.jpeg" TargetMode="External"/><Relationship Id="rId2212" Type="http://schemas.openxmlformats.org/officeDocument/2006/relationships/hyperlink" Target="https://pbs.twimg.com/profile_images/514897634113228800/Pne1BN2P_normal.jpeg" TargetMode="External"/><Relationship Id="rId3544" Type="http://schemas.openxmlformats.org/officeDocument/2006/relationships/hyperlink" Target="https://twitter.com/turomaquia" TargetMode="External"/><Relationship Id="rId4875" Type="http://schemas.openxmlformats.org/officeDocument/2006/relationships/hyperlink" Target="https://pbs.twimg.com/profile_images/754960714704584704/14dQxsF8_normal.jpg" TargetMode="External"/><Relationship Id="rId2213" Type="http://schemas.openxmlformats.org/officeDocument/2006/relationships/hyperlink" Target="https://twitter.com/CorralejoLive" TargetMode="External"/><Relationship Id="rId3543" Type="http://schemas.openxmlformats.org/officeDocument/2006/relationships/hyperlink" Target="https://pbs.twimg.com/profile_images/725102607052734465/zElsYOzY_normal.jpg" TargetMode="External"/><Relationship Id="rId4874" Type="http://schemas.openxmlformats.org/officeDocument/2006/relationships/hyperlink" Target="https://twitter.com/CanaryIslandsEN/status/806138637884723200" TargetMode="External"/><Relationship Id="rId2247" Type="http://schemas.openxmlformats.org/officeDocument/2006/relationships/hyperlink" Target="https://twitter.com/elastword" TargetMode="External"/><Relationship Id="rId3579" Type="http://schemas.openxmlformats.org/officeDocument/2006/relationships/hyperlink" Target="https://pbs.twimg.com/profile_images/1772171084/red_panda81_normal.jpg" TargetMode="External"/><Relationship Id="rId2248" Type="http://schemas.openxmlformats.org/officeDocument/2006/relationships/hyperlink" Target="https://twitter.com/elastword/status/804337207880404992" TargetMode="External"/><Relationship Id="rId3578" Type="http://schemas.openxmlformats.org/officeDocument/2006/relationships/hyperlink" Target="https://twitter.com/NemedvedLi/status/805199609194758145" TargetMode="External"/><Relationship Id="rId2249" Type="http://schemas.openxmlformats.org/officeDocument/2006/relationships/hyperlink" Target="https://pbs.twimg.com/profile_images/779785036996415489/a2nilB1d_normal.jpg" TargetMode="External"/><Relationship Id="rId327" Type="http://schemas.openxmlformats.org/officeDocument/2006/relationships/hyperlink" Target="https://pbs.twimg.com/profile_images/782870651996692480/6jjashki_normal.jpg" TargetMode="External"/><Relationship Id="rId326" Type="http://schemas.openxmlformats.org/officeDocument/2006/relationships/hyperlink" Target="https://twitter.com/javier_e_br/status/802952180957265924" TargetMode="External"/><Relationship Id="rId325" Type="http://schemas.openxmlformats.org/officeDocument/2006/relationships/hyperlink" Target="https://twitter.com/javier_e_br" TargetMode="External"/><Relationship Id="rId324" Type="http://schemas.openxmlformats.org/officeDocument/2006/relationships/hyperlink" Target="https://pbs.twimg.com/profile_images/782870651996692480/6jjashki_normal.jpg" TargetMode="External"/><Relationship Id="rId329" Type="http://schemas.openxmlformats.org/officeDocument/2006/relationships/hyperlink" Target="https://twitter.com/7defabb21818418/status/802952515083993088" TargetMode="External"/><Relationship Id="rId328" Type="http://schemas.openxmlformats.org/officeDocument/2006/relationships/hyperlink" Target="https://twitter.com/7defabb21818418" TargetMode="External"/><Relationship Id="rId3571" Type="http://schemas.openxmlformats.org/officeDocument/2006/relationships/hyperlink" Target="https://twitter.com/aglaetalia" TargetMode="External"/><Relationship Id="rId2240" Type="http://schemas.openxmlformats.org/officeDocument/2006/relationships/hyperlink" Target="https://twitter.com/meteoGCcom" TargetMode="External"/><Relationship Id="rId3570" Type="http://schemas.openxmlformats.org/officeDocument/2006/relationships/hyperlink" Target="https://pbs.twimg.com/profile_images/661255402412199936/Rl5jjxWT_normal.jpg" TargetMode="External"/><Relationship Id="rId2241" Type="http://schemas.openxmlformats.org/officeDocument/2006/relationships/hyperlink" Target="http://meteograncanaria.com" TargetMode="External"/><Relationship Id="rId3573" Type="http://schemas.openxmlformats.org/officeDocument/2006/relationships/hyperlink" Target="https://pbs.twimg.com/profile_images/661255402412199936/Rl5jjxWT_normal.jpg" TargetMode="External"/><Relationship Id="rId2242" Type="http://schemas.openxmlformats.org/officeDocument/2006/relationships/hyperlink" Target="https://twitter.com/meteoGCcom/status/804331198231224320" TargetMode="External"/><Relationship Id="rId3572" Type="http://schemas.openxmlformats.org/officeDocument/2006/relationships/hyperlink" Target="https://twitter.com/aglaetalia/status/805197120596824068" TargetMode="External"/><Relationship Id="rId323" Type="http://schemas.openxmlformats.org/officeDocument/2006/relationships/hyperlink" Target="https://twitter.com/javier_e_br/status/802952133310107648" TargetMode="External"/><Relationship Id="rId2243" Type="http://schemas.openxmlformats.org/officeDocument/2006/relationships/hyperlink" Target="https://pbs.twimg.com/profile_images/792076114311208961/1HTbAcvj_normal.jpg" TargetMode="External"/><Relationship Id="rId3575" Type="http://schemas.openxmlformats.org/officeDocument/2006/relationships/hyperlink" Target="https://twitter.com/albertinixaxo/status/805197631249117184" TargetMode="External"/><Relationship Id="rId322" Type="http://schemas.openxmlformats.org/officeDocument/2006/relationships/hyperlink" Target="https://twitter.com/javier_e_br" TargetMode="External"/><Relationship Id="rId2244" Type="http://schemas.openxmlformats.org/officeDocument/2006/relationships/hyperlink" Target="https://twitter.com/MeliaHacienda" TargetMode="External"/><Relationship Id="rId3574" Type="http://schemas.openxmlformats.org/officeDocument/2006/relationships/hyperlink" Target="https://twitter.com/albertinixaxo" TargetMode="External"/><Relationship Id="rId321" Type="http://schemas.openxmlformats.org/officeDocument/2006/relationships/hyperlink" Target="https://pbs.twimg.com/profile_images/557538879318671360/fFcBJm6g_normal.jpeg" TargetMode="External"/><Relationship Id="rId2245" Type="http://schemas.openxmlformats.org/officeDocument/2006/relationships/hyperlink" Target="https://twitter.com/MeliaHacienda/status/804334332106199041" TargetMode="External"/><Relationship Id="rId3577" Type="http://schemas.openxmlformats.org/officeDocument/2006/relationships/hyperlink" Target="https://twitter.com/NemedvedLi" TargetMode="External"/><Relationship Id="rId320" Type="http://schemas.openxmlformats.org/officeDocument/2006/relationships/hyperlink" Target="https://twitter.com/eo_hotels/status/802946167084556288" TargetMode="External"/><Relationship Id="rId2246" Type="http://schemas.openxmlformats.org/officeDocument/2006/relationships/hyperlink" Target="https://pbs.twimg.com/profile_images/793118609736339456/LMIq_8Rm_normal.jpg" TargetMode="External"/><Relationship Id="rId3576" Type="http://schemas.openxmlformats.org/officeDocument/2006/relationships/hyperlink" Target="https://pbs.twimg.com/profile_images/660554427389091840/DhOJycYf_normal.jpg" TargetMode="External"/><Relationship Id="rId2236" Type="http://schemas.openxmlformats.org/officeDocument/2006/relationships/hyperlink" Target="https://pbs.twimg.com/profile_images/806165996448968705/eU1Kz3h6_normal.jpg" TargetMode="External"/><Relationship Id="rId3568" Type="http://schemas.openxmlformats.org/officeDocument/2006/relationships/hyperlink" Target="https://twitter.com/aglaetalia" TargetMode="External"/><Relationship Id="rId4899" Type="http://schemas.openxmlformats.org/officeDocument/2006/relationships/hyperlink" Target="https://pbs.twimg.com/profile_images/801499145085349888/_5ay51G6_normal.jpg" TargetMode="External"/><Relationship Id="rId2237" Type="http://schemas.openxmlformats.org/officeDocument/2006/relationships/hyperlink" Target="https://twitter.com/kresalie" TargetMode="External"/><Relationship Id="rId3567" Type="http://schemas.openxmlformats.org/officeDocument/2006/relationships/hyperlink" Target="https://pbs.twimg.com/profile_images/753034138811297793/ymLg73zi_normal.png" TargetMode="External"/><Relationship Id="rId4898" Type="http://schemas.openxmlformats.org/officeDocument/2006/relationships/hyperlink" Target="https://twitter.com/Savoy_se/status/806152309529083904" TargetMode="External"/><Relationship Id="rId2238" Type="http://schemas.openxmlformats.org/officeDocument/2006/relationships/hyperlink" Target="https://twitter.com/kresalie/status/804330547715641344" TargetMode="External"/><Relationship Id="rId2239" Type="http://schemas.openxmlformats.org/officeDocument/2006/relationships/hyperlink" Target="https://pbs.twimg.com/profile_images/595180449015713792/6waWxgDZ_normal.jpg" TargetMode="External"/><Relationship Id="rId3569" Type="http://schemas.openxmlformats.org/officeDocument/2006/relationships/hyperlink" Target="https://twitter.com/aglaetalia/status/805196927025512448" TargetMode="External"/><Relationship Id="rId316" Type="http://schemas.openxmlformats.org/officeDocument/2006/relationships/hyperlink" Target="https://twitter.com/SimonTurkas" TargetMode="External"/><Relationship Id="rId315" Type="http://schemas.openxmlformats.org/officeDocument/2006/relationships/hyperlink" Target="https://pbs.twimg.com/profile_images/599868315637555200/kOgjENRZ_normal.jpg" TargetMode="External"/><Relationship Id="rId314" Type="http://schemas.openxmlformats.org/officeDocument/2006/relationships/hyperlink" Target="https://twitter.com/starzionprod/status/802945312201568256" TargetMode="External"/><Relationship Id="rId313" Type="http://schemas.openxmlformats.org/officeDocument/2006/relationships/hyperlink" Target="https://twitter.com/starzionprod" TargetMode="External"/><Relationship Id="rId319" Type="http://schemas.openxmlformats.org/officeDocument/2006/relationships/hyperlink" Target="https://twitter.com/eo_hotels" TargetMode="External"/><Relationship Id="rId318" Type="http://schemas.openxmlformats.org/officeDocument/2006/relationships/hyperlink" Target="https://pbs.twimg.com/profile_images/800292908008144896/TiECGUpd_normal.jpg" TargetMode="External"/><Relationship Id="rId317" Type="http://schemas.openxmlformats.org/officeDocument/2006/relationships/hyperlink" Target="https://twitter.com/SimonTurkas/status/802945813227982850" TargetMode="External"/><Relationship Id="rId3560" Type="http://schemas.openxmlformats.org/officeDocument/2006/relationships/hyperlink" Target="https://twitter.com/jackiemccaffrey/status/805193368938672128" TargetMode="External"/><Relationship Id="rId4891" Type="http://schemas.openxmlformats.org/officeDocument/2006/relationships/hyperlink" Target="https://twitter.com/H_Jardintecina" TargetMode="External"/><Relationship Id="rId4890" Type="http://schemas.openxmlformats.org/officeDocument/2006/relationships/hyperlink" Target="https://pbs.twimg.com/profile_images/767826538838581248/H8NnKMk3_normal.jpg" TargetMode="External"/><Relationship Id="rId2230" Type="http://schemas.openxmlformats.org/officeDocument/2006/relationships/hyperlink" Target="https://pbs.twimg.com/profile_images/754960714704584704/14dQxsF8_normal.jpg" TargetMode="External"/><Relationship Id="rId3562" Type="http://schemas.openxmlformats.org/officeDocument/2006/relationships/hyperlink" Target="https://twitter.com/Visidesigner" TargetMode="External"/><Relationship Id="rId4893" Type="http://schemas.openxmlformats.org/officeDocument/2006/relationships/hyperlink" Target="https://pbs.twimg.com/profile_images/794493458392248320/z5N_2K6v_normal.jpg" TargetMode="External"/><Relationship Id="rId2231" Type="http://schemas.openxmlformats.org/officeDocument/2006/relationships/hyperlink" Target="https://twitter.com/Sink_or_Swim_" TargetMode="External"/><Relationship Id="rId3561" Type="http://schemas.openxmlformats.org/officeDocument/2006/relationships/hyperlink" Target="https://pbs.twimg.com/profile_images/3769734701/357b7de0d08d9061a69f946e85ff0629_normal.jpeg" TargetMode="External"/><Relationship Id="rId4892" Type="http://schemas.openxmlformats.org/officeDocument/2006/relationships/hyperlink" Target="https://twitter.com/H_Jardintecina/status/806149083970805760" TargetMode="External"/><Relationship Id="rId312" Type="http://schemas.openxmlformats.org/officeDocument/2006/relationships/hyperlink" Target="https://pbs.twimg.com/profile_images/711341349983920129/gKtqDqg2_normal.jpg" TargetMode="External"/><Relationship Id="rId2232" Type="http://schemas.openxmlformats.org/officeDocument/2006/relationships/hyperlink" Target="https://twitter.com/Sink_or_Swim_/status/804329735857717251" TargetMode="External"/><Relationship Id="rId3564" Type="http://schemas.openxmlformats.org/officeDocument/2006/relationships/hyperlink" Target="https://pbs.twimg.com/profile_images/540864884054188032/hrV0hjKN_normal.jpeg" TargetMode="External"/><Relationship Id="rId4895" Type="http://schemas.openxmlformats.org/officeDocument/2006/relationships/hyperlink" Target="https://twitter.com/Lanzarote_Sov/status/806151219878170624" TargetMode="External"/><Relationship Id="rId311" Type="http://schemas.openxmlformats.org/officeDocument/2006/relationships/hyperlink" Target="https://twitter.com/gergolippai/status/802942791668076544" TargetMode="External"/><Relationship Id="rId2233" Type="http://schemas.openxmlformats.org/officeDocument/2006/relationships/hyperlink" Target="https://pbs.twimg.com/profile_images/730687096550268928/J-Ee_sln_normal.jpg" TargetMode="External"/><Relationship Id="rId3563" Type="http://schemas.openxmlformats.org/officeDocument/2006/relationships/hyperlink" Target="https://twitter.com/Visidesigner/status/805193973795065856" TargetMode="External"/><Relationship Id="rId4894" Type="http://schemas.openxmlformats.org/officeDocument/2006/relationships/hyperlink" Target="https://twitter.com/Lanzarote_Sov" TargetMode="External"/><Relationship Id="rId310" Type="http://schemas.openxmlformats.org/officeDocument/2006/relationships/hyperlink" Target="https://twitter.com/gergolippai" TargetMode="External"/><Relationship Id="rId2234" Type="http://schemas.openxmlformats.org/officeDocument/2006/relationships/hyperlink" Target="https://twitter.com/meirion1965" TargetMode="External"/><Relationship Id="rId3566" Type="http://schemas.openxmlformats.org/officeDocument/2006/relationships/hyperlink" Target="https://twitter.com/mrPDMZ/status/805194349512364032" TargetMode="External"/><Relationship Id="rId4897" Type="http://schemas.openxmlformats.org/officeDocument/2006/relationships/hyperlink" Target="https://twitter.com/Savoy_se" TargetMode="External"/><Relationship Id="rId2235" Type="http://schemas.openxmlformats.org/officeDocument/2006/relationships/hyperlink" Target="https://twitter.com/meirion1965/status/804329974731829248" TargetMode="External"/><Relationship Id="rId3565" Type="http://schemas.openxmlformats.org/officeDocument/2006/relationships/hyperlink" Target="https://twitter.com/mrPDMZ" TargetMode="External"/><Relationship Id="rId4896" Type="http://schemas.openxmlformats.org/officeDocument/2006/relationships/hyperlink" Target="https://pbs.twimg.com/profile_images/601788526162763778/vJg4VIhI_normal.jpg" TargetMode="External"/><Relationship Id="rId4040" Type="http://schemas.openxmlformats.org/officeDocument/2006/relationships/hyperlink" Target="https://twitter.com/stani320/status/805529188954505216" TargetMode="External"/><Relationship Id="rId4042" Type="http://schemas.openxmlformats.org/officeDocument/2006/relationships/hyperlink" Target="https://twitter.com/JabobH" TargetMode="External"/><Relationship Id="rId4041" Type="http://schemas.openxmlformats.org/officeDocument/2006/relationships/hyperlink" Target="https://pbs.twimg.com/profile_images/597076476278788096/_4hbSxb7_normal.jpg" TargetMode="External"/><Relationship Id="rId4044" Type="http://schemas.openxmlformats.org/officeDocument/2006/relationships/hyperlink" Target="https://pbs.twimg.com/profile_images/748912489279156224/6AHDUzbS_normal.jpg" TargetMode="External"/><Relationship Id="rId4043" Type="http://schemas.openxmlformats.org/officeDocument/2006/relationships/hyperlink" Target="https://twitter.com/JabobH/status/805529526772137984" TargetMode="External"/><Relationship Id="rId4046" Type="http://schemas.openxmlformats.org/officeDocument/2006/relationships/hyperlink" Target="https://twitter.com/iBydaute/status/805530937568018432" TargetMode="External"/><Relationship Id="rId4045" Type="http://schemas.openxmlformats.org/officeDocument/2006/relationships/hyperlink" Target="https://twitter.com/iBydaute" TargetMode="External"/><Relationship Id="rId4048" Type="http://schemas.openxmlformats.org/officeDocument/2006/relationships/hyperlink" Target="https://twitter.com/MokaGonzalez_" TargetMode="External"/><Relationship Id="rId4047" Type="http://schemas.openxmlformats.org/officeDocument/2006/relationships/hyperlink" Target="https://pbs.twimg.com/profile_images/703743884745187328/qEMih7VE_normal.jpg" TargetMode="External"/><Relationship Id="rId4049" Type="http://schemas.openxmlformats.org/officeDocument/2006/relationships/hyperlink" Target="https://twitter.com/MokaGonzalez_/status/805532813877506054" TargetMode="External"/><Relationship Id="rId4031" Type="http://schemas.openxmlformats.org/officeDocument/2006/relationships/hyperlink" Target="https://twitter.com/omarnv/status/805523743304982528" TargetMode="External"/><Relationship Id="rId4030" Type="http://schemas.openxmlformats.org/officeDocument/2006/relationships/hyperlink" Target="https://twitter.com/omarnv" TargetMode="External"/><Relationship Id="rId297" Type="http://schemas.openxmlformats.org/officeDocument/2006/relationships/hyperlink" Target="https://pbs.twimg.com/profile_images/549237218955362304/X_z4yrVs_normal.png" TargetMode="External"/><Relationship Id="rId4033" Type="http://schemas.openxmlformats.org/officeDocument/2006/relationships/hyperlink" Target="https://twitter.com/Sr_DONE" TargetMode="External"/><Relationship Id="rId296" Type="http://schemas.openxmlformats.org/officeDocument/2006/relationships/hyperlink" Target="https://twitter.com/lcruisetours/status/802936691787001856" TargetMode="External"/><Relationship Id="rId4032" Type="http://schemas.openxmlformats.org/officeDocument/2006/relationships/hyperlink" Target="https://pbs.twimg.com/profile_images/626717465242959872/ZB7k5xR2_normal.jpg" TargetMode="External"/><Relationship Id="rId295" Type="http://schemas.openxmlformats.org/officeDocument/2006/relationships/hyperlink" Target="https://twitter.com/lcruisetours" TargetMode="External"/><Relationship Id="rId4035" Type="http://schemas.openxmlformats.org/officeDocument/2006/relationships/hyperlink" Target="https://pbs.twimg.com/profile_images/800806075339571201/qxmzMAmf_normal.jpg" TargetMode="External"/><Relationship Id="rId294" Type="http://schemas.openxmlformats.org/officeDocument/2006/relationships/hyperlink" Target="https://pbs.twimg.com/profile_images/549237218955362304/X_z4yrVs_normal.png" TargetMode="External"/><Relationship Id="rId4034" Type="http://schemas.openxmlformats.org/officeDocument/2006/relationships/hyperlink" Target="https://twitter.com/Sr_DONE/status/805524964526985216" TargetMode="External"/><Relationship Id="rId4037" Type="http://schemas.openxmlformats.org/officeDocument/2006/relationships/hyperlink" Target="https://twitter.com/hotbootyy/status/805528987363577861" TargetMode="External"/><Relationship Id="rId4036" Type="http://schemas.openxmlformats.org/officeDocument/2006/relationships/hyperlink" Target="https://twitter.com/hotbootyy" TargetMode="External"/><Relationship Id="rId299" Type="http://schemas.openxmlformats.org/officeDocument/2006/relationships/hyperlink" Target="https://twitter.com/lcruisetours/status/802936706156625920" TargetMode="External"/><Relationship Id="rId4039" Type="http://schemas.openxmlformats.org/officeDocument/2006/relationships/hyperlink" Target="https://twitter.com/stani320" TargetMode="External"/><Relationship Id="rId298" Type="http://schemas.openxmlformats.org/officeDocument/2006/relationships/hyperlink" Target="https://twitter.com/lcruisetours" TargetMode="External"/><Relationship Id="rId4038" Type="http://schemas.openxmlformats.org/officeDocument/2006/relationships/hyperlink" Target="https://pbs.twimg.com/profile_images/803305462305292288/hljqW5YP_normal.jpg" TargetMode="External"/><Relationship Id="rId4060" Type="http://schemas.openxmlformats.org/officeDocument/2006/relationships/hyperlink" Target="https://twitter.com/DaveDreamzx" TargetMode="External"/><Relationship Id="rId4062" Type="http://schemas.openxmlformats.org/officeDocument/2006/relationships/hyperlink" Target="https://pbs.twimg.com/profile_images/797225536108040192/_He1ETZa_normal.jpg" TargetMode="External"/><Relationship Id="rId4061" Type="http://schemas.openxmlformats.org/officeDocument/2006/relationships/hyperlink" Target="https://twitter.com/DaveDreamzx/status/805533684543746048" TargetMode="External"/><Relationship Id="rId4064" Type="http://schemas.openxmlformats.org/officeDocument/2006/relationships/hyperlink" Target="https://twitter.com/LpaVisit/status/805535214030258177" TargetMode="External"/><Relationship Id="rId4063" Type="http://schemas.openxmlformats.org/officeDocument/2006/relationships/hyperlink" Target="https://twitter.com/LpaVisit" TargetMode="External"/><Relationship Id="rId4066" Type="http://schemas.openxmlformats.org/officeDocument/2006/relationships/hyperlink" Target="https://twitter.com/Salamanca_SSV" TargetMode="External"/><Relationship Id="rId4065" Type="http://schemas.openxmlformats.org/officeDocument/2006/relationships/hyperlink" Target="https://pbs.twimg.com/profile_images/656385242819907584/6_e-4aUc_normal.jpg" TargetMode="External"/><Relationship Id="rId4068" Type="http://schemas.openxmlformats.org/officeDocument/2006/relationships/hyperlink" Target="https://pbs.twimg.com/profile_images/3461850627/70f1c6c744e939681691ad3a09d64375_normal.png" TargetMode="External"/><Relationship Id="rId4067" Type="http://schemas.openxmlformats.org/officeDocument/2006/relationships/hyperlink" Target="https://twitter.com/Salamanca_SSV/status/805535266106642432" TargetMode="External"/><Relationship Id="rId4069" Type="http://schemas.openxmlformats.org/officeDocument/2006/relationships/hyperlink" Target="https://twitter.com/paisajecanario" TargetMode="External"/><Relationship Id="rId4051" Type="http://schemas.openxmlformats.org/officeDocument/2006/relationships/hyperlink" Target="https://twitter.com/FranciscoMaeso" TargetMode="External"/><Relationship Id="rId4050" Type="http://schemas.openxmlformats.org/officeDocument/2006/relationships/hyperlink" Target="https://pbs.twimg.com/profile_images/805759744292122624/GVNyopcr_normal.jpg" TargetMode="External"/><Relationship Id="rId4053" Type="http://schemas.openxmlformats.org/officeDocument/2006/relationships/hyperlink" Target="https://pbs.twimg.com/profile_images/479353826211033089/loQSm1n5_normal.jpeg" TargetMode="External"/><Relationship Id="rId4052" Type="http://schemas.openxmlformats.org/officeDocument/2006/relationships/hyperlink" Target="https://twitter.com/FranciscoMaeso/status/805532936531546112" TargetMode="External"/><Relationship Id="rId4055" Type="http://schemas.openxmlformats.org/officeDocument/2006/relationships/hyperlink" Target="https://twitter.com/DaveDreamzx/status/805533360722415616" TargetMode="External"/><Relationship Id="rId4054" Type="http://schemas.openxmlformats.org/officeDocument/2006/relationships/hyperlink" Target="https://twitter.com/DaveDreamzx" TargetMode="External"/><Relationship Id="rId4057" Type="http://schemas.openxmlformats.org/officeDocument/2006/relationships/hyperlink" Target="https://twitter.com/holyber" TargetMode="External"/><Relationship Id="rId4056" Type="http://schemas.openxmlformats.org/officeDocument/2006/relationships/hyperlink" Target="https://pbs.twimg.com/profile_images/797225536108040192/_He1ETZa_normal.jpg" TargetMode="External"/><Relationship Id="rId4059" Type="http://schemas.openxmlformats.org/officeDocument/2006/relationships/hyperlink" Target="https://pbs.twimg.com/profile_images/475644614448123904/FiCl2pX4_normal.jpeg" TargetMode="External"/><Relationship Id="rId4058" Type="http://schemas.openxmlformats.org/officeDocument/2006/relationships/hyperlink" Target="https://twitter.com/holyber/status/805533608932937728" TargetMode="External"/><Relationship Id="rId4008" Type="http://schemas.openxmlformats.org/officeDocument/2006/relationships/hyperlink" Target="https://pbs.twimg.com/profile_images/800845512836579328/cKh_5hB2_normal.jpg" TargetMode="External"/><Relationship Id="rId4007" Type="http://schemas.openxmlformats.org/officeDocument/2006/relationships/hyperlink" Target="https://twitter.com/Selhso/status/805518679878336513" TargetMode="External"/><Relationship Id="rId4009" Type="http://schemas.openxmlformats.org/officeDocument/2006/relationships/hyperlink" Target="https://twitter.com/robintheranter" TargetMode="External"/><Relationship Id="rId271" Type="http://schemas.openxmlformats.org/officeDocument/2006/relationships/hyperlink" Target="https://twitter.com/bermaxo09" TargetMode="External"/><Relationship Id="rId270" Type="http://schemas.openxmlformats.org/officeDocument/2006/relationships/hyperlink" Target="https://pbs.twimg.com/profile_images/789364630850240512/Mw90qAlM_normal.jpg" TargetMode="External"/><Relationship Id="rId269" Type="http://schemas.openxmlformats.org/officeDocument/2006/relationships/hyperlink" Target="https://twitter.com/paisajecanario/status/802919387246325760" TargetMode="External"/><Relationship Id="rId264" Type="http://schemas.openxmlformats.org/officeDocument/2006/relationships/hyperlink" Target="https://pbs.twimg.com/profile_images/796583245542461440/zMZX15qh_normal.jpg" TargetMode="External"/><Relationship Id="rId4000" Type="http://schemas.openxmlformats.org/officeDocument/2006/relationships/hyperlink" Target="https://twitter.com/GranCanLocal" TargetMode="External"/><Relationship Id="rId263" Type="http://schemas.openxmlformats.org/officeDocument/2006/relationships/hyperlink" Target="https://twitter.com/ChumpiEl/status/802918068695552001" TargetMode="External"/><Relationship Id="rId262" Type="http://schemas.openxmlformats.org/officeDocument/2006/relationships/hyperlink" Target="https://twitter.com/ChumpiEl" TargetMode="External"/><Relationship Id="rId4002" Type="http://schemas.openxmlformats.org/officeDocument/2006/relationships/hyperlink" Target="https://pbs.twimg.com/profile_images/797869927004852225/JqQhI5Qc_normal.jpg" TargetMode="External"/><Relationship Id="rId261" Type="http://schemas.openxmlformats.org/officeDocument/2006/relationships/hyperlink" Target="https://pbs.twimg.com/profile_images/798476790478073856/iOD0HIRa_normal.jpg" TargetMode="External"/><Relationship Id="rId4001" Type="http://schemas.openxmlformats.org/officeDocument/2006/relationships/hyperlink" Target="https://twitter.com/GranCanLocal/status/805507676448890885" TargetMode="External"/><Relationship Id="rId268" Type="http://schemas.openxmlformats.org/officeDocument/2006/relationships/hyperlink" Target="https://twitter.com/paisajecanario" TargetMode="External"/><Relationship Id="rId4004" Type="http://schemas.openxmlformats.org/officeDocument/2006/relationships/hyperlink" Target="https://twitter.com/OrcaOnIceSkates/status/805509201304940546" TargetMode="External"/><Relationship Id="rId267" Type="http://schemas.openxmlformats.org/officeDocument/2006/relationships/hyperlink" Target="https://pbs.twimg.com/profile_images/506732081079013377/VmrRkhPe_normal.jpeg" TargetMode="External"/><Relationship Id="rId4003" Type="http://schemas.openxmlformats.org/officeDocument/2006/relationships/hyperlink" Target="https://twitter.com/OrcaOnIceSkates" TargetMode="External"/><Relationship Id="rId266" Type="http://schemas.openxmlformats.org/officeDocument/2006/relationships/hyperlink" Target="https://twitter.com/ebook_travel/status/802918734855708672" TargetMode="External"/><Relationship Id="rId4006" Type="http://schemas.openxmlformats.org/officeDocument/2006/relationships/hyperlink" Target="https://twitter.com/Selhso" TargetMode="External"/><Relationship Id="rId265" Type="http://schemas.openxmlformats.org/officeDocument/2006/relationships/hyperlink" Target="https://twitter.com/ebook_travel" TargetMode="External"/><Relationship Id="rId4005" Type="http://schemas.openxmlformats.org/officeDocument/2006/relationships/hyperlink" Target="https://pbs.twimg.com/profile_images/378800000849151264/da08b223e536fd179afcc5a22369c863_normal.png" TargetMode="External"/><Relationship Id="rId260" Type="http://schemas.openxmlformats.org/officeDocument/2006/relationships/hyperlink" Target="https://twitter.com/bermaxo09/status/802917731666423808" TargetMode="External"/><Relationship Id="rId259" Type="http://schemas.openxmlformats.org/officeDocument/2006/relationships/hyperlink" Target="https://twitter.com/bermaxo09" TargetMode="External"/><Relationship Id="rId258" Type="http://schemas.openxmlformats.org/officeDocument/2006/relationships/hyperlink" Target="https://pbs.twimg.com/profile_images/642570754161287168/0z29K6ho_normal.jpg" TargetMode="External"/><Relationship Id="rId2290" Type="http://schemas.openxmlformats.org/officeDocument/2006/relationships/hyperlink" Target="https://twitter.com/CJ_TenisClub/status/804363541067264001" TargetMode="External"/><Relationship Id="rId2291" Type="http://schemas.openxmlformats.org/officeDocument/2006/relationships/hyperlink" Target="https://pbs.twimg.com/profile_images/718837181683494913/iga7i5m8_normal.jpg" TargetMode="External"/><Relationship Id="rId2292" Type="http://schemas.openxmlformats.org/officeDocument/2006/relationships/hyperlink" Target="https://twitter.com/Abama_Golf" TargetMode="External"/><Relationship Id="rId2293" Type="http://schemas.openxmlformats.org/officeDocument/2006/relationships/hyperlink" Target="https://twitter.com/Abama_Golf/status/804365374426906624" TargetMode="External"/><Relationship Id="rId253" Type="http://schemas.openxmlformats.org/officeDocument/2006/relationships/hyperlink" Target="https://twitter.com/FerreGregoire" TargetMode="External"/><Relationship Id="rId2294" Type="http://schemas.openxmlformats.org/officeDocument/2006/relationships/hyperlink" Target="https://pbs.twimg.com/profile_images/747797637475229697/bCtAjnsi_normal.jpg" TargetMode="External"/><Relationship Id="rId252" Type="http://schemas.openxmlformats.org/officeDocument/2006/relationships/hyperlink" Target="https://pbs.twimg.com/profile_images/525944451177263104/jGofUCAA_normal.jpeg" TargetMode="External"/><Relationship Id="rId2295" Type="http://schemas.openxmlformats.org/officeDocument/2006/relationships/hyperlink" Target="https://twitter.com/Kitesurfio" TargetMode="External"/><Relationship Id="rId251" Type="http://schemas.openxmlformats.org/officeDocument/2006/relationships/hyperlink" Target="https://twitter.com/manuelcarranco/status/802907049868693505" TargetMode="External"/><Relationship Id="rId2296" Type="http://schemas.openxmlformats.org/officeDocument/2006/relationships/hyperlink" Target="https://twitter.com/Kitesurfio/status/804367102819835905" TargetMode="External"/><Relationship Id="rId250" Type="http://schemas.openxmlformats.org/officeDocument/2006/relationships/hyperlink" Target="https://twitter.com/manuelcarranco" TargetMode="External"/><Relationship Id="rId2297" Type="http://schemas.openxmlformats.org/officeDocument/2006/relationships/hyperlink" Target="https://pbs.twimg.com/profile_images/738606248405278721/oXYhNMVM_normal.jpg" TargetMode="External"/><Relationship Id="rId257" Type="http://schemas.openxmlformats.org/officeDocument/2006/relationships/hyperlink" Target="https://twitter.com/nubialonso/status/802915891939803136" TargetMode="External"/><Relationship Id="rId2298" Type="http://schemas.openxmlformats.org/officeDocument/2006/relationships/hyperlink" Target="https://twitter.com/de1969" TargetMode="External"/><Relationship Id="rId256" Type="http://schemas.openxmlformats.org/officeDocument/2006/relationships/hyperlink" Target="https://twitter.com/nubialonso" TargetMode="External"/><Relationship Id="rId2299" Type="http://schemas.openxmlformats.org/officeDocument/2006/relationships/hyperlink" Target="https://twitter.com/de1969/status/804367153638023169" TargetMode="External"/><Relationship Id="rId255" Type="http://schemas.openxmlformats.org/officeDocument/2006/relationships/hyperlink" Target="https://pbs.twimg.com/profile_images/615994608628170752/ADY9apA2_normal.jpg" TargetMode="External"/><Relationship Id="rId254" Type="http://schemas.openxmlformats.org/officeDocument/2006/relationships/hyperlink" Target="https://twitter.com/FerreGregoire/status/802913128316928000" TargetMode="External"/><Relationship Id="rId4029" Type="http://schemas.openxmlformats.org/officeDocument/2006/relationships/hyperlink" Target="https://pbs.twimg.com/profile_images/739040004022935556/1zrwUw2h_normal.jpg" TargetMode="External"/><Relationship Id="rId293" Type="http://schemas.openxmlformats.org/officeDocument/2006/relationships/hyperlink" Target="https://twitter.com/lcruisetours/status/802936675643039744" TargetMode="External"/><Relationship Id="rId292" Type="http://schemas.openxmlformats.org/officeDocument/2006/relationships/hyperlink" Target="https://twitter.com/lcruisetours" TargetMode="External"/><Relationship Id="rId291" Type="http://schemas.openxmlformats.org/officeDocument/2006/relationships/hyperlink" Target="https://pbs.twimg.com/profile_images/774629921771626496/5phwvhV0_normal.jpg" TargetMode="External"/><Relationship Id="rId290" Type="http://schemas.openxmlformats.org/officeDocument/2006/relationships/hyperlink" Target="https://twitter.com/pazgcmara/status/802927141151272960" TargetMode="External"/><Relationship Id="rId4020" Type="http://schemas.openxmlformats.org/officeDocument/2006/relationships/hyperlink" Target="https://pbs.twimg.com/profile_images/731824986965594112/1_vJDvBr_normal.jpg" TargetMode="External"/><Relationship Id="rId286" Type="http://schemas.openxmlformats.org/officeDocument/2006/relationships/hyperlink" Target="https://twitter.com/nia_swan22" TargetMode="External"/><Relationship Id="rId4022" Type="http://schemas.openxmlformats.org/officeDocument/2006/relationships/hyperlink" Target="https://twitter.com/visit_tenerife/status/805522219245961216" TargetMode="External"/><Relationship Id="rId285" Type="http://schemas.openxmlformats.org/officeDocument/2006/relationships/hyperlink" Target="https://pbs.twimg.com/profile_images/794101918943604736/NxlDydce_normal.jpg" TargetMode="External"/><Relationship Id="rId4021" Type="http://schemas.openxmlformats.org/officeDocument/2006/relationships/hyperlink" Target="https://twitter.com/visit_tenerife" TargetMode="External"/><Relationship Id="rId284" Type="http://schemas.openxmlformats.org/officeDocument/2006/relationships/hyperlink" Target="https://twitter.com/bh_oceano/status/802923749838159873" TargetMode="External"/><Relationship Id="rId4024" Type="http://schemas.openxmlformats.org/officeDocument/2006/relationships/hyperlink" Target="https://twitter.com/islaspromo" TargetMode="External"/><Relationship Id="rId283" Type="http://schemas.openxmlformats.org/officeDocument/2006/relationships/hyperlink" Target="https://twitter.com/bh_oceano" TargetMode="External"/><Relationship Id="rId4023" Type="http://schemas.openxmlformats.org/officeDocument/2006/relationships/hyperlink" Target="https://pbs.twimg.com/profile_images/793915546278453248/AVpztABx_normal.jpg" TargetMode="External"/><Relationship Id="rId4026" Type="http://schemas.openxmlformats.org/officeDocument/2006/relationships/hyperlink" Target="https://pbs.twimg.com/profile_images/570644453866483712/dvbC2x8W_normal.jpeg" TargetMode="External"/><Relationship Id="rId289" Type="http://schemas.openxmlformats.org/officeDocument/2006/relationships/hyperlink" Target="https://twitter.com/pazgcmara" TargetMode="External"/><Relationship Id="rId4025" Type="http://schemas.openxmlformats.org/officeDocument/2006/relationships/hyperlink" Target="https://twitter.com/islaspromo/status/805523383500861441" TargetMode="External"/><Relationship Id="rId288" Type="http://schemas.openxmlformats.org/officeDocument/2006/relationships/hyperlink" Target="https://pbs.twimg.com/profile_images/791975618850263041/AJxDXBaa_normal.jpg" TargetMode="External"/><Relationship Id="rId4028" Type="http://schemas.openxmlformats.org/officeDocument/2006/relationships/hyperlink" Target="https://twitter.com/RLGieling/status/805523603596816384" TargetMode="External"/><Relationship Id="rId287" Type="http://schemas.openxmlformats.org/officeDocument/2006/relationships/hyperlink" Target="https://twitter.com/nia_swan22/status/802926536294858752" TargetMode="External"/><Relationship Id="rId4027" Type="http://schemas.openxmlformats.org/officeDocument/2006/relationships/hyperlink" Target="https://twitter.com/RLGieling" TargetMode="External"/><Relationship Id="rId4019" Type="http://schemas.openxmlformats.org/officeDocument/2006/relationships/hyperlink" Target="https://twitter.com/LuxuryCanarias/status/805520894068191232" TargetMode="External"/><Relationship Id="rId4018" Type="http://schemas.openxmlformats.org/officeDocument/2006/relationships/hyperlink" Target="https://twitter.com/LuxuryCanarias" TargetMode="External"/><Relationship Id="rId282" Type="http://schemas.openxmlformats.org/officeDocument/2006/relationships/hyperlink" Target="https://pbs.twimg.com/profile_images/783793821234651136/01e22aGG_normal.jpg" TargetMode="External"/><Relationship Id="rId281" Type="http://schemas.openxmlformats.org/officeDocument/2006/relationships/hyperlink" Target="https://twitter.com/Tenerife_Photo/status/802921601234632704" TargetMode="External"/><Relationship Id="rId280" Type="http://schemas.openxmlformats.org/officeDocument/2006/relationships/hyperlink" Target="https://twitter.com/Tenerife_Photo" TargetMode="External"/><Relationship Id="rId275" Type="http://schemas.openxmlformats.org/officeDocument/2006/relationships/hyperlink" Target="https://twitter.com/GiomedMario/status/802920466964828160" TargetMode="External"/><Relationship Id="rId4011" Type="http://schemas.openxmlformats.org/officeDocument/2006/relationships/hyperlink" Target="https://pbs.twimg.com/profile_images/738694874569056257/GCHXlge6_normal.jpg" TargetMode="External"/><Relationship Id="rId274" Type="http://schemas.openxmlformats.org/officeDocument/2006/relationships/hyperlink" Target="https://twitter.com/GiomedMario" TargetMode="External"/><Relationship Id="rId4010" Type="http://schemas.openxmlformats.org/officeDocument/2006/relationships/hyperlink" Target="https://twitter.com/robintheranter/status/805518691085467648" TargetMode="External"/><Relationship Id="rId273" Type="http://schemas.openxmlformats.org/officeDocument/2006/relationships/hyperlink" Target="https://pbs.twimg.com/profile_images/798476790478073856/iOD0HIRa_normal.jpg" TargetMode="External"/><Relationship Id="rId4013" Type="http://schemas.openxmlformats.org/officeDocument/2006/relationships/hyperlink" Target="https://twitter.com/nubialonso/status/805518770806681601" TargetMode="External"/><Relationship Id="rId272" Type="http://schemas.openxmlformats.org/officeDocument/2006/relationships/hyperlink" Target="https://twitter.com/bermaxo09/status/802919666532261888" TargetMode="External"/><Relationship Id="rId4012" Type="http://schemas.openxmlformats.org/officeDocument/2006/relationships/hyperlink" Target="https://twitter.com/nubialonso" TargetMode="External"/><Relationship Id="rId279" Type="http://schemas.openxmlformats.org/officeDocument/2006/relationships/hyperlink" Target="https://pbs.twimg.com/profile_images/455151866276745216/H6fsJ19-_normal.jpeg" TargetMode="External"/><Relationship Id="rId4015" Type="http://schemas.openxmlformats.org/officeDocument/2006/relationships/hyperlink" Target="https://twitter.com/danybruch1181" TargetMode="External"/><Relationship Id="rId278" Type="http://schemas.openxmlformats.org/officeDocument/2006/relationships/hyperlink" Target="https://twitter.com/Julio_y_Charina/status/802921573766283264" TargetMode="External"/><Relationship Id="rId4014" Type="http://schemas.openxmlformats.org/officeDocument/2006/relationships/hyperlink" Target="https://pbs.twimg.com/profile_images/642570754161287168/0z29K6ho_normal.jpg" TargetMode="External"/><Relationship Id="rId277" Type="http://schemas.openxmlformats.org/officeDocument/2006/relationships/hyperlink" Target="https://twitter.com/Julio_y_Charina" TargetMode="External"/><Relationship Id="rId4017" Type="http://schemas.openxmlformats.org/officeDocument/2006/relationships/hyperlink" Target="https://pbs.twimg.com/profile_images/794342741983502336/kn2y6I06_normal.jpg" TargetMode="External"/><Relationship Id="rId276" Type="http://schemas.openxmlformats.org/officeDocument/2006/relationships/hyperlink" Target="https://pbs.twimg.com/profile_images/782138674385395712/AZIMYDre_normal.jpg" TargetMode="External"/><Relationship Id="rId4016" Type="http://schemas.openxmlformats.org/officeDocument/2006/relationships/hyperlink" Target="https://twitter.com/danybruch1181/status/805518975572602881" TargetMode="External"/><Relationship Id="rId1851" Type="http://schemas.openxmlformats.org/officeDocument/2006/relationships/hyperlink" Target="https://twitter.com/CardiffDir/status/804050583527231488" TargetMode="External"/><Relationship Id="rId1852" Type="http://schemas.openxmlformats.org/officeDocument/2006/relationships/hyperlink" Target="https://pbs.twimg.com/profile_images/698548528185008128/_Wgzxkti_normal.png" TargetMode="External"/><Relationship Id="rId1853" Type="http://schemas.openxmlformats.org/officeDocument/2006/relationships/hyperlink" Target="https://twitter.com/iBydaute" TargetMode="External"/><Relationship Id="rId1854" Type="http://schemas.openxmlformats.org/officeDocument/2006/relationships/hyperlink" Target="https://twitter.com/iBydaute/status/804055034933612544" TargetMode="External"/><Relationship Id="rId1855" Type="http://schemas.openxmlformats.org/officeDocument/2006/relationships/hyperlink" Target="https://pbs.twimg.com/profile_images/703743884745187328/qEMih7VE_normal.jpg" TargetMode="External"/><Relationship Id="rId1856" Type="http://schemas.openxmlformats.org/officeDocument/2006/relationships/hyperlink" Target="https://twitter.com/salvamento8" TargetMode="External"/><Relationship Id="rId1857" Type="http://schemas.openxmlformats.org/officeDocument/2006/relationships/hyperlink" Target="https://twitter.com/salvamento8/status/804056159267278851" TargetMode="External"/><Relationship Id="rId1858" Type="http://schemas.openxmlformats.org/officeDocument/2006/relationships/hyperlink" Target="https://pbs.twimg.com/profile_images/659738193110114304/d0jceFyK_normal.jpg" TargetMode="External"/><Relationship Id="rId1859" Type="http://schemas.openxmlformats.org/officeDocument/2006/relationships/hyperlink" Target="https://twitter.com/MedCruiseGuide" TargetMode="External"/><Relationship Id="rId1850" Type="http://schemas.openxmlformats.org/officeDocument/2006/relationships/hyperlink" Target="https://twitter.com/CardiffDir" TargetMode="External"/><Relationship Id="rId1840" Type="http://schemas.openxmlformats.org/officeDocument/2006/relationships/hyperlink" Target="https://pbs.twimg.com/profile_images/576401817203916802/GjLCylLd_normal.jpeg" TargetMode="External"/><Relationship Id="rId1841" Type="http://schemas.openxmlformats.org/officeDocument/2006/relationships/hyperlink" Target="https://twitter.com/imasillypirate" TargetMode="External"/><Relationship Id="rId1842" Type="http://schemas.openxmlformats.org/officeDocument/2006/relationships/hyperlink" Target="https://twitter.com/imasillypirate/status/804047292785303552" TargetMode="External"/><Relationship Id="rId1843" Type="http://schemas.openxmlformats.org/officeDocument/2006/relationships/hyperlink" Target="https://pbs.twimg.com/profile_images/674426786139140096/NZQcGW6O_normal.png" TargetMode="External"/><Relationship Id="rId1844" Type="http://schemas.openxmlformats.org/officeDocument/2006/relationships/hyperlink" Target="https://twitter.com/Duna83_24" TargetMode="External"/><Relationship Id="rId1845" Type="http://schemas.openxmlformats.org/officeDocument/2006/relationships/hyperlink" Target="https://twitter.com/Duna83_24/status/804050225929342977" TargetMode="External"/><Relationship Id="rId1846" Type="http://schemas.openxmlformats.org/officeDocument/2006/relationships/hyperlink" Target="https://pbs.twimg.com/profile_images/2977809331/e5ecce8de5c25c1d6d079af6b3e9522e_normal.jpeg" TargetMode="External"/><Relationship Id="rId1847" Type="http://schemas.openxmlformats.org/officeDocument/2006/relationships/hyperlink" Target="https://twitter.com/ElenaArtuso" TargetMode="External"/><Relationship Id="rId1848" Type="http://schemas.openxmlformats.org/officeDocument/2006/relationships/hyperlink" Target="https://twitter.com/ElenaArtuso/status/804050275074011136" TargetMode="External"/><Relationship Id="rId1849" Type="http://schemas.openxmlformats.org/officeDocument/2006/relationships/hyperlink" Target="https://pbs.twimg.com/profile_images/638362621385789440/r8DPoMAV_normal.jpg" TargetMode="External"/><Relationship Id="rId1873" Type="http://schemas.openxmlformats.org/officeDocument/2006/relationships/hyperlink" Target="https://pbs.twimg.com/profile_images/657095542678396928/AMTcv_N8_normal.jpg" TargetMode="External"/><Relationship Id="rId1874" Type="http://schemas.openxmlformats.org/officeDocument/2006/relationships/hyperlink" Target="https://twitter.com/MandosDeBorja" TargetMode="External"/><Relationship Id="rId1875" Type="http://schemas.openxmlformats.org/officeDocument/2006/relationships/hyperlink" Target="https://twitter.com/MandosDeBorja/status/804074196431228928" TargetMode="External"/><Relationship Id="rId4901" Type="http://schemas.openxmlformats.org/officeDocument/2006/relationships/hyperlink" Target="https://twitter.com/debscabana/status/806153995215667201" TargetMode="External"/><Relationship Id="rId1876" Type="http://schemas.openxmlformats.org/officeDocument/2006/relationships/hyperlink" Target="https://pbs.twimg.com/profile_images/798660397729542144/fmlILttv_normal.jpg" TargetMode="External"/><Relationship Id="rId4900" Type="http://schemas.openxmlformats.org/officeDocument/2006/relationships/hyperlink" Target="https://twitter.com/debscabana" TargetMode="External"/><Relationship Id="rId1877" Type="http://schemas.openxmlformats.org/officeDocument/2006/relationships/hyperlink" Target="https://twitter.com/tfesocial" TargetMode="External"/><Relationship Id="rId4903" Type="http://schemas.openxmlformats.org/officeDocument/2006/relationships/hyperlink" Target="https://twitter.com/RincondeCali" TargetMode="External"/><Relationship Id="rId1878" Type="http://schemas.openxmlformats.org/officeDocument/2006/relationships/hyperlink" Target="https://twitter.com/tfesocial/status/804076122979893252" TargetMode="External"/><Relationship Id="rId4902" Type="http://schemas.openxmlformats.org/officeDocument/2006/relationships/hyperlink" Target="https://pbs.twimg.com/profile_images/463689948424437761/Yp1ujMfe_normal.jpeg" TargetMode="External"/><Relationship Id="rId1879" Type="http://schemas.openxmlformats.org/officeDocument/2006/relationships/hyperlink" Target="https://pbs.twimg.com/profile_images/804014331826470912/gox71k9a_normal.jpg" TargetMode="External"/><Relationship Id="rId4905" Type="http://schemas.openxmlformats.org/officeDocument/2006/relationships/hyperlink" Target="https://pbs.twimg.com/profile_images/784730905403330560/cpdXhYxJ_normal.jpg" TargetMode="External"/><Relationship Id="rId4904" Type="http://schemas.openxmlformats.org/officeDocument/2006/relationships/hyperlink" Target="https://twitter.com/RincondeCali/status/806156027775356928" TargetMode="External"/><Relationship Id="rId4907" Type="http://schemas.openxmlformats.org/officeDocument/2006/relationships/hyperlink" Target="https://twitter.com/vickyPL13/status/806158178434093056" TargetMode="External"/><Relationship Id="rId4906" Type="http://schemas.openxmlformats.org/officeDocument/2006/relationships/hyperlink" Target="https://twitter.com/vickyPL13" TargetMode="External"/><Relationship Id="rId4909" Type="http://schemas.openxmlformats.org/officeDocument/2006/relationships/hyperlink" Target="https://twitter.com/dani_smg" TargetMode="External"/><Relationship Id="rId4908" Type="http://schemas.openxmlformats.org/officeDocument/2006/relationships/hyperlink" Target="https://pbs.twimg.com/profile_images/716755864099667970/tcdLQMmZ_normal.jpg" TargetMode="External"/><Relationship Id="rId1870" Type="http://schemas.openxmlformats.org/officeDocument/2006/relationships/hyperlink" Target="https://pbs.twimg.com/profile_images/736692472445865988/4mMMy3k7_normal.jpg" TargetMode="External"/><Relationship Id="rId1871" Type="http://schemas.openxmlformats.org/officeDocument/2006/relationships/hyperlink" Target="https://twitter.com/TheBrandAnalyst" TargetMode="External"/><Relationship Id="rId1872" Type="http://schemas.openxmlformats.org/officeDocument/2006/relationships/hyperlink" Target="https://twitter.com/TheBrandAnalyst/status/804072985191731200" TargetMode="External"/><Relationship Id="rId1862" Type="http://schemas.openxmlformats.org/officeDocument/2006/relationships/hyperlink" Target="https://twitter.com/BritSchoolGC" TargetMode="External"/><Relationship Id="rId1863" Type="http://schemas.openxmlformats.org/officeDocument/2006/relationships/hyperlink" Target="https://twitter.com/BritSchoolGC/status/804069252210786304" TargetMode="External"/><Relationship Id="rId1864" Type="http://schemas.openxmlformats.org/officeDocument/2006/relationships/hyperlink" Target="https://pbs.twimg.com/profile_images/743747412934549504/0IyF4J14_normal.jpg" TargetMode="External"/><Relationship Id="rId1865" Type="http://schemas.openxmlformats.org/officeDocument/2006/relationships/hyperlink" Target="https://twitter.com/luci_sa_" TargetMode="External"/><Relationship Id="rId1866" Type="http://schemas.openxmlformats.org/officeDocument/2006/relationships/hyperlink" Target="https://twitter.com/luci_sa_/status/804069838679396355" TargetMode="External"/><Relationship Id="rId1867" Type="http://schemas.openxmlformats.org/officeDocument/2006/relationships/hyperlink" Target="https://pbs.twimg.com/profile_images/505922142685249537/KghCStCx_normal.jpeg" TargetMode="External"/><Relationship Id="rId1868" Type="http://schemas.openxmlformats.org/officeDocument/2006/relationships/hyperlink" Target="https://twitter.com/PtFilomena" TargetMode="External"/><Relationship Id="rId1869" Type="http://schemas.openxmlformats.org/officeDocument/2006/relationships/hyperlink" Target="https://twitter.com/PtFilomena/status/804071928055078912" TargetMode="External"/><Relationship Id="rId1860" Type="http://schemas.openxmlformats.org/officeDocument/2006/relationships/hyperlink" Target="https://twitter.com/MedCruiseGuide/status/804063898181701632" TargetMode="External"/><Relationship Id="rId1861" Type="http://schemas.openxmlformats.org/officeDocument/2006/relationships/hyperlink" Target="https://pbs.twimg.com/profile_images/805484536301780992/2tho24Rf_normal.jpg" TargetMode="External"/><Relationship Id="rId1810" Type="http://schemas.openxmlformats.org/officeDocument/2006/relationships/hyperlink" Target="https://pbs.twimg.com/profile_images/628119404484689920/yMerjzyW_normal.jpg" TargetMode="External"/><Relationship Id="rId1811" Type="http://schemas.openxmlformats.org/officeDocument/2006/relationships/hyperlink" Target="https://twitter.com/elastword" TargetMode="External"/><Relationship Id="rId1812" Type="http://schemas.openxmlformats.org/officeDocument/2006/relationships/hyperlink" Target="https://twitter.com/elastword/status/804039608618975232" TargetMode="External"/><Relationship Id="rId1813" Type="http://schemas.openxmlformats.org/officeDocument/2006/relationships/hyperlink" Target="https://pbs.twimg.com/profile_images/779785036996415489/a2nilB1d_normal.jpg" TargetMode="External"/><Relationship Id="rId1814" Type="http://schemas.openxmlformats.org/officeDocument/2006/relationships/hyperlink" Target="https://twitter.com/elastword" TargetMode="External"/><Relationship Id="rId1815" Type="http://schemas.openxmlformats.org/officeDocument/2006/relationships/hyperlink" Target="https://twitter.com/elastword/status/804040056595877888" TargetMode="External"/><Relationship Id="rId1816" Type="http://schemas.openxmlformats.org/officeDocument/2006/relationships/hyperlink" Target="https://pbs.twimg.com/profile_images/779785036996415489/a2nilB1d_normal.jpg" TargetMode="External"/><Relationship Id="rId1817" Type="http://schemas.openxmlformats.org/officeDocument/2006/relationships/hyperlink" Target="https://twitter.com/elastword" TargetMode="External"/><Relationship Id="rId1818" Type="http://schemas.openxmlformats.org/officeDocument/2006/relationships/hyperlink" Target="https://twitter.com/elastword/status/804040658906267649" TargetMode="External"/><Relationship Id="rId1819" Type="http://schemas.openxmlformats.org/officeDocument/2006/relationships/hyperlink" Target="https://pbs.twimg.com/profile_images/779785036996415489/a2nilB1d_normal.jpg" TargetMode="External"/><Relationship Id="rId4080" Type="http://schemas.openxmlformats.org/officeDocument/2006/relationships/hyperlink" Target="https://pbs.twimg.com/profile_images/475644614448123904/FiCl2pX4_normal.jpeg" TargetMode="External"/><Relationship Id="rId4082" Type="http://schemas.openxmlformats.org/officeDocument/2006/relationships/hyperlink" Target="https://twitter.com/PaaAlonso/status/805540618483224576" TargetMode="External"/><Relationship Id="rId4081" Type="http://schemas.openxmlformats.org/officeDocument/2006/relationships/hyperlink" Target="https://twitter.com/PaaAlonso" TargetMode="External"/><Relationship Id="rId4084" Type="http://schemas.openxmlformats.org/officeDocument/2006/relationships/hyperlink" Target="https://twitter.com/LesRandosdeCaco" TargetMode="External"/><Relationship Id="rId4083" Type="http://schemas.openxmlformats.org/officeDocument/2006/relationships/hyperlink" Target="https://pbs.twimg.com/profile_images/805098483774590977/3KmJR92J_normal.jpg" TargetMode="External"/><Relationship Id="rId4086" Type="http://schemas.openxmlformats.org/officeDocument/2006/relationships/hyperlink" Target="https://pbs.twimg.com/profile_images/802073872866705408/wMHnHYch_normal.jpg" TargetMode="External"/><Relationship Id="rId4085" Type="http://schemas.openxmlformats.org/officeDocument/2006/relationships/hyperlink" Target="https://twitter.com/LesRandosdeCaco/status/805541381808816132" TargetMode="External"/><Relationship Id="rId4088" Type="http://schemas.openxmlformats.org/officeDocument/2006/relationships/hyperlink" Target="https://twitter.com/MariolaTNFGC84/status/805541855605784581" TargetMode="External"/><Relationship Id="rId4087" Type="http://schemas.openxmlformats.org/officeDocument/2006/relationships/hyperlink" Target="https://twitter.com/MariolaTNFGC84" TargetMode="External"/><Relationship Id="rId4089" Type="http://schemas.openxmlformats.org/officeDocument/2006/relationships/hyperlink" Target="https://pbs.twimg.com/profile_images/765266327804190720/3kytWWcC_normal.jpg" TargetMode="External"/><Relationship Id="rId1800" Type="http://schemas.openxmlformats.org/officeDocument/2006/relationships/hyperlink" Target="https://twitter.com/lisiteasa/status/804037973599784960" TargetMode="External"/><Relationship Id="rId1801" Type="http://schemas.openxmlformats.org/officeDocument/2006/relationships/hyperlink" Target="https://pbs.twimg.com/profile_images/453186198161608705/-GokHl9z_normal.jpeg" TargetMode="External"/><Relationship Id="rId1802" Type="http://schemas.openxmlformats.org/officeDocument/2006/relationships/hyperlink" Target="https://twitter.com/elastword" TargetMode="External"/><Relationship Id="rId1803" Type="http://schemas.openxmlformats.org/officeDocument/2006/relationships/hyperlink" Target="https://twitter.com/elastword/status/804038460625432576" TargetMode="External"/><Relationship Id="rId1804" Type="http://schemas.openxmlformats.org/officeDocument/2006/relationships/hyperlink" Target="https://pbs.twimg.com/profile_images/779785036996415489/a2nilB1d_normal.jpg" TargetMode="External"/><Relationship Id="rId1805" Type="http://schemas.openxmlformats.org/officeDocument/2006/relationships/hyperlink" Target="https://twitter.com/elastword" TargetMode="External"/><Relationship Id="rId1806" Type="http://schemas.openxmlformats.org/officeDocument/2006/relationships/hyperlink" Target="https://twitter.com/elastword/status/804039131101675520" TargetMode="External"/><Relationship Id="rId1807" Type="http://schemas.openxmlformats.org/officeDocument/2006/relationships/hyperlink" Target="https://pbs.twimg.com/profile_images/779785036996415489/a2nilB1d_normal.jpg" TargetMode="External"/><Relationship Id="rId1808" Type="http://schemas.openxmlformats.org/officeDocument/2006/relationships/hyperlink" Target="https://twitter.com/HugoFigBla" TargetMode="External"/><Relationship Id="rId1809" Type="http://schemas.openxmlformats.org/officeDocument/2006/relationships/hyperlink" Target="https://twitter.com/HugoFigBla/status/804039450259030021" TargetMode="External"/><Relationship Id="rId4071" Type="http://schemas.openxmlformats.org/officeDocument/2006/relationships/hyperlink" Target="https://pbs.twimg.com/profile_images/789364630850240512/Mw90qAlM_normal.jpg" TargetMode="External"/><Relationship Id="rId4070" Type="http://schemas.openxmlformats.org/officeDocument/2006/relationships/hyperlink" Target="https://twitter.com/paisajecanario/status/805536369896521729" TargetMode="External"/><Relationship Id="rId4073" Type="http://schemas.openxmlformats.org/officeDocument/2006/relationships/hyperlink" Target="https://twitter.com/MarthaSandovalR/status/805536993551745029" TargetMode="External"/><Relationship Id="rId4072" Type="http://schemas.openxmlformats.org/officeDocument/2006/relationships/hyperlink" Target="https://twitter.com/MarthaSandovalR" TargetMode="External"/><Relationship Id="rId4075" Type="http://schemas.openxmlformats.org/officeDocument/2006/relationships/hyperlink" Target="https://twitter.com/Tenerifelicidad" TargetMode="External"/><Relationship Id="rId4074" Type="http://schemas.openxmlformats.org/officeDocument/2006/relationships/hyperlink" Target="https://pbs.twimg.com/profile_images/799807995517530113/95wfwtkN_normal.jpg" TargetMode="External"/><Relationship Id="rId4077" Type="http://schemas.openxmlformats.org/officeDocument/2006/relationships/hyperlink" Target="https://pbs.twimg.com/profile_images/776911721281781760/pyZR1pJ3_normal.jpg" TargetMode="External"/><Relationship Id="rId4076" Type="http://schemas.openxmlformats.org/officeDocument/2006/relationships/hyperlink" Target="https://twitter.com/Tenerifelicidad/status/805540422776922112" TargetMode="External"/><Relationship Id="rId4079" Type="http://schemas.openxmlformats.org/officeDocument/2006/relationships/hyperlink" Target="https://twitter.com/holyber/status/805540483892178944" TargetMode="External"/><Relationship Id="rId4078" Type="http://schemas.openxmlformats.org/officeDocument/2006/relationships/hyperlink" Target="https://twitter.com/holyber" TargetMode="External"/><Relationship Id="rId1830" Type="http://schemas.openxmlformats.org/officeDocument/2006/relationships/hyperlink" Target="https://twitter.com/flormar4141/status/804043861190385664" TargetMode="External"/><Relationship Id="rId1831" Type="http://schemas.openxmlformats.org/officeDocument/2006/relationships/hyperlink" Target="https://pbs.twimg.com/profile_images/698938993665253376/C6mN6wKo_normal.jpg" TargetMode="External"/><Relationship Id="rId1832" Type="http://schemas.openxmlformats.org/officeDocument/2006/relationships/hyperlink" Target="https://twitter.com/holyber" TargetMode="External"/><Relationship Id="rId1833" Type="http://schemas.openxmlformats.org/officeDocument/2006/relationships/hyperlink" Target="https://twitter.com/holyber/status/804044074105864192" TargetMode="External"/><Relationship Id="rId1834" Type="http://schemas.openxmlformats.org/officeDocument/2006/relationships/hyperlink" Target="https://pbs.twimg.com/profile_images/475644614448123904/FiCl2pX4_normal.jpeg" TargetMode="External"/><Relationship Id="rId1835" Type="http://schemas.openxmlformats.org/officeDocument/2006/relationships/hyperlink" Target="https://twitter.com/enduriaholidays" TargetMode="External"/><Relationship Id="rId1836" Type="http://schemas.openxmlformats.org/officeDocument/2006/relationships/hyperlink" Target="https://twitter.com/enduriaholidays/status/804044955698266126" TargetMode="External"/><Relationship Id="rId1837" Type="http://schemas.openxmlformats.org/officeDocument/2006/relationships/hyperlink" Target="https://pbs.twimg.com/profile_images/726026649356128258/xCSaP1IW_normal.jpg" TargetMode="External"/><Relationship Id="rId1838" Type="http://schemas.openxmlformats.org/officeDocument/2006/relationships/hyperlink" Target="https://twitter.com/doeseatoat" TargetMode="External"/><Relationship Id="rId1839" Type="http://schemas.openxmlformats.org/officeDocument/2006/relationships/hyperlink" Target="https://twitter.com/doeseatoat/status/804046143705452549" TargetMode="External"/><Relationship Id="rId1820" Type="http://schemas.openxmlformats.org/officeDocument/2006/relationships/hyperlink" Target="https://twitter.com/MedCruiseGuide" TargetMode="External"/><Relationship Id="rId1821" Type="http://schemas.openxmlformats.org/officeDocument/2006/relationships/hyperlink" Target="https://twitter.com/MedCruiseGuide/status/804041442112995328" TargetMode="External"/><Relationship Id="rId1822" Type="http://schemas.openxmlformats.org/officeDocument/2006/relationships/hyperlink" Target="https://pbs.twimg.com/profile_images/805484536301780992/2tho24Rf_normal.jpg" TargetMode="External"/><Relationship Id="rId1823" Type="http://schemas.openxmlformats.org/officeDocument/2006/relationships/hyperlink" Target="https://twitter.com/CanaryIslandsEN" TargetMode="External"/><Relationship Id="rId1824" Type="http://schemas.openxmlformats.org/officeDocument/2006/relationships/hyperlink" Target="https://twitter.com/CanaryIslandsEN/status/804042346023288841" TargetMode="External"/><Relationship Id="rId1825" Type="http://schemas.openxmlformats.org/officeDocument/2006/relationships/hyperlink" Target="https://pbs.twimg.com/profile_images/754960714704584704/14dQxsF8_normal.jpg" TargetMode="External"/><Relationship Id="rId1826" Type="http://schemas.openxmlformats.org/officeDocument/2006/relationships/hyperlink" Target="https://twitter.com/NicholasBWood" TargetMode="External"/><Relationship Id="rId1827" Type="http://schemas.openxmlformats.org/officeDocument/2006/relationships/hyperlink" Target="https://twitter.com/NicholasBWood/status/804043495979810816" TargetMode="External"/><Relationship Id="rId1828" Type="http://schemas.openxmlformats.org/officeDocument/2006/relationships/hyperlink" Target="https://pbs.twimg.com/profile_images/739951889446506496/_jSJEwAW_normal.jpg" TargetMode="External"/><Relationship Id="rId1829" Type="http://schemas.openxmlformats.org/officeDocument/2006/relationships/hyperlink" Target="https://twitter.com/flormar4141" TargetMode="External"/><Relationship Id="rId4091" Type="http://schemas.openxmlformats.org/officeDocument/2006/relationships/hyperlink" Target="https://twitter.com/staysure/status/805547429940629504" TargetMode="External"/><Relationship Id="rId4090" Type="http://schemas.openxmlformats.org/officeDocument/2006/relationships/hyperlink" Target="https://twitter.com/staysure" TargetMode="External"/><Relationship Id="rId4093" Type="http://schemas.openxmlformats.org/officeDocument/2006/relationships/hyperlink" Target="https://twitter.com/Mari_Ramos_" TargetMode="External"/><Relationship Id="rId4092" Type="http://schemas.openxmlformats.org/officeDocument/2006/relationships/hyperlink" Target="https://pbs.twimg.com/profile_images/458967659401330688/3F-D0CRc_normal.jpeg" TargetMode="External"/><Relationship Id="rId4095" Type="http://schemas.openxmlformats.org/officeDocument/2006/relationships/hyperlink" Target="https://pbs.twimg.com/profile_images/794679362788478977/dOKv-_FP_normal.jpg" TargetMode="External"/><Relationship Id="rId4094" Type="http://schemas.openxmlformats.org/officeDocument/2006/relationships/hyperlink" Target="https://twitter.com/Mari_Ramos_/status/805547661038325761" TargetMode="External"/><Relationship Id="rId4097" Type="http://schemas.openxmlformats.org/officeDocument/2006/relationships/hyperlink" Target="https://twitter.com/Canary_Islander/status/805560386586025984" TargetMode="External"/><Relationship Id="rId4096" Type="http://schemas.openxmlformats.org/officeDocument/2006/relationships/hyperlink" Target="https://twitter.com/Canary_Islander" TargetMode="External"/><Relationship Id="rId4099" Type="http://schemas.openxmlformats.org/officeDocument/2006/relationships/hyperlink" Target="https://twitter.com/RubeOsorios" TargetMode="External"/><Relationship Id="rId4098" Type="http://schemas.openxmlformats.org/officeDocument/2006/relationships/hyperlink" Target="https://pbs.twimg.com/profile_images/747514561314623488/XS73-n8K_normal.jpg" TargetMode="External"/><Relationship Id="rId2302" Type="http://schemas.openxmlformats.org/officeDocument/2006/relationships/hyperlink" Target="https://twitter.com/mollymacneil/status/804372017927647232" TargetMode="External"/><Relationship Id="rId3634" Type="http://schemas.openxmlformats.org/officeDocument/2006/relationships/hyperlink" Target="https://twitter.com/pennainviaggio" TargetMode="External"/><Relationship Id="rId4965" Type="http://schemas.openxmlformats.org/officeDocument/2006/relationships/hyperlink" Target="https://twitter.com/jorelcuomo/status/806175391706595328" TargetMode="External"/><Relationship Id="rId2303" Type="http://schemas.openxmlformats.org/officeDocument/2006/relationships/hyperlink" Target="https://pbs.twimg.com/profile_images/635103931127959553/vPLphnVQ_normal.jpg" TargetMode="External"/><Relationship Id="rId3633" Type="http://schemas.openxmlformats.org/officeDocument/2006/relationships/hyperlink" Target="https://pbs.twimg.com/profile_images/755285257864278016/0TExxPPd_normal.jpg" TargetMode="External"/><Relationship Id="rId4964" Type="http://schemas.openxmlformats.org/officeDocument/2006/relationships/hyperlink" Target="https://twitter.com/jorelcuomo" TargetMode="External"/><Relationship Id="rId2304" Type="http://schemas.openxmlformats.org/officeDocument/2006/relationships/hyperlink" Target="https://twitter.com/CanaryIslandsEN" TargetMode="External"/><Relationship Id="rId3636" Type="http://schemas.openxmlformats.org/officeDocument/2006/relationships/hyperlink" Target="https://pbs.twimg.com/profile_images/778285197913690112/CwwEQY_t_normal.jpg" TargetMode="External"/><Relationship Id="rId4967" Type="http://schemas.openxmlformats.org/officeDocument/2006/relationships/hyperlink" Target="https://twitter.com/karl_louis_" TargetMode="External"/><Relationship Id="rId2305" Type="http://schemas.openxmlformats.org/officeDocument/2006/relationships/hyperlink" Target="https://twitter.com/CanaryIslandsEN/status/804374542131019776" TargetMode="External"/><Relationship Id="rId3635" Type="http://schemas.openxmlformats.org/officeDocument/2006/relationships/hyperlink" Target="https://twitter.com/pennainviaggio/status/805302599356387329" TargetMode="External"/><Relationship Id="rId4966" Type="http://schemas.openxmlformats.org/officeDocument/2006/relationships/hyperlink" Target="https://pbs.twimg.com/profile_images/701543434570452993/AjiBu4im_normal.jpg" TargetMode="External"/><Relationship Id="rId2306" Type="http://schemas.openxmlformats.org/officeDocument/2006/relationships/hyperlink" Target="https://pbs.twimg.com/profile_images/754960714704584704/14dQxsF8_normal.jpg" TargetMode="External"/><Relationship Id="rId3638" Type="http://schemas.openxmlformats.org/officeDocument/2006/relationships/hyperlink" Target="https://twitter.com/Nano87Moon/status/805304031463604224" TargetMode="External"/><Relationship Id="rId4969" Type="http://schemas.openxmlformats.org/officeDocument/2006/relationships/hyperlink" Target="https://pbs.twimg.com/profile_images/688752497834459136/kDW9yvUQ_normal.jpg" TargetMode="External"/><Relationship Id="rId2307" Type="http://schemas.openxmlformats.org/officeDocument/2006/relationships/hyperlink" Target="https://twitter.com/Luci_Ducci" TargetMode="External"/><Relationship Id="rId3637" Type="http://schemas.openxmlformats.org/officeDocument/2006/relationships/hyperlink" Target="https://twitter.com/Nano87Moon" TargetMode="External"/><Relationship Id="rId4968" Type="http://schemas.openxmlformats.org/officeDocument/2006/relationships/hyperlink" Target="https://twitter.com/karl_louis_/status/806176131909120001" TargetMode="External"/><Relationship Id="rId2308" Type="http://schemas.openxmlformats.org/officeDocument/2006/relationships/hyperlink" Target="https://twitter.com/Luci_Ducci/status/804378908271505410" TargetMode="External"/><Relationship Id="rId2309" Type="http://schemas.openxmlformats.org/officeDocument/2006/relationships/hyperlink" Target="https://pbs.twimg.com/profile_images/762044182034804736/oDNgzt2O_normal.jpg" TargetMode="External"/><Relationship Id="rId3639" Type="http://schemas.openxmlformats.org/officeDocument/2006/relationships/hyperlink" Target="https://pbs.twimg.com/profile_images/805417760993910784/mctZ82yF_normal.jpg" TargetMode="External"/><Relationship Id="rId3630" Type="http://schemas.openxmlformats.org/officeDocument/2006/relationships/hyperlink" Target="https://pbs.twimg.com/profile_images/765920886100721665/eyVSgAji_normal.jpg" TargetMode="External"/><Relationship Id="rId4961" Type="http://schemas.openxmlformats.org/officeDocument/2006/relationships/hyperlink" Target="https://twitter.com/RLGieling" TargetMode="External"/><Relationship Id="rId4960" Type="http://schemas.openxmlformats.org/officeDocument/2006/relationships/hyperlink" Target="https://pbs.twimg.com/profile_images/755672765752025088/Bz8Zg7r8_normal.jpg" TargetMode="External"/><Relationship Id="rId2300" Type="http://schemas.openxmlformats.org/officeDocument/2006/relationships/hyperlink" Target="https://pbs.twimg.com/profile_images/1617162796/S4010009_normal.JPG" TargetMode="External"/><Relationship Id="rId3632" Type="http://schemas.openxmlformats.org/officeDocument/2006/relationships/hyperlink" Target="https://twitter.com/Juancarfg/status/805289559831486464" TargetMode="External"/><Relationship Id="rId4963" Type="http://schemas.openxmlformats.org/officeDocument/2006/relationships/hyperlink" Target="https://pbs.twimg.com/profile_images/739040004022935556/1zrwUw2h_normal.jpg" TargetMode="External"/><Relationship Id="rId2301" Type="http://schemas.openxmlformats.org/officeDocument/2006/relationships/hyperlink" Target="https://twitter.com/mollymacneil" TargetMode="External"/><Relationship Id="rId3631" Type="http://schemas.openxmlformats.org/officeDocument/2006/relationships/hyperlink" Target="https://twitter.com/Juancarfg" TargetMode="External"/><Relationship Id="rId4962" Type="http://schemas.openxmlformats.org/officeDocument/2006/relationships/hyperlink" Target="https://twitter.com/RLGieling/status/806175290019946496" TargetMode="External"/><Relationship Id="rId3623" Type="http://schemas.openxmlformats.org/officeDocument/2006/relationships/hyperlink" Target="https://twitter.com/MedCruiseGuide/status/805275656552587264" TargetMode="External"/><Relationship Id="rId4954" Type="http://schemas.openxmlformats.org/officeDocument/2006/relationships/hyperlink" Target="https://pbs.twimg.com/profile_images/739234446042267648/yk-lxIZS_normal.jpg" TargetMode="External"/><Relationship Id="rId3622" Type="http://schemas.openxmlformats.org/officeDocument/2006/relationships/hyperlink" Target="https://twitter.com/MedCruiseGuide" TargetMode="External"/><Relationship Id="rId4953" Type="http://schemas.openxmlformats.org/officeDocument/2006/relationships/hyperlink" Target="https://twitter.com/73Tonymoes/status/806173351295283200" TargetMode="External"/><Relationship Id="rId3625" Type="http://schemas.openxmlformats.org/officeDocument/2006/relationships/hyperlink" Target="https://twitter.com/toyoutoo" TargetMode="External"/><Relationship Id="rId4956" Type="http://schemas.openxmlformats.org/officeDocument/2006/relationships/hyperlink" Target="https://twitter.com/Vega_Guayadeque/status/806174166135148544" TargetMode="External"/><Relationship Id="rId3624" Type="http://schemas.openxmlformats.org/officeDocument/2006/relationships/hyperlink" Target="https://pbs.twimg.com/profile_images/805484536301780992/2tho24Rf_normal.jpg" TargetMode="External"/><Relationship Id="rId4955" Type="http://schemas.openxmlformats.org/officeDocument/2006/relationships/hyperlink" Target="https://twitter.com/Vega_Guayadeque" TargetMode="External"/><Relationship Id="rId3627" Type="http://schemas.openxmlformats.org/officeDocument/2006/relationships/hyperlink" Target="https://pbs.twimg.com/profile_images/3493825737/c3c0ed02be4ecdcbb4e9e900dd1358c2_normal.png" TargetMode="External"/><Relationship Id="rId4958" Type="http://schemas.openxmlformats.org/officeDocument/2006/relationships/hyperlink" Target="https://twitter.com/Vega_Guayadeque" TargetMode="External"/><Relationship Id="rId3626" Type="http://schemas.openxmlformats.org/officeDocument/2006/relationships/hyperlink" Target="https://twitter.com/toyoutoo/status/805283594268798976" TargetMode="External"/><Relationship Id="rId4957" Type="http://schemas.openxmlformats.org/officeDocument/2006/relationships/hyperlink" Target="https://pbs.twimg.com/profile_images/755672765752025088/Bz8Zg7r8_normal.jpg" TargetMode="External"/><Relationship Id="rId3629" Type="http://schemas.openxmlformats.org/officeDocument/2006/relationships/hyperlink" Target="https://twitter.com/cindyt66/status/805285994513788928" TargetMode="External"/><Relationship Id="rId3628" Type="http://schemas.openxmlformats.org/officeDocument/2006/relationships/hyperlink" Target="https://twitter.com/cindyt66" TargetMode="External"/><Relationship Id="rId4959" Type="http://schemas.openxmlformats.org/officeDocument/2006/relationships/hyperlink" Target="https://twitter.com/Vega_Guayadeque/status/806174219235004416" TargetMode="External"/><Relationship Id="rId4950" Type="http://schemas.openxmlformats.org/officeDocument/2006/relationships/hyperlink" Target="https://twitter.com/Anabelquime/status/806172749358133250" TargetMode="External"/><Relationship Id="rId3621" Type="http://schemas.openxmlformats.org/officeDocument/2006/relationships/hyperlink" Target="https://pbs.twimg.com/profile_images/531078180296491008/8F8ir0ox_normal.png" TargetMode="External"/><Relationship Id="rId4952" Type="http://schemas.openxmlformats.org/officeDocument/2006/relationships/hyperlink" Target="https://twitter.com/73Tonymoes" TargetMode="External"/><Relationship Id="rId3620" Type="http://schemas.openxmlformats.org/officeDocument/2006/relationships/hyperlink" Target="https://twitter.com/SergeyToropov/status/805268289479999488" TargetMode="External"/><Relationship Id="rId4951" Type="http://schemas.openxmlformats.org/officeDocument/2006/relationships/hyperlink" Target="https://pbs.twimg.com/profile_images/723966901026734081/lrvaGt_P_normal.jpg" TargetMode="External"/><Relationship Id="rId2324" Type="http://schemas.openxmlformats.org/officeDocument/2006/relationships/hyperlink" Target="https://pbs.twimg.com/profile_images/783793821234651136/01e22aGG_normal.jpg" TargetMode="External"/><Relationship Id="rId3656" Type="http://schemas.openxmlformats.org/officeDocument/2006/relationships/hyperlink" Target="https://twitter.com/mar91rock/status/805333129976287232" TargetMode="External"/><Relationship Id="rId4987" Type="http://schemas.openxmlformats.org/officeDocument/2006/relationships/hyperlink" Target="https://pbs.twimg.com/profile_images/530724422085132288/a6DCavsq_normal.png" TargetMode="External"/><Relationship Id="rId2325" Type="http://schemas.openxmlformats.org/officeDocument/2006/relationships/hyperlink" Target="https://twitter.com/JPinFuerte" TargetMode="External"/><Relationship Id="rId3655" Type="http://schemas.openxmlformats.org/officeDocument/2006/relationships/hyperlink" Target="https://twitter.com/mar91rock" TargetMode="External"/><Relationship Id="rId4986" Type="http://schemas.openxmlformats.org/officeDocument/2006/relationships/hyperlink" Target="https://twitter.com/canariashub/status/806190220899139584" TargetMode="External"/><Relationship Id="rId2326" Type="http://schemas.openxmlformats.org/officeDocument/2006/relationships/hyperlink" Target="https://twitter.com/JPinFuerte/status/804396322916855808" TargetMode="External"/><Relationship Id="rId3658" Type="http://schemas.openxmlformats.org/officeDocument/2006/relationships/hyperlink" Target="https://twitter.com/Teclemdz" TargetMode="External"/><Relationship Id="rId4989" Type="http://schemas.openxmlformats.org/officeDocument/2006/relationships/hyperlink" Target="https://twitter.com/WhyTenerife/status/806191586564567042" TargetMode="External"/><Relationship Id="rId2327" Type="http://schemas.openxmlformats.org/officeDocument/2006/relationships/hyperlink" Target="https://pbs.twimg.com/profile_images/738321624227811328/MRgGnTUp_normal.jpg" TargetMode="External"/><Relationship Id="rId3657" Type="http://schemas.openxmlformats.org/officeDocument/2006/relationships/hyperlink" Target="https://pbs.twimg.com/profile_images/805180430383280128/jYCun-2T_normal.jpg" TargetMode="External"/><Relationship Id="rId4988" Type="http://schemas.openxmlformats.org/officeDocument/2006/relationships/hyperlink" Target="https://twitter.com/WhyTenerife" TargetMode="External"/><Relationship Id="rId2328" Type="http://schemas.openxmlformats.org/officeDocument/2006/relationships/hyperlink" Target="https://twitter.com/Ramon_SuarezO" TargetMode="External"/><Relationship Id="rId2329" Type="http://schemas.openxmlformats.org/officeDocument/2006/relationships/hyperlink" Target="https://twitter.com/Ramon_SuarezO/status/804397887518023680" TargetMode="External"/><Relationship Id="rId3659" Type="http://schemas.openxmlformats.org/officeDocument/2006/relationships/hyperlink" Target="https://twitter.com/Teclemdz/status/805333787529846784" TargetMode="External"/><Relationship Id="rId3650" Type="http://schemas.openxmlformats.org/officeDocument/2006/relationships/hyperlink" Target="https://twitter.com/Teclemdz/status/805322741473804288" TargetMode="External"/><Relationship Id="rId4981" Type="http://schemas.openxmlformats.org/officeDocument/2006/relationships/hyperlink" Target="https://pbs.twimg.com/profile_images/785792860159434752/IOmz4E8G_normal.jpg" TargetMode="External"/><Relationship Id="rId4980" Type="http://schemas.openxmlformats.org/officeDocument/2006/relationships/hyperlink" Target="https://twitter.com/packmytour/status/806182487005208576" TargetMode="External"/><Relationship Id="rId2320" Type="http://schemas.openxmlformats.org/officeDocument/2006/relationships/hyperlink" Target="https://twitter.com/MattHills_TC/status/804386721228062721" TargetMode="External"/><Relationship Id="rId3652" Type="http://schemas.openxmlformats.org/officeDocument/2006/relationships/hyperlink" Target="https://twitter.com/SuneHolidays" TargetMode="External"/><Relationship Id="rId4983" Type="http://schemas.openxmlformats.org/officeDocument/2006/relationships/hyperlink" Target="https://twitter.com/cruisetravelbug/status/806188747221893120" TargetMode="External"/><Relationship Id="rId2321" Type="http://schemas.openxmlformats.org/officeDocument/2006/relationships/hyperlink" Target="https://pbs.twimg.com/profile_images/773865749974749184/Ob99ivaR_normal.jpg" TargetMode="External"/><Relationship Id="rId3651" Type="http://schemas.openxmlformats.org/officeDocument/2006/relationships/hyperlink" Target="https://pbs.twimg.com/profile_images/488434731617230848/VVpFBnBi_normal.jpeg" TargetMode="External"/><Relationship Id="rId4982" Type="http://schemas.openxmlformats.org/officeDocument/2006/relationships/hyperlink" Target="https://twitter.com/cruisetravelbug" TargetMode="External"/><Relationship Id="rId2322" Type="http://schemas.openxmlformats.org/officeDocument/2006/relationships/hyperlink" Target="https://twitter.com/Tenerife_Photo" TargetMode="External"/><Relationship Id="rId3654" Type="http://schemas.openxmlformats.org/officeDocument/2006/relationships/hyperlink" Target="https://pbs.twimg.com/profile_images/686922727480029184/9ztyb32p_normal.jpg" TargetMode="External"/><Relationship Id="rId4985" Type="http://schemas.openxmlformats.org/officeDocument/2006/relationships/hyperlink" Target="https://twitter.com/canariashub" TargetMode="External"/><Relationship Id="rId2323" Type="http://schemas.openxmlformats.org/officeDocument/2006/relationships/hyperlink" Target="https://twitter.com/Tenerife_Photo/status/804388704164999168" TargetMode="External"/><Relationship Id="rId3653" Type="http://schemas.openxmlformats.org/officeDocument/2006/relationships/hyperlink" Target="https://twitter.com/SuneHolidays/status/805328287404736512" TargetMode="External"/><Relationship Id="rId4984" Type="http://schemas.openxmlformats.org/officeDocument/2006/relationships/hyperlink" Target="https://pbs.twimg.com/profile_images/3533125080/bce506206c65a90c3d9c5a40d37caf7e_normal.jpeg" TargetMode="External"/><Relationship Id="rId2313" Type="http://schemas.openxmlformats.org/officeDocument/2006/relationships/hyperlink" Target="https://twitter.com/litrema" TargetMode="External"/><Relationship Id="rId3645" Type="http://schemas.openxmlformats.org/officeDocument/2006/relationships/hyperlink" Target="https://pbs.twimg.com/profile_images/798456650600448000/ZOBR9qz4_normal.jpg" TargetMode="External"/><Relationship Id="rId4976" Type="http://schemas.openxmlformats.org/officeDocument/2006/relationships/hyperlink" Target="https://twitter.com/LaPalmaFilm" TargetMode="External"/><Relationship Id="rId2314" Type="http://schemas.openxmlformats.org/officeDocument/2006/relationships/hyperlink" Target="https://twitter.com/litrema/status/804383389495230464" TargetMode="External"/><Relationship Id="rId3644" Type="http://schemas.openxmlformats.org/officeDocument/2006/relationships/hyperlink" Target="https://twitter.com/northbeach26/status/805313318697259008" TargetMode="External"/><Relationship Id="rId4975" Type="http://schemas.openxmlformats.org/officeDocument/2006/relationships/hyperlink" Target="https://pbs.twimg.com/profile_images/598112763890823168/Lfk5ONzs_normal.jpg" TargetMode="External"/><Relationship Id="rId2315" Type="http://schemas.openxmlformats.org/officeDocument/2006/relationships/hyperlink" Target="https://pbs.twimg.com/profile_images/804782735277641728/xkih5XQH_normal.jpg" TargetMode="External"/><Relationship Id="rId3647" Type="http://schemas.openxmlformats.org/officeDocument/2006/relationships/hyperlink" Target="https://twitter.com/Johnalanpick/status/805320852203896832" TargetMode="External"/><Relationship Id="rId4978" Type="http://schemas.openxmlformats.org/officeDocument/2006/relationships/hyperlink" Target="https://pbs.twimg.com/profile_images/590460795626070016/OSl0w52s_normal.jpg" TargetMode="External"/><Relationship Id="rId2316" Type="http://schemas.openxmlformats.org/officeDocument/2006/relationships/hyperlink" Target="https://twitter.com/Teclemdz" TargetMode="External"/><Relationship Id="rId3646" Type="http://schemas.openxmlformats.org/officeDocument/2006/relationships/hyperlink" Target="https://twitter.com/Johnalanpick" TargetMode="External"/><Relationship Id="rId4977" Type="http://schemas.openxmlformats.org/officeDocument/2006/relationships/hyperlink" Target="https://twitter.com/LaPalmaFilm/status/806179604578926592" TargetMode="External"/><Relationship Id="rId2317" Type="http://schemas.openxmlformats.org/officeDocument/2006/relationships/hyperlink" Target="https://twitter.com/Teclemdz/status/804385602200358913" TargetMode="External"/><Relationship Id="rId3649" Type="http://schemas.openxmlformats.org/officeDocument/2006/relationships/hyperlink" Target="https://twitter.com/Teclemdz" TargetMode="External"/><Relationship Id="rId2318" Type="http://schemas.openxmlformats.org/officeDocument/2006/relationships/hyperlink" Target="https://pbs.twimg.com/profile_images/488434731617230848/VVpFBnBi_normal.jpeg" TargetMode="External"/><Relationship Id="rId3648" Type="http://schemas.openxmlformats.org/officeDocument/2006/relationships/hyperlink" Target="https://pbs.twimg.com/profile_images/721987658449305600/1WmSYuM-_normal.jpg" TargetMode="External"/><Relationship Id="rId4979" Type="http://schemas.openxmlformats.org/officeDocument/2006/relationships/hyperlink" Target="https://twitter.com/packmytour" TargetMode="External"/><Relationship Id="rId2319" Type="http://schemas.openxmlformats.org/officeDocument/2006/relationships/hyperlink" Target="https://twitter.com/MattHills_TC" TargetMode="External"/><Relationship Id="rId4970" Type="http://schemas.openxmlformats.org/officeDocument/2006/relationships/hyperlink" Target="https://twitter.com/WhyTenerife" TargetMode="External"/><Relationship Id="rId3641" Type="http://schemas.openxmlformats.org/officeDocument/2006/relationships/hyperlink" Target="https://twitter.com/migueLSDD/status/805311189244932096" TargetMode="External"/><Relationship Id="rId4972" Type="http://schemas.openxmlformats.org/officeDocument/2006/relationships/hyperlink" Target="https://pbs.twimg.com/profile_images/3028478382/e0bedb7d8a4a7b62521ecf9d476445ff_normal.png" TargetMode="External"/><Relationship Id="rId2310" Type="http://schemas.openxmlformats.org/officeDocument/2006/relationships/hyperlink" Target="https://twitter.com/41eynur" TargetMode="External"/><Relationship Id="rId3640" Type="http://schemas.openxmlformats.org/officeDocument/2006/relationships/hyperlink" Target="https://twitter.com/migueLSDD" TargetMode="External"/><Relationship Id="rId4971" Type="http://schemas.openxmlformats.org/officeDocument/2006/relationships/hyperlink" Target="https://twitter.com/WhyTenerife/status/806176146786287616" TargetMode="External"/><Relationship Id="rId2311" Type="http://schemas.openxmlformats.org/officeDocument/2006/relationships/hyperlink" Target="https://twitter.com/41eynur/status/804380040968409088" TargetMode="External"/><Relationship Id="rId3643" Type="http://schemas.openxmlformats.org/officeDocument/2006/relationships/hyperlink" Target="https://twitter.com/northbeach26" TargetMode="External"/><Relationship Id="rId4974" Type="http://schemas.openxmlformats.org/officeDocument/2006/relationships/hyperlink" Target="https://twitter.com/tlgfocus/status/806179563524988928" TargetMode="External"/><Relationship Id="rId2312" Type="http://schemas.openxmlformats.org/officeDocument/2006/relationships/hyperlink" Target="https://pbs.twimg.com/profile_images/705297346964361216/0mCFqfmj_normal.jpg" TargetMode="External"/><Relationship Id="rId3642" Type="http://schemas.openxmlformats.org/officeDocument/2006/relationships/hyperlink" Target="https://pbs.twimg.com/profile_images/719910856969089025/MNdqkp___normal.jpg" TargetMode="External"/><Relationship Id="rId4973" Type="http://schemas.openxmlformats.org/officeDocument/2006/relationships/hyperlink" Target="https://twitter.com/tlgfocus" TargetMode="External"/><Relationship Id="rId1895" Type="http://schemas.openxmlformats.org/officeDocument/2006/relationships/hyperlink" Target="https://twitter.com/FlavoursandFros" TargetMode="External"/><Relationship Id="rId4921" Type="http://schemas.openxmlformats.org/officeDocument/2006/relationships/hyperlink" Target="https://pbs.twimg.com/profile_images/794673952400506880/uN8nc4wX_normal.jpg" TargetMode="External"/><Relationship Id="rId1896" Type="http://schemas.openxmlformats.org/officeDocument/2006/relationships/hyperlink" Target="https://twitter.com/FlavoursandFros/status/804090295822548994" TargetMode="External"/><Relationship Id="rId4920" Type="http://schemas.openxmlformats.org/officeDocument/2006/relationships/hyperlink" Target="https://twitter.com/1000meilenwind/status/806162537628766208" TargetMode="External"/><Relationship Id="rId1897" Type="http://schemas.openxmlformats.org/officeDocument/2006/relationships/hyperlink" Target="https://pbs.twimg.com/profile_images/661504929606057984/Q5xrk4Oc_normal.jpg" TargetMode="External"/><Relationship Id="rId4923" Type="http://schemas.openxmlformats.org/officeDocument/2006/relationships/hyperlink" Target="https://twitter.com/MeliaHacienda/status/806162650837254144" TargetMode="External"/><Relationship Id="rId1898" Type="http://schemas.openxmlformats.org/officeDocument/2006/relationships/hyperlink" Target="https://twitter.com/DakotaLatiniqe" TargetMode="External"/><Relationship Id="rId4922" Type="http://schemas.openxmlformats.org/officeDocument/2006/relationships/hyperlink" Target="https://twitter.com/MeliaHacienda" TargetMode="External"/><Relationship Id="rId1899" Type="http://schemas.openxmlformats.org/officeDocument/2006/relationships/hyperlink" Target="https://twitter.com/DakotaLatiniqe/status/804094266213617666" TargetMode="External"/><Relationship Id="rId4925" Type="http://schemas.openxmlformats.org/officeDocument/2006/relationships/hyperlink" Target="https://twitter.com/2to69" TargetMode="External"/><Relationship Id="rId4924" Type="http://schemas.openxmlformats.org/officeDocument/2006/relationships/hyperlink" Target="https://pbs.twimg.com/profile_images/793118609736339456/LMIq_8Rm_normal.jpg" TargetMode="External"/><Relationship Id="rId4927" Type="http://schemas.openxmlformats.org/officeDocument/2006/relationships/hyperlink" Target="https://pbs.twimg.com/profile_images/780389007956013056/qMRcXlUp_normal.jpg" TargetMode="External"/><Relationship Id="rId4926" Type="http://schemas.openxmlformats.org/officeDocument/2006/relationships/hyperlink" Target="https://twitter.com/2to69/status/806162661834637312" TargetMode="External"/><Relationship Id="rId4929" Type="http://schemas.openxmlformats.org/officeDocument/2006/relationships/hyperlink" Target="https://twitter.com/RguezDamian/status/806163083773276160" TargetMode="External"/><Relationship Id="rId4928" Type="http://schemas.openxmlformats.org/officeDocument/2006/relationships/hyperlink" Target="https://twitter.com/RguezDamian" TargetMode="External"/><Relationship Id="rId1890" Type="http://schemas.openxmlformats.org/officeDocument/2006/relationships/hyperlink" Target="https://twitter.com/swisshop4uEs/status/804083155691044864" TargetMode="External"/><Relationship Id="rId1891" Type="http://schemas.openxmlformats.org/officeDocument/2006/relationships/hyperlink" Target="https://pbs.twimg.com/profile_images/378800000213382003/4f562b59f92995b884d2d440f71fc5ce_normal.png" TargetMode="External"/><Relationship Id="rId1892" Type="http://schemas.openxmlformats.org/officeDocument/2006/relationships/hyperlink" Target="https://twitter.com/LesRandosdeCaco" TargetMode="External"/><Relationship Id="rId1893" Type="http://schemas.openxmlformats.org/officeDocument/2006/relationships/hyperlink" Target="https://twitter.com/LesRandosdeCaco/status/804088077174050817" TargetMode="External"/><Relationship Id="rId1894" Type="http://schemas.openxmlformats.org/officeDocument/2006/relationships/hyperlink" Target="https://pbs.twimg.com/profile_images/802073872866705408/wMHnHYch_normal.jpg" TargetMode="External"/><Relationship Id="rId1884" Type="http://schemas.openxmlformats.org/officeDocument/2006/relationships/hyperlink" Target="https://twitter.com/mjlb/status/804080053478944768" TargetMode="External"/><Relationship Id="rId4910" Type="http://schemas.openxmlformats.org/officeDocument/2006/relationships/hyperlink" Target="https://twitter.com/dani_smg/status/806158567539699712" TargetMode="External"/><Relationship Id="rId1885" Type="http://schemas.openxmlformats.org/officeDocument/2006/relationships/hyperlink" Target="https://pbs.twimg.com/profile_images/1531477270/tw_12382722_1315322458_normal.jpg" TargetMode="External"/><Relationship Id="rId1886" Type="http://schemas.openxmlformats.org/officeDocument/2006/relationships/hyperlink" Target="https://twitter.com/GroovyHistorian" TargetMode="External"/><Relationship Id="rId4912" Type="http://schemas.openxmlformats.org/officeDocument/2006/relationships/hyperlink" Target="https://twitter.com/dani_smg" TargetMode="External"/><Relationship Id="rId1887" Type="http://schemas.openxmlformats.org/officeDocument/2006/relationships/hyperlink" Target="https://twitter.com/GroovyHistorian/status/804080738035519489" TargetMode="External"/><Relationship Id="rId4911" Type="http://schemas.openxmlformats.org/officeDocument/2006/relationships/hyperlink" Target="https://pbs.twimg.com/profile_images/779810495826132992/tL8ZWI4x_normal.jpg" TargetMode="External"/><Relationship Id="rId1888" Type="http://schemas.openxmlformats.org/officeDocument/2006/relationships/hyperlink" Target="https://pbs.twimg.com/profile_images/605372808542208000/nanZ1qoJ_normal.jpg" TargetMode="External"/><Relationship Id="rId4914" Type="http://schemas.openxmlformats.org/officeDocument/2006/relationships/hyperlink" Target="https://pbs.twimg.com/profile_images/779810495826132992/tL8ZWI4x_normal.jpg" TargetMode="External"/><Relationship Id="rId1889" Type="http://schemas.openxmlformats.org/officeDocument/2006/relationships/hyperlink" Target="https://twitter.com/swisshop4uEs" TargetMode="External"/><Relationship Id="rId4913" Type="http://schemas.openxmlformats.org/officeDocument/2006/relationships/hyperlink" Target="https://twitter.com/dani_smg/status/806158627002269696" TargetMode="External"/><Relationship Id="rId4916" Type="http://schemas.openxmlformats.org/officeDocument/2006/relationships/hyperlink" Target="https://twitter.com/GemmaEllingsen/status/806161304646025217" TargetMode="External"/><Relationship Id="rId4915" Type="http://schemas.openxmlformats.org/officeDocument/2006/relationships/hyperlink" Target="https://twitter.com/GemmaEllingsen" TargetMode="External"/><Relationship Id="rId4918" Type="http://schemas.openxmlformats.org/officeDocument/2006/relationships/hyperlink" Target="https://twitter.com/1000meilenwind" TargetMode="External"/><Relationship Id="rId4917" Type="http://schemas.openxmlformats.org/officeDocument/2006/relationships/hyperlink" Target="https://pbs.twimg.com/profile_images/793553554363547648/pdBvFm8X_normal.jpg" TargetMode="External"/><Relationship Id="rId4919" Type="http://schemas.openxmlformats.org/officeDocument/2006/relationships/hyperlink" Target="http://1000meilenwind.de" TargetMode="External"/><Relationship Id="rId1880" Type="http://schemas.openxmlformats.org/officeDocument/2006/relationships/hyperlink" Target="https://twitter.com/BSvehlakova" TargetMode="External"/><Relationship Id="rId1881" Type="http://schemas.openxmlformats.org/officeDocument/2006/relationships/hyperlink" Target="https://twitter.com/BSvehlakova/status/804078738166206464" TargetMode="External"/><Relationship Id="rId1882" Type="http://schemas.openxmlformats.org/officeDocument/2006/relationships/hyperlink" Target="https://pbs.twimg.com/profile_images/800387370893930496/syXel_Op_normal.jpg" TargetMode="External"/><Relationship Id="rId1883" Type="http://schemas.openxmlformats.org/officeDocument/2006/relationships/hyperlink" Target="https://twitter.com/mjlb" TargetMode="External"/><Relationship Id="rId3612" Type="http://schemas.openxmlformats.org/officeDocument/2006/relationships/hyperlink" Target="https://pbs.twimg.com/profile_images/378800000627885008/b51d9ec944cb885063df4e4bbb48f3de_normal.jpeg" TargetMode="External"/><Relationship Id="rId4943" Type="http://schemas.openxmlformats.org/officeDocument/2006/relationships/hyperlink" Target="https://twitter.com/Anabelquime" TargetMode="External"/><Relationship Id="rId3611" Type="http://schemas.openxmlformats.org/officeDocument/2006/relationships/hyperlink" Target="https://twitter.com/DipConAA/status/805250609272209408" TargetMode="External"/><Relationship Id="rId4942" Type="http://schemas.openxmlformats.org/officeDocument/2006/relationships/hyperlink" Target="https://pbs.twimg.com/profile_images/707460356315156482/anFthTiX_normal.jpg" TargetMode="External"/><Relationship Id="rId3614" Type="http://schemas.openxmlformats.org/officeDocument/2006/relationships/hyperlink" Target="https://twitter.com/janeljosephine/status/805263431188156417" TargetMode="External"/><Relationship Id="rId4945" Type="http://schemas.openxmlformats.org/officeDocument/2006/relationships/hyperlink" Target="https://pbs.twimg.com/profile_images/723966901026734081/lrvaGt_P_normal.jpg" TargetMode="External"/><Relationship Id="rId3613" Type="http://schemas.openxmlformats.org/officeDocument/2006/relationships/hyperlink" Target="https://twitter.com/janeljosephine" TargetMode="External"/><Relationship Id="rId4944" Type="http://schemas.openxmlformats.org/officeDocument/2006/relationships/hyperlink" Target="https://twitter.com/Anabelquime/status/806172576091439105" TargetMode="External"/><Relationship Id="rId3616" Type="http://schemas.openxmlformats.org/officeDocument/2006/relationships/hyperlink" Target="https://twitter.com/brkguller" TargetMode="External"/><Relationship Id="rId4947" Type="http://schemas.openxmlformats.org/officeDocument/2006/relationships/hyperlink" Target="https://twitter.com/Anabelquime/status/806172627261882368" TargetMode="External"/><Relationship Id="rId3615" Type="http://schemas.openxmlformats.org/officeDocument/2006/relationships/hyperlink" Target="https://pbs.twimg.com/profile_images/793084550565859329/DUA7oTGN_normal.jpg" TargetMode="External"/><Relationship Id="rId4946" Type="http://schemas.openxmlformats.org/officeDocument/2006/relationships/hyperlink" Target="https://twitter.com/Anabelquime" TargetMode="External"/><Relationship Id="rId3618" Type="http://schemas.openxmlformats.org/officeDocument/2006/relationships/hyperlink" Target="https://pbs.twimg.com/profile_images/772186911192612865/Nm02PKGO_normal.jpg" TargetMode="External"/><Relationship Id="rId4949" Type="http://schemas.openxmlformats.org/officeDocument/2006/relationships/hyperlink" Target="https://twitter.com/Anabelquime" TargetMode="External"/><Relationship Id="rId3617" Type="http://schemas.openxmlformats.org/officeDocument/2006/relationships/hyperlink" Target="https://twitter.com/brkguller/status/805266779350171648" TargetMode="External"/><Relationship Id="rId4948" Type="http://schemas.openxmlformats.org/officeDocument/2006/relationships/hyperlink" Target="https://pbs.twimg.com/profile_images/723966901026734081/lrvaGt_P_normal.jpg" TargetMode="External"/><Relationship Id="rId3619" Type="http://schemas.openxmlformats.org/officeDocument/2006/relationships/hyperlink" Target="https://twitter.com/SergeyToropov" TargetMode="External"/><Relationship Id="rId3610" Type="http://schemas.openxmlformats.org/officeDocument/2006/relationships/hyperlink" Target="https://twitter.com/DipConAA" TargetMode="External"/><Relationship Id="rId4941" Type="http://schemas.openxmlformats.org/officeDocument/2006/relationships/hyperlink" Target="https://twitter.com/travelfree_info/status/806170678311403521" TargetMode="External"/><Relationship Id="rId4940" Type="http://schemas.openxmlformats.org/officeDocument/2006/relationships/hyperlink" Target="https://twitter.com/travelfree_info" TargetMode="External"/><Relationship Id="rId3601" Type="http://schemas.openxmlformats.org/officeDocument/2006/relationships/hyperlink" Target="https://twitter.com/NenaBrisel" TargetMode="External"/><Relationship Id="rId4932" Type="http://schemas.openxmlformats.org/officeDocument/2006/relationships/hyperlink" Target="https://twitter.com/CarlosSalinasDJ/status/806164060983164928" TargetMode="External"/><Relationship Id="rId3600" Type="http://schemas.openxmlformats.org/officeDocument/2006/relationships/hyperlink" Target="https://pbs.twimg.com/profile_images/772406657842343937/bwmRm-hq_normal.jpg" TargetMode="External"/><Relationship Id="rId4931" Type="http://schemas.openxmlformats.org/officeDocument/2006/relationships/hyperlink" Target="https://twitter.com/CarlosSalinasDJ" TargetMode="External"/><Relationship Id="rId3603" Type="http://schemas.openxmlformats.org/officeDocument/2006/relationships/hyperlink" Target="https://pbs.twimg.com/profile_images/783328830916325376/V7lSCAUG_normal.jpg" TargetMode="External"/><Relationship Id="rId4934" Type="http://schemas.openxmlformats.org/officeDocument/2006/relationships/hyperlink" Target="https://twitter.com/iBydaute" TargetMode="External"/><Relationship Id="rId3602" Type="http://schemas.openxmlformats.org/officeDocument/2006/relationships/hyperlink" Target="https://twitter.com/NenaBrisel/status/805213386241871873" TargetMode="External"/><Relationship Id="rId4933" Type="http://schemas.openxmlformats.org/officeDocument/2006/relationships/hyperlink" Target="https://pbs.twimg.com/profile_images/784363937336848384/QqiFmWxq_normal.jpg" TargetMode="External"/><Relationship Id="rId3605" Type="http://schemas.openxmlformats.org/officeDocument/2006/relationships/hyperlink" Target="https://twitter.com/SmarkApps/status/805216570125545472" TargetMode="External"/><Relationship Id="rId4936" Type="http://schemas.openxmlformats.org/officeDocument/2006/relationships/hyperlink" Target="https://pbs.twimg.com/profile_images/703743884745187328/qEMih7VE_normal.jpg" TargetMode="External"/><Relationship Id="rId3604" Type="http://schemas.openxmlformats.org/officeDocument/2006/relationships/hyperlink" Target="https://twitter.com/SmarkApps" TargetMode="External"/><Relationship Id="rId4935" Type="http://schemas.openxmlformats.org/officeDocument/2006/relationships/hyperlink" Target="https://twitter.com/iBydaute/status/806166184756277248" TargetMode="External"/><Relationship Id="rId3607" Type="http://schemas.openxmlformats.org/officeDocument/2006/relationships/hyperlink" Target="https://twitter.com/EraGGone" TargetMode="External"/><Relationship Id="rId4938" Type="http://schemas.openxmlformats.org/officeDocument/2006/relationships/hyperlink" Target="https://twitter.com/karl_louis_/status/806167280140877824" TargetMode="External"/><Relationship Id="rId3606" Type="http://schemas.openxmlformats.org/officeDocument/2006/relationships/hyperlink" Target="https://pbs.twimg.com/profile_images/1185913189/logo_smark_normal.png" TargetMode="External"/><Relationship Id="rId4937" Type="http://schemas.openxmlformats.org/officeDocument/2006/relationships/hyperlink" Target="https://twitter.com/karl_louis_" TargetMode="External"/><Relationship Id="rId3609" Type="http://schemas.openxmlformats.org/officeDocument/2006/relationships/hyperlink" Target="https://pbs.twimg.com/profile_images/783244239324995584/rCS9jCt3_normal.jpg" TargetMode="External"/><Relationship Id="rId3608" Type="http://schemas.openxmlformats.org/officeDocument/2006/relationships/hyperlink" Target="https://twitter.com/EraGGone/status/805217777648857088" TargetMode="External"/><Relationship Id="rId4939" Type="http://schemas.openxmlformats.org/officeDocument/2006/relationships/hyperlink" Target="https://pbs.twimg.com/profile_images/688752497834459136/kDW9yvUQ_normal.jpg" TargetMode="External"/><Relationship Id="rId4930" Type="http://schemas.openxmlformats.org/officeDocument/2006/relationships/hyperlink" Target="https://pbs.twimg.com/profile_images/424994540911869952/MQLbvuIh_normal.jpeg" TargetMode="External"/><Relationship Id="rId1059" Type="http://schemas.openxmlformats.org/officeDocument/2006/relationships/hyperlink" Target="https://twitter.com/dominasinpieda1/status/803545817764270084" TargetMode="External"/><Relationship Id="rId228" Type="http://schemas.openxmlformats.org/officeDocument/2006/relationships/hyperlink" Target="https://pbs.twimg.com/profile_images/779785036996415489/a2nilB1d_normal.jpg" TargetMode="External"/><Relationship Id="rId227" Type="http://schemas.openxmlformats.org/officeDocument/2006/relationships/hyperlink" Target="https://twitter.com/elastword/status/802894853550047233" TargetMode="External"/><Relationship Id="rId226" Type="http://schemas.openxmlformats.org/officeDocument/2006/relationships/hyperlink" Target="https://twitter.com/elastword" TargetMode="External"/><Relationship Id="rId225" Type="http://schemas.openxmlformats.org/officeDocument/2006/relationships/hyperlink" Target="https://pbs.twimg.com/profile_images/779785036996415489/a2nilB1d_normal.jpg" TargetMode="External"/><Relationship Id="rId2380" Type="http://schemas.openxmlformats.org/officeDocument/2006/relationships/hyperlink" Target="https://twitter.com/bermaxo09/status/804418645233274880" TargetMode="External"/><Relationship Id="rId229" Type="http://schemas.openxmlformats.org/officeDocument/2006/relationships/hyperlink" Target="https://twitter.com/elastword" TargetMode="External"/><Relationship Id="rId1050" Type="http://schemas.openxmlformats.org/officeDocument/2006/relationships/hyperlink" Target="https://twitter.com/Salamanca_SSV/status/803535675383488512" TargetMode="External"/><Relationship Id="rId2381" Type="http://schemas.openxmlformats.org/officeDocument/2006/relationships/hyperlink" Target="https://pbs.twimg.com/profile_images/798476790478073856/iOD0HIRa_normal.jpg" TargetMode="External"/><Relationship Id="rId220" Type="http://schemas.openxmlformats.org/officeDocument/2006/relationships/hyperlink" Target="https://twitter.com/elastword" TargetMode="External"/><Relationship Id="rId1051" Type="http://schemas.openxmlformats.org/officeDocument/2006/relationships/hyperlink" Target="https://pbs.twimg.com/profile_images/3461850627/70f1c6c744e939681691ad3a09d64375_normal.png" TargetMode="External"/><Relationship Id="rId2382" Type="http://schemas.openxmlformats.org/officeDocument/2006/relationships/hyperlink" Target="https://twitter.com/Salamanca_SSV" TargetMode="External"/><Relationship Id="rId1052" Type="http://schemas.openxmlformats.org/officeDocument/2006/relationships/hyperlink" Target="https://twitter.com/gonzalomartin19" TargetMode="External"/><Relationship Id="rId2383" Type="http://schemas.openxmlformats.org/officeDocument/2006/relationships/hyperlink" Target="https://twitter.com/Salamanca_SSV/status/804418948737499137" TargetMode="External"/><Relationship Id="rId1053" Type="http://schemas.openxmlformats.org/officeDocument/2006/relationships/hyperlink" Target="https://twitter.com/gonzalomartin19/status/803536884295204864" TargetMode="External"/><Relationship Id="rId2384" Type="http://schemas.openxmlformats.org/officeDocument/2006/relationships/hyperlink" Target="https://pbs.twimg.com/profile_images/3461850627/70f1c6c744e939681691ad3a09d64375_normal.png" TargetMode="External"/><Relationship Id="rId1054" Type="http://schemas.openxmlformats.org/officeDocument/2006/relationships/hyperlink" Target="https://pbs.twimg.com/profile_images/788378410800340992/S31aB3GU_normal.jpg" TargetMode="External"/><Relationship Id="rId2385" Type="http://schemas.openxmlformats.org/officeDocument/2006/relationships/hyperlink" Target="https://twitter.com/canaryws" TargetMode="External"/><Relationship Id="rId224" Type="http://schemas.openxmlformats.org/officeDocument/2006/relationships/hyperlink" Target="https://twitter.com/elastword/status/802894356218871808" TargetMode="External"/><Relationship Id="rId1055" Type="http://schemas.openxmlformats.org/officeDocument/2006/relationships/hyperlink" Target="https://twitter.com/StyleAt30" TargetMode="External"/><Relationship Id="rId2386" Type="http://schemas.openxmlformats.org/officeDocument/2006/relationships/hyperlink" Target="https://twitter.com/canaryws/status/804421271597420548" TargetMode="External"/><Relationship Id="rId223" Type="http://schemas.openxmlformats.org/officeDocument/2006/relationships/hyperlink" Target="https://twitter.com/elastword" TargetMode="External"/><Relationship Id="rId1056" Type="http://schemas.openxmlformats.org/officeDocument/2006/relationships/hyperlink" Target="https://twitter.com/StyleAt30/status/803544294191693824" TargetMode="External"/><Relationship Id="rId2387" Type="http://schemas.openxmlformats.org/officeDocument/2006/relationships/hyperlink" Target="https://pbs.twimg.com/profile_images/663806866137464832/Yf6LSNmM_normal.jpg" TargetMode="External"/><Relationship Id="rId222" Type="http://schemas.openxmlformats.org/officeDocument/2006/relationships/hyperlink" Target="https://pbs.twimg.com/profile_images/779785036996415489/a2nilB1d_normal.jpg" TargetMode="External"/><Relationship Id="rId1057" Type="http://schemas.openxmlformats.org/officeDocument/2006/relationships/hyperlink" Target="https://pbs.twimg.com/profile_images/2483491820/Fotosiamo_Green_Dress_Style_At_30_normal.jpg" TargetMode="External"/><Relationship Id="rId2388" Type="http://schemas.openxmlformats.org/officeDocument/2006/relationships/hyperlink" Target="https://twitter.com/jakubhajost" TargetMode="External"/><Relationship Id="rId221" Type="http://schemas.openxmlformats.org/officeDocument/2006/relationships/hyperlink" Target="https://twitter.com/elastword/status/802893731837906948" TargetMode="External"/><Relationship Id="rId1058" Type="http://schemas.openxmlformats.org/officeDocument/2006/relationships/hyperlink" Target="https://twitter.com/dominasinpieda1" TargetMode="External"/><Relationship Id="rId2389" Type="http://schemas.openxmlformats.org/officeDocument/2006/relationships/hyperlink" Target="https://twitter.com/jakubhajost/status/804423291318439936" TargetMode="External"/><Relationship Id="rId1048" Type="http://schemas.openxmlformats.org/officeDocument/2006/relationships/hyperlink" Target="https://pbs.twimg.com/profile_images/1746535851/CIMG1404_peke_normal.JPG" TargetMode="External"/><Relationship Id="rId2379" Type="http://schemas.openxmlformats.org/officeDocument/2006/relationships/hyperlink" Target="https://twitter.com/bermaxo09" TargetMode="External"/><Relationship Id="rId1049" Type="http://schemas.openxmlformats.org/officeDocument/2006/relationships/hyperlink" Target="https://twitter.com/Salamanca_SSV" TargetMode="External"/><Relationship Id="rId217" Type="http://schemas.openxmlformats.org/officeDocument/2006/relationships/hyperlink" Target="https://twitter.com/elastword" TargetMode="External"/><Relationship Id="rId216" Type="http://schemas.openxmlformats.org/officeDocument/2006/relationships/hyperlink" Target="https://pbs.twimg.com/profile_images/779785036996415489/a2nilB1d_normal.jpg" TargetMode="External"/><Relationship Id="rId215" Type="http://schemas.openxmlformats.org/officeDocument/2006/relationships/hyperlink" Target="https://twitter.com/elastword/status/802892378948435968" TargetMode="External"/><Relationship Id="rId214" Type="http://schemas.openxmlformats.org/officeDocument/2006/relationships/hyperlink" Target="https://twitter.com/elastword" TargetMode="External"/><Relationship Id="rId219" Type="http://schemas.openxmlformats.org/officeDocument/2006/relationships/hyperlink" Target="https://pbs.twimg.com/profile_images/779785036996415489/a2nilB1d_normal.jpg" TargetMode="External"/><Relationship Id="rId218" Type="http://schemas.openxmlformats.org/officeDocument/2006/relationships/hyperlink" Target="https://twitter.com/elastword/status/802892664228249600" TargetMode="External"/><Relationship Id="rId2370" Type="http://schemas.openxmlformats.org/officeDocument/2006/relationships/hyperlink" Target="https://twitter.com/enduriaholidays" TargetMode="External"/><Relationship Id="rId1040" Type="http://schemas.openxmlformats.org/officeDocument/2006/relationships/hyperlink" Target="https://twitter.com/totaltenerife" TargetMode="External"/><Relationship Id="rId2371" Type="http://schemas.openxmlformats.org/officeDocument/2006/relationships/hyperlink" Target="https://twitter.com/enduriaholidays/status/804414381757005825" TargetMode="External"/><Relationship Id="rId1041" Type="http://schemas.openxmlformats.org/officeDocument/2006/relationships/hyperlink" Target="https://twitter.com/totaltenerife/status/803530375226073088" TargetMode="External"/><Relationship Id="rId2372" Type="http://schemas.openxmlformats.org/officeDocument/2006/relationships/hyperlink" Target="https://pbs.twimg.com/profile_images/726026649356128258/xCSaP1IW_normal.jpg" TargetMode="External"/><Relationship Id="rId1042" Type="http://schemas.openxmlformats.org/officeDocument/2006/relationships/hyperlink" Target="https://pbs.twimg.com/profile_images/686553191345975296/F8l5vG5x_normal.jpg" TargetMode="External"/><Relationship Id="rId2373" Type="http://schemas.openxmlformats.org/officeDocument/2006/relationships/hyperlink" Target="https://twitter.com/zipporahs" TargetMode="External"/><Relationship Id="rId1043" Type="http://schemas.openxmlformats.org/officeDocument/2006/relationships/hyperlink" Target="https://twitter.com/anamaribi" TargetMode="External"/><Relationship Id="rId2374" Type="http://schemas.openxmlformats.org/officeDocument/2006/relationships/hyperlink" Target="https://twitter.com/zipporahs/status/804416644533600257" TargetMode="External"/><Relationship Id="rId213" Type="http://schemas.openxmlformats.org/officeDocument/2006/relationships/hyperlink" Target="https://pbs.twimg.com/profile_images/708443395635675136/OMlUXUbp_normal.jpg" TargetMode="External"/><Relationship Id="rId1044" Type="http://schemas.openxmlformats.org/officeDocument/2006/relationships/hyperlink" Target="https://twitter.com/anamaribi/status/803532793284325376" TargetMode="External"/><Relationship Id="rId2375" Type="http://schemas.openxmlformats.org/officeDocument/2006/relationships/hyperlink" Target="https://pbs.twimg.com/profile_images/435411830677057537/tVVekG4V_normal.jpeg" TargetMode="External"/><Relationship Id="rId212" Type="http://schemas.openxmlformats.org/officeDocument/2006/relationships/hyperlink" Target="https://twitter.com/gabychicharrera/status/802892373059571713" TargetMode="External"/><Relationship Id="rId1045" Type="http://schemas.openxmlformats.org/officeDocument/2006/relationships/hyperlink" Target="https://pbs.twimg.com/profile_images/378800000678280786/e48eca3a60588f4f5c23321f85ca86ef_normal.jpeg" TargetMode="External"/><Relationship Id="rId2376" Type="http://schemas.openxmlformats.org/officeDocument/2006/relationships/hyperlink" Target="https://twitter.com/bermaxo09" TargetMode="External"/><Relationship Id="rId211" Type="http://schemas.openxmlformats.org/officeDocument/2006/relationships/hyperlink" Target="https://twitter.com/gabychicharrera" TargetMode="External"/><Relationship Id="rId1046" Type="http://schemas.openxmlformats.org/officeDocument/2006/relationships/hyperlink" Target="https://twitter.com/josefirgas" TargetMode="External"/><Relationship Id="rId2377" Type="http://schemas.openxmlformats.org/officeDocument/2006/relationships/hyperlink" Target="https://twitter.com/bermaxo09/status/804418320044736512" TargetMode="External"/><Relationship Id="rId210" Type="http://schemas.openxmlformats.org/officeDocument/2006/relationships/hyperlink" Target="https://pbs.twimg.com/profile_images/706839494851436544/7igsf91D_normal.jpg" TargetMode="External"/><Relationship Id="rId1047" Type="http://schemas.openxmlformats.org/officeDocument/2006/relationships/hyperlink" Target="https://twitter.com/josefirgas/status/803533248857079808" TargetMode="External"/><Relationship Id="rId2378" Type="http://schemas.openxmlformats.org/officeDocument/2006/relationships/hyperlink" Target="https://pbs.twimg.com/profile_images/798476790478073856/iOD0HIRa_normal.jpg" TargetMode="External"/><Relationship Id="rId4107" Type="http://schemas.openxmlformats.org/officeDocument/2006/relationships/hyperlink" Target="https://pbs.twimg.com/profile_images/378800000213382003/4f562b59f92995b884d2d440f71fc5ce_normal.png" TargetMode="External"/><Relationship Id="rId4106" Type="http://schemas.openxmlformats.org/officeDocument/2006/relationships/hyperlink" Target="https://twitter.com/swisshop4uEs/status/805566169411358720" TargetMode="External"/><Relationship Id="rId4109" Type="http://schemas.openxmlformats.org/officeDocument/2006/relationships/hyperlink" Target="https://twitter.com/FlavoursandFros/status/805568672165138432" TargetMode="External"/><Relationship Id="rId4108" Type="http://schemas.openxmlformats.org/officeDocument/2006/relationships/hyperlink" Target="https://twitter.com/FlavoursandFros" TargetMode="External"/><Relationship Id="rId249" Type="http://schemas.openxmlformats.org/officeDocument/2006/relationships/hyperlink" Target="https://pbs.twimg.com/profile_images/693087403129573376/KcJrOeqS_normal.jpg" TargetMode="External"/><Relationship Id="rId248" Type="http://schemas.openxmlformats.org/officeDocument/2006/relationships/hyperlink" Target="https://twitter.com/yourgolftravel/status/802899786512769025" TargetMode="External"/><Relationship Id="rId247" Type="http://schemas.openxmlformats.org/officeDocument/2006/relationships/hyperlink" Target="https://twitter.com/yourgolftravel" TargetMode="External"/><Relationship Id="rId1070" Type="http://schemas.openxmlformats.org/officeDocument/2006/relationships/hyperlink" Target="https://twitter.com/HotelEscuelaSB" TargetMode="External"/><Relationship Id="rId1071" Type="http://schemas.openxmlformats.org/officeDocument/2006/relationships/hyperlink" Target="https://twitter.com/HotelEscuelaSB/status/803548559652061184" TargetMode="External"/><Relationship Id="rId1072" Type="http://schemas.openxmlformats.org/officeDocument/2006/relationships/hyperlink" Target="https://pbs.twimg.com/profile_images/792036201695940608/ZYEcPM7L_normal.jpg" TargetMode="External"/><Relationship Id="rId242" Type="http://schemas.openxmlformats.org/officeDocument/2006/relationships/hyperlink" Target="https://twitter.com/elastword/status/802896829046280197" TargetMode="External"/><Relationship Id="rId1073" Type="http://schemas.openxmlformats.org/officeDocument/2006/relationships/hyperlink" Target="https://twitter.com/LasPalmasProp" TargetMode="External"/><Relationship Id="rId241" Type="http://schemas.openxmlformats.org/officeDocument/2006/relationships/hyperlink" Target="https://twitter.com/elastword" TargetMode="External"/><Relationship Id="rId1074" Type="http://schemas.openxmlformats.org/officeDocument/2006/relationships/hyperlink" Target="https://twitter.com/LasPalmasProp/status/803548623527092224" TargetMode="External"/><Relationship Id="rId240" Type="http://schemas.openxmlformats.org/officeDocument/2006/relationships/hyperlink" Target="https://pbs.twimg.com/profile_images/779785036996415489/a2nilB1d_normal.jpg" TargetMode="External"/><Relationship Id="rId1075" Type="http://schemas.openxmlformats.org/officeDocument/2006/relationships/hyperlink" Target="https://pbs.twimg.com/profile_images/744132316134514688/7FDa8yP-_normal.jpg" TargetMode="External"/><Relationship Id="rId4101" Type="http://schemas.openxmlformats.org/officeDocument/2006/relationships/hyperlink" Target="https://pbs.twimg.com/profile_images/792514219606364160/zi4F_7iz_normal.jpg" TargetMode="External"/><Relationship Id="rId1076" Type="http://schemas.openxmlformats.org/officeDocument/2006/relationships/hyperlink" Target="https://twitter.com/blogdemarianava" TargetMode="External"/><Relationship Id="rId4100" Type="http://schemas.openxmlformats.org/officeDocument/2006/relationships/hyperlink" Target="https://twitter.com/RubeOsorios/status/805563377959530500" TargetMode="External"/><Relationship Id="rId246" Type="http://schemas.openxmlformats.org/officeDocument/2006/relationships/hyperlink" Target="https://pbs.twimg.com/profile_images/779785036996415489/a2nilB1d_normal.jpg" TargetMode="External"/><Relationship Id="rId1077" Type="http://schemas.openxmlformats.org/officeDocument/2006/relationships/hyperlink" Target="https://twitter.com/blogdemarianava/status/803548724614066176" TargetMode="External"/><Relationship Id="rId4103" Type="http://schemas.openxmlformats.org/officeDocument/2006/relationships/hyperlink" Target="https://twitter.com/swisshop4uEs/status/805566166894804993" TargetMode="External"/><Relationship Id="rId245" Type="http://schemas.openxmlformats.org/officeDocument/2006/relationships/hyperlink" Target="https://twitter.com/elastword/status/802897361907367936" TargetMode="External"/><Relationship Id="rId1078" Type="http://schemas.openxmlformats.org/officeDocument/2006/relationships/hyperlink" Target="https://pbs.twimg.com/profile_images/801354055884963840/7uKtFzRU_normal.jpg" TargetMode="External"/><Relationship Id="rId4102" Type="http://schemas.openxmlformats.org/officeDocument/2006/relationships/hyperlink" Target="https://twitter.com/swisshop4uEs" TargetMode="External"/><Relationship Id="rId244" Type="http://schemas.openxmlformats.org/officeDocument/2006/relationships/hyperlink" Target="https://twitter.com/elastword" TargetMode="External"/><Relationship Id="rId1079" Type="http://schemas.openxmlformats.org/officeDocument/2006/relationships/hyperlink" Target="https://twitter.com/mun2travel" TargetMode="External"/><Relationship Id="rId4105" Type="http://schemas.openxmlformats.org/officeDocument/2006/relationships/hyperlink" Target="https://twitter.com/swisshop4uEs" TargetMode="External"/><Relationship Id="rId243" Type="http://schemas.openxmlformats.org/officeDocument/2006/relationships/hyperlink" Target="https://pbs.twimg.com/profile_images/779785036996415489/a2nilB1d_normal.jpg" TargetMode="External"/><Relationship Id="rId4104" Type="http://schemas.openxmlformats.org/officeDocument/2006/relationships/hyperlink" Target="https://pbs.twimg.com/profile_images/378800000213382003/4f562b59f92995b884d2d440f71fc5ce_normal.png" TargetMode="External"/><Relationship Id="rId239" Type="http://schemas.openxmlformats.org/officeDocument/2006/relationships/hyperlink" Target="https://twitter.com/elastword/status/802896511352848385" TargetMode="External"/><Relationship Id="rId238" Type="http://schemas.openxmlformats.org/officeDocument/2006/relationships/hyperlink" Target="https://twitter.com/elastword" TargetMode="External"/><Relationship Id="rId237" Type="http://schemas.openxmlformats.org/officeDocument/2006/relationships/hyperlink" Target="https://pbs.twimg.com/profile_images/779785036996415489/a2nilB1d_normal.jpg" TargetMode="External"/><Relationship Id="rId236" Type="http://schemas.openxmlformats.org/officeDocument/2006/relationships/hyperlink" Target="https://twitter.com/elastword/status/802896073534636032" TargetMode="External"/><Relationship Id="rId2390" Type="http://schemas.openxmlformats.org/officeDocument/2006/relationships/hyperlink" Target="https://pbs.twimg.com/profile_images/805980325214060544/KRipS_ud_normal.jpg" TargetMode="External"/><Relationship Id="rId1060" Type="http://schemas.openxmlformats.org/officeDocument/2006/relationships/hyperlink" Target="https://pbs.twimg.com/profile_images/800800229729730560/GP3Viia8_normal.jpg" TargetMode="External"/><Relationship Id="rId2391" Type="http://schemas.openxmlformats.org/officeDocument/2006/relationships/hyperlink" Target="https://twitter.com/greennomad61" TargetMode="External"/><Relationship Id="rId1061" Type="http://schemas.openxmlformats.org/officeDocument/2006/relationships/hyperlink" Target="https://twitter.com/TwiTenerifeGolf" TargetMode="External"/><Relationship Id="rId2392" Type="http://schemas.openxmlformats.org/officeDocument/2006/relationships/hyperlink" Target="https://twitter.com/greennomad61/status/804424551849283584" TargetMode="External"/><Relationship Id="rId231" Type="http://schemas.openxmlformats.org/officeDocument/2006/relationships/hyperlink" Target="https://pbs.twimg.com/profile_images/779785036996415489/a2nilB1d_normal.jpg" TargetMode="External"/><Relationship Id="rId1062" Type="http://schemas.openxmlformats.org/officeDocument/2006/relationships/hyperlink" Target="https://twitter.com/TwiTenerifeGolf/status/803548048014147584" TargetMode="External"/><Relationship Id="rId2393" Type="http://schemas.openxmlformats.org/officeDocument/2006/relationships/hyperlink" Target="https://pbs.twimg.com/profile_images/668606311039299584/VlS0WD_Z_normal.jpg" TargetMode="External"/><Relationship Id="rId230" Type="http://schemas.openxmlformats.org/officeDocument/2006/relationships/hyperlink" Target="https://twitter.com/elastword/status/802895589591674880" TargetMode="External"/><Relationship Id="rId1063" Type="http://schemas.openxmlformats.org/officeDocument/2006/relationships/hyperlink" Target="https://pbs.twimg.com/profile_images/723156330673000448/xa2FT8Re_normal.jpg" TargetMode="External"/><Relationship Id="rId2394" Type="http://schemas.openxmlformats.org/officeDocument/2006/relationships/hyperlink" Target="https://twitter.com/de1969" TargetMode="External"/><Relationship Id="rId1064" Type="http://schemas.openxmlformats.org/officeDocument/2006/relationships/hyperlink" Target="https://twitter.com/TurismoArona" TargetMode="External"/><Relationship Id="rId2395" Type="http://schemas.openxmlformats.org/officeDocument/2006/relationships/hyperlink" Target="https://twitter.com/de1969/status/804426796775022592" TargetMode="External"/><Relationship Id="rId1065" Type="http://schemas.openxmlformats.org/officeDocument/2006/relationships/hyperlink" Target="https://twitter.com/TurismoArona/status/803548155291766784" TargetMode="External"/><Relationship Id="rId2396" Type="http://schemas.openxmlformats.org/officeDocument/2006/relationships/hyperlink" Target="https://pbs.twimg.com/profile_images/1617162796/S4010009_normal.JPG" TargetMode="External"/><Relationship Id="rId235" Type="http://schemas.openxmlformats.org/officeDocument/2006/relationships/hyperlink" Target="https://twitter.com/elastword" TargetMode="External"/><Relationship Id="rId1066" Type="http://schemas.openxmlformats.org/officeDocument/2006/relationships/hyperlink" Target="https://pbs.twimg.com/profile_images/680043849562066944/D5hpN40__normal.jpg" TargetMode="External"/><Relationship Id="rId2397" Type="http://schemas.openxmlformats.org/officeDocument/2006/relationships/hyperlink" Target="https://twitter.com/LuxuryCanarias" TargetMode="External"/><Relationship Id="rId234" Type="http://schemas.openxmlformats.org/officeDocument/2006/relationships/hyperlink" Target="https://pbs.twimg.com/profile_images/797139693443907584/sS8jlrzM_normal.jpg" TargetMode="External"/><Relationship Id="rId1067" Type="http://schemas.openxmlformats.org/officeDocument/2006/relationships/hyperlink" Target="https://twitter.com/paisajecanario" TargetMode="External"/><Relationship Id="rId2398" Type="http://schemas.openxmlformats.org/officeDocument/2006/relationships/hyperlink" Target="https://twitter.com/LuxuryCanarias/status/804426849828896768" TargetMode="External"/><Relationship Id="rId233" Type="http://schemas.openxmlformats.org/officeDocument/2006/relationships/hyperlink" Target="https://twitter.com/besterwosgibt/status/802895992597028866" TargetMode="External"/><Relationship Id="rId1068" Type="http://schemas.openxmlformats.org/officeDocument/2006/relationships/hyperlink" Target="https://twitter.com/paisajecanario/status/803548293322129412" TargetMode="External"/><Relationship Id="rId2399" Type="http://schemas.openxmlformats.org/officeDocument/2006/relationships/hyperlink" Target="https://pbs.twimg.com/profile_images/731824986965594112/1_vJDvBr_normal.jpg" TargetMode="External"/><Relationship Id="rId232" Type="http://schemas.openxmlformats.org/officeDocument/2006/relationships/hyperlink" Target="https://twitter.com/besterwosgibt" TargetMode="External"/><Relationship Id="rId1069" Type="http://schemas.openxmlformats.org/officeDocument/2006/relationships/hyperlink" Target="https://pbs.twimg.com/profile_images/789364630850240512/Mw90qAlM_normal.jpg" TargetMode="External"/><Relationship Id="rId1015" Type="http://schemas.openxmlformats.org/officeDocument/2006/relationships/hyperlink" Target="https://pbs.twimg.com/profile_images/802517305674571776/KAchNwHi_normal.jpg" TargetMode="External"/><Relationship Id="rId2346" Type="http://schemas.openxmlformats.org/officeDocument/2006/relationships/hyperlink" Target="https://twitter.com/bermaxo09" TargetMode="External"/><Relationship Id="rId3678" Type="http://schemas.openxmlformats.org/officeDocument/2006/relationships/hyperlink" Target="https://pbs.twimg.com/profile_images/694439157893107712/KkG57Zcq_normal.jpg" TargetMode="External"/><Relationship Id="rId1016" Type="http://schemas.openxmlformats.org/officeDocument/2006/relationships/hyperlink" Target="https://twitter.com/NachoRiveraFoto" TargetMode="External"/><Relationship Id="rId2347" Type="http://schemas.openxmlformats.org/officeDocument/2006/relationships/hyperlink" Target="https://twitter.com/bermaxo09/status/804410500322762752" TargetMode="External"/><Relationship Id="rId3677" Type="http://schemas.openxmlformats.org/officeDocument/2006/relationships/hyperlink" Target="https://twitter.com/_TenDive/status/805344197419134976" TargetMode="External"/><Relationship Id="rId1017" Type="http://schemas.openxmlformats.org/officeDocument/2006/relationships/hyperlink" Target="https://twitter.com/NachoRiveraFoto/status/803512132918722560" TargetMode="External"/><Relationship Id="rId2348" Type="http://schemas.openxmlformats.org/officeDocument/2006/relationships/hyperlink" Target="https://pbs.twimg.com/profile_images/798476790478073856/iOD0HIRa_normal.jpg" TargetMode="External"/><Relationship Id="rId1018" Type="http://schemas.openxmlformats.org/officeDocument/2006/relationships/hyperlink" Target="https://pbs.twimg.com/profile_images/796298617426481153/4wu0ObwX_normal.jpg" TargetMode="External"/><Relationship Id="rId2349" Type="http://schemas.openxmlformats.org/officeDocument/2006/relationships/hyperlink" Target="https://twitter.com/bermaxo09" TargetMode="External"/><Relationship Id="rId3679" Type="http://schemas.openxmlformats.org/officeDocument/2006/relationships/hyperlink" Target="https://twitter.com/KeyserSoSo" TargetMode="External"/><Relationship Id="rId1019" Type="http://schemas.openxmlformats.org/officeDocument/2006/relationships/hyperlink" Target="https://twitter.com/SuneHolidays" TargetMode="External"/><Relationship Id="rId3670" Type="http://schemas.openxmlformats.org/officeDocument/2006/relationships/hyperlink" Target="https://twitter.com/ScubaFlorida" TargetMode="External"/><Relationship Id="rId2340" Type="http://schemas.openxmlformats.org/officeDocument/2006/relationships/hyperlink" Target="https://twitter.com/dansmithVL" TargetMode="External"/><Relationship Id="rId3672" Type="http://schemas.openxmlformats.org/officeDocument/2006/relationships/hyperlink" Target="https://pbs.twimg.com/profile_images/560310747914199040/HR4MGmME_normal.jpeg" TargetMode="External"/><Relationship Id="rId1010" Type="http://schemas.openxmlformats.org/officeDocument/2006/relationships/hyperlink" Target="https://twitter.com/anamaribi" TargetMode="External"/><Relationship Id="rId2341" Type="http://schemas.openxmlformats.org/officeDocument/2006/relationships/hyperlink" Target="https://twitter.com/dansmithVL/status/804406099323584513" TargetMode="External"/><Relationship Id="rId3671" Type="http://schemas.openxmlformats.org/officeDocument/2006/relationships/hyperlink" Target="https://twitter.com/ScubaFlorida/status/805341402708279296" TargetMode="External"/><Relationship Id="rId1011" Type="http://schemas.openxmlformats.org/officeDocument/2006/relationships/hyperlink" Target="https://twitter.com/anamaribi/status/803505932160344064" TargetMode="External"/><Relationship Id="rId2342" Type="http://schemas.openxmlformats.org/officeDocument/2006/relationships/hyperlink" Target="https://pbs.twimg.com/profile_images/717563271973179394/rLYoSVlC_normal.jpg" TargetMode="External"/><Relationship Id="rId3674" Type="http://schemas.openxmlformats.org/officeDocument/2006/relationships/hyperlink" Target="https://twitter.com/_TenDive/status/805342647921557504" TargetMode="External"/><Relationship Id="rId1012" Type="http://schemas.openxmlformats.org/officeDocument/2006/relationships/hyperlink" Target="https://pbs.twimg.com/profile_images/378800000678280786/e48eca3a60588f4f5c23321f85ca86ef_normal.jpeg" TargetMode="External"/><Relationship Id="rId2343" Type="http://schemas.openxmlformats.org/officeDocument/2006/relationships/hyperlink" Target="https://twitter.com/About2Cruise" TargetMode="External"/><Relationship Id="rId3673" Type="http://schemas.openxmlformats.org/officeDocument/2006/relationships/hyperlink" Target="https://twitter.com/_TenDive" TargetMode="External"/><Relationship Id="rId1013" Type="http://schemas.openxmlformats.org/officeDocument/2006/relationships/hyperlink" Target="https://twitter.com/DominaCloe" TargetMode="External"/><Relationship Id="rId2344" Type="http://schemas.openxmlformats.org/officeDocument/2006/relationships/hyperlink" Target="https://twitter.com/About2Cruise/status/804406122853658624" TargetMode="External"/><Relationship Id="rId3676" Type="http://schemas.openxmlformats.org/officeDocument/2006/relationships/hyperlink" Target="https://twitter.com/_TenDive" TargetMode="External"/><Relationship Id="rId1014" Type="http://schemas.openxmlformats.org/officeDocument/2006/relationships/hyperlink" Target="https://twitter.com/DominaCloe/status/803508265657188352" TargetMode="External"/><Relationship Id="rId2345" Type="http://schemas.openxmlformats.org/officeDocument/2006/relationships/hyperlink" Target="https://pbs.twimg.com/profile_images/3598551561/23a2cd8c88b40f419d60592a1dd8d9a1_normal.png" TargetMode="External"/><Relationship Id="rId3675" Type="http://schemas.openxmlformats.org/officeDocument/2006/relationships/hyperlink" Target="https://pbs.twimg.com/profile_images/694439157893107712/KkG57Zcq_normal.jpg" TargetMode="External"/><Relationship Id="rId1004" Type="http://schemas.openxmlformats.org/officeDocument/2006/relationships/hyperlink" Target="https://twitter.com/joshgreedy1" TargetMode="External"/><Relationship Id="rId2335" Type="http://schemas.openxmlformats.org/officeDocument/2006/relationships/hyperlink" Target="https://twitter.com/RakheeV/status/804401050069307392" TargetMode="External"/><Relationship Id="rId3667" Type="http://schemas.openxmlformats.org/officeDocument/2006/relationships/hyperlink" Target="https://twitter.com/_TenDive" TargetMode="External"/><Relationship Id="rId1005" Type="http://schemas.openxmlformats.org/officeDocument/2006/relationships/hyperlink" Target="https://twitter.com/joshgreedy1/status/803505049477517313" TargetMode="External"/><Relationship Id="rId2336" Type="http://schemas.openxmlformats.org/officeDocument/2006/relationships/hyperlink" Target="https://pbs.twimg.com/profile_images/742026136801161217/evJgSUlG_normal.jpg" TargetMode="External"/><Relationship Id="rId3666" Type="http://schemas.openxmlformats.org/officeDocument/2006/relationships/hyperlink" Target="https://pbs.twimg.com/profile_images/590898060517048321/bKNFtsne_normal.png" TargetMode="External"/><Relationship Id="rId1006" Type="http://schemas.openxmlformats.org/officeDocument/2006/relationships/hyperlink" Target="https://pbs.twimg.com/profile_images/806165944297025536/6ccc7Lnj_normal.jpg" TargetMode="External"/><Relationship Id="rId2337" Type="http://schemas.openxmlformats.org/officeDocument/2006/relationships/hyperlink" Target="https://twitter.com/iBydaute" TargetMode="External"/><Relationship Id="rId3669" Type="http://schemas.openxmlformats.org/officeDocument/2006/relationships/hyperlink" Target="https://pbs.twimg.com/profile_images/694439157893107712/KkG57Zcq_normal.jpg" TargetMode="External"/><Relationship Id="rId1007" Type="http://schemas.openxmlformats.org/officeDocument/2006/relationships/hyperlink" Target="https://twitter.com/shelydom" TargetMode="External"/><Relationship Id="rId2338" Type="http://schemas.openxmlformats.org/officeDocument/2006/relationships/hyperlink" Target="https://twitter.com/iBydaute/status/804404509048877056" TargetMode="External"/><Relationship Id="rId3668" Type="http://schemas.openxmlformats.org/officeDocument/2006/relationships/hyperlink" Target="https://twitter.com/_TenDive/status/805336676583309312" TargetMode="External"/><Relationship Id="rId1008" Type="http://schemas.openxmlformats.org/officeDocument/2006/relationships/hyperlink" Target="https://twitter.com/shelydom/status/803505644364042240" TargetMode="External"/><Relationship Id="rId2339" Type="http://schemas.openxmlformats.org/officeDocument/2006/relationships/hyperlink" Target="https://pbs.twimg.com/profile_images/703743884745187328/qEMih7VE_normal.jpg" TargetMode="External"/><Relationship Id="rId1009" Type="http://schemas.openxmlformats.org/officeDocument/2006/relationships/hyperlink" Target="https://pbs.twimg.com/profile_images/768196202542329856/wbOUF1an_normal.jpg" TargetMode="External"/><Relationship Id="rId4990" Type="http://schemas.openxmlformats.org/officeDocument/2006/relationships/hyperlink" Target="https://pbs.twimg.com/profile_images/3028478382/e0bedb7d8a4a7b62521ecf9d476445ff_normal.png" TargetMode="External"/><Relationship Id="rId3661" Type="http://schemas.openxmlformats.org/officeDocument/2006/relationships/hyperlink" Target="https://twitter.com/LpaVisit" TargetMode="External"/><Relationship Id="rId4992" Type="http://schemas.openxmlformats.org/officeDocument/2006/relationships/hyperlink" Target="https://twitter.com/BreAnnaCamille/status/806193137043521536" TargetMode="External"/><Relationship Id="rId2330" Type="http://schemas.openxmlformats.org/officeDocument/2006/relationships/hyperlink" Target="https://pbs.twimg.com/profile_images/780887490089652224/gGE5HqUQ_normal.jpg" TargetMode="External"/><Relationship Id="rId3660" Type="http://schemas.openxmlformats.org/officeDocument/2006/relationships/hyperlink" Target="https://pbs.twimg.com/profile_images/488434731617230848/VVpFBnBi_normal.jpeg" TargetMode="External"/><Relationship Id="rId4991" Type="http://schemas.openxmlformats.org/officeDocument/2006/relationships/hyperlink" Target="https://twitter.com/BreAnnaCamille" TargetMode="External"/><Relationship Id="rId1000" Type="http://schemas.openxmlformats.org/officeDocument/2006/relationships/hyperlink" Target="https://pbs.twimg.com/profile_images/798476790478073856/iOD0HIRa_normal.jpg" TargetMode="External"/><Relationship Id="rId2331" Type="http://schemas.openxmlformats.org/officeDocument/2006/relationships/hyperlink" Target="https://twitter.com/Ramon_SuarezO" TargetMode="External"/><Relationship Id="rId3663" Type="http://schemas.openxmlformats.org/officeDocument/2006/relationships/hyperlink" Target="https://pbs.twimg.com/profile_images/656385242819907584/6_e-4aUc_normal.jpg" TargetMode="External"/><Relationship Id="rId4994" Type="http://schemas.openxmlformats.org/officeDocument/2006/relationships/drawing" Target="../drawings/drawing1.xml"/><Relationship Id="rId1001" Type="http://schemas.openxmlformats.org/officeDocument/2006/relationships/hyperlink" Target="https://twitter.com/ScubaFlorida" TargetMode="External"/><Relationship Id="rId2332" Type="http://schemas.openxmlformats.org/officeDocument/2006/relationships/hyperlink" Target="https://twitter.com/Ramon_SuarezO/status/804398019768680449" TargetMode="External"/><Relationship Id="rId3662" Type="http://schemas.openxmlformats.org/officeDocument/2006/relationships/hyperlink" Target="https://twitter.com/LpaVisit/status/805335236238262272" TargetMode="External"/><Relationship Id="rId4993" Type="http://schemas.openxmlformats.org/officeDocument/2006/relationships/hyperlink" Target="https://pbs.twimg.com/profile_images/699547503235043329/HFgEMr4-_normal.jpg" TargetMode="External"/><Relationship Id="rId1002" Type="http://schemas.openxmlformats.org/officeDocument/2006/relationships/hyperlink" Target="https://twitter.com/ScubaFlorida/status/803499576997122048" TargetMode="External"/><Relationship Id="rId2333" Type="http://schemas.openxmlformats.org/officeDocument/2006/relationships/hyperlink" Target="https://pbs.twimg.com/profile_images/780887490089652224/gGE5HqUQ_normal.jpg" TargetMode="External"/><Relationship Id="rId3665" Type="http://schemas.openxmlformats.org/officeDocument/2006/relationships/hyperlink" Target="https://twitter.com/dixkover/status/805336669339652096" TargetMode="External"/><Relationship Id="rId1003" Type="http://schemas.openxmlformats.org/officeDocument/2006/relationships/hyperlink" Target="https://pbs.twimg.com/profile_images/560310747914199040/HR4MGmME_normal.jpeg" TargetMode="External"/><Relationship Id="rId2334" Type="http://schemas.openxmlformats.org/officeDocument/2006/relationships/hyperlink" Target="https://twitter.com/RakheeV" TargetMode="External"/><Relationship Id="rId3664" Type="http://schemas.openxmlformats.org/officeDocument/2006/relationships/hyperlink" Target="https://twitter.com/dixkover" TargetMode="External"/><Relationship Id="rId1037" Type="http://schemas.openxmlformats.org/officeDocument/2006/relationships/hyperlink" Target="https://twitter.com/GranCanLocal" TargetMode="External"/><Relationship Id="rId2368" Type="http://schemas.openxmlformats.org/officeDocument/2006/relationships/hyperlink" Target="https://twitter.com/CanaryIslandsEN/status/804414269890633728" TargetMode="External"/><Relationship Id="rId1038" Type="http://schemas.openxmlformats.org/officeDocument/2006/relationships/hyperlink" Target="https://twitter.com/GranCanLocal/status/803527418472529920" TargetMode="External"/><Relationship Id="rId2369" Type="http://schemas.openxmlformats.org/officeDocument/2006/relationships/hyperlink" Target="https://pbs.twimg.com/profile_images/754960714704584704/14dQxsF8_normal.jpg" TargetMode="External"/><Relationship Id="rId3699" Type="http://schemas.openxmlformats.org/officeDocument/2006/relationships/hyperlink" Target="https://pbs.twimg.com/profile_images/678892644064473089/kLYTNVYL_normal.jpg" TargetMode="External"/><Relationship Id="rId1039" Type="http://schemas.openxmlformats.org/officeDocument/2006/relationships/hyperlink" Target="https://pbs.twimg.com/profile_images/797869927004852225/JqQhI5Qc_normal.jpg" TargetMode="External"/><Relationship Id="rId206" Type="http://schemas.openxmlformats.org/officeDocument/2006/relationships/hyperlink" Target="https://twitter.com/didimex1111/status/802888533560070144" TargetMode="External"/><Relationship Id="rId205" Type="http://schemas.openxmlformats.org/officeDocument/2006/relationships/hyperlink" Target="https://twitter.com/didimex1111" TargetMode="External"/><Relationship Id="rId204" Type="http://schemas.openxmlformats.org/officeDocument/2006/relationships/hyperlink" Target="https://pbs.twimg.com/profile_images/802073872866705408/wMHnHYch_normal.jpg" TargetMode="External"/><Relationship Id="rId203" Type="http://schemas.openxmlformats.org/officeDocument/2006/relationships/hyperlink" Target="https://twitter.com/LesRandosdeCaco/status/802882649245106176" TargetMode="External"/><Relationship Id="rId209" Type="http://schemas.openxmlformats.org/officeDocument/2006/relationships/hyperlink" Target="https://twitter.com/JulioAl18175505/status/802889807823245312" TargetMode="External"/><Relationship Id="rId208" Type="http://schemas.openxmlformats.org/officeDocument/2006/relationships/hyperlink" Target="https://twitter.com/JulioAl18175505" TargetMode="External"/><Relationship Id="rId3690" Type="http://schemas.openxmlformats.org/officeDocument/2006/relationships/hyperlink" Target="https://pbs.twimg.com/profile_images/601788526162763778/vJg4VIhI_normal.jpg" TargetMode="External"/><Relationship Id="rId207" Type="http://schemas.openxmlformats.org/officeDocument/2006/relationships/hyperlink" Target="https://pbs.twimg.com/profile_images/769966667321540608/sSmWwdqJ_normal.jpg" TargetMode="External"/><Relationship Id="rId2360" Type="http://schemas.openxmlformats.org/officeDocument/2006/relationships/hyperlink" Target="https://pbs.twimg.com/profile_images/798476790478073856/iOD0HIRa_normal.jpg" TargetMode="External"/><Relationship Id="rId3692" Type="http://schemas.openxmlformats.org/officeDocument/2006/relationships/hyperlink" Target="https://twitter.com/RLGieling/status/805375988410552320" TargetMode="External"/><Relationship Id="rId1030" Type="http://schemas.openxmlformats.org/officeDocument/2006/relationships/hyperlink" Target="https://pbs.twimg.com/profile_images/802853371480711168/n_hXbQwc_normal.jpg" TargetMode="External"/><Relationship Id="rId2361" Type="http://schemas.openxmlformats.org/officeDocument/2006/relationships/hyperlink" Target="https://twitter.com/bermaxo09" TargetMode="External"/><Relationship Id="rId3691" Type="http://schemas.openxmlformats.org/officeDocument/2006/relationships/hyperlink" Target="https://twitter.com/RLGieling" TargetMode="External"/><Relationship Id="rId1031" Type="http://schemas.openxmlformats.org/officeDocument/2006/relationships/hyperlink" Target="https://twitter.com/manuelcarranco" TargetMode="External"/><Relationship Id="rId2362" Type="http://schemas.openxmlformats.org/officeDocument/2006/relationships/hyperlink" Target="https://twitter.com/bermaxo09/status/804413629386760192" TargetMode="External"/><Relationship Id="rId3694" Type="http://schemas.openxmlformats.org/officeDocument/2006/relationships/hyperlink" Target="https://twitter.com/Lupe_mao" TargetMode="External"/><Relationship Id="rId1032" Type="http://schemas.openxmlformats.org/officeDocument/2006/relationships/hyperlink" Target="https://twitter.com/manuelcarranco/status/803518094056398848" TargetMode="External"/><Relationship Id="rId2363" Type="http://schemas.openxmlformats.org/officeDocument/2006/relationships/hyperlink" Target="https://pbs.twimg.com/profile_images/798476790478073856/iOD0HIRa_normal.jpg" TargetMode="External"/><Relationship Id="rId3693" Type="http://schemas.openxmlformats.org/officeDocument/2006/relationships/hyperlink" Target="https://pbs.twimg.com/profile_images/739040004022935556/1zrwUw2h_normal.jpg" TargetMode="External"/><Relationship Id="rId202" Type="http://schemas.openxmlformats.org/officeDocument/2006/relationships/hyperlink" Target="https://twitter.com/LesRandosdeCaco" TargetMode="External"/><Relationship Id="rId1033" Type="http://schemas.openxmlformats.org/officeDocument/2006/relationships/hyperlink" Target="https://pbs.twimg.com/profile_images/525944451177263104/jGofUCAA_normal.jpeg" TargetMode="External"/><Relationship Id="rId2364" Type="http://schemas.openxmlformats.org/officeDocument/2006/relationships/hyperlink" Target="https://twitter.com/EmmamaryT" TargetMode="External"/><Relationship Id="rId3696" Type="http://schemas.openxmlformats.org/officeDocument/2006/relationships/hyperlink" Target="https://pbs.twimg.com/profile_images/1627476389/WuAy9t5M_normal" TargetMode="External"/><Relationship Id="rId201" Type="http://schemas.openxmlformats.org/officeDocument/2006/relationships/hyperlink" Target="https://pbs.twimg.com/profile_images/565847210089537537/_QAGYNG8_normal.jpeg" TargetMode="External"/><Relationship Id="rId1034" Type="http://schemas.openxmlformats.org/officeDocument/2006/relationships/hyperlink" Target="https://twitter.com/honestjon74" TargetMode="External"/><Relationship Id="rId2365" Type="http://schemas.openxmlformats.org/officeDocument/2006/relationships/hyperlink" Target="https://twitter.com/EmmamaryT/status/804413936770682880" TargetMode="External"/><Relationship Id="rId3695" Type="http://schemas.openxmlformats.org/officeDocument/2006/relationships/hyperlink" Target="https://twitter.com/Lupe_mao/status/805376556914921473" TargetMode="External"/><Relationship Id="rId200" Type="http://schemas.openxmlformats.org/officeDocument/2006/relationships/hyperlink" Target="https://twitter.com/carly581/status/802881317494988800" TargetMode="External"/><Relationship Id="rId1035" Type="http://schemas.openxmlformats.org/officeDocument/2006/relationships/hyperlink" Target="https://twitter.com/honestjon74/status/803526716094349312" TargetMode="External"/><Relationship Id="rId2366" Type="http://schemas.openxmlformats.org/officeDocument/2006/relationships/hyperlink" Target="https://pbs.twimg.com/profile_images/552592000244281344/bJEUsjQU_normal.jpeg" TargetMode="External"/><Relationship Id="rId3698" Type="http://schemas.openxmlformats.org/officeDocument/2006/relationships/hyperlink" Target="https://twitter.com/fastpass2disney/status/805379929181392900" TargetMode="External"/><Relationship Id="rId1036" Type="http://schemas.openxmlformats.org/officeDocument/2006/relationships/hyperlink" Target="https://pbs.twimg.com/profile_images/704375419647213568/SWCQSNqL_normal.jpg" TargetMode="External"/><Relationship Id="rId2367" Type="http://schemas.openxmlformats.org/officeDocument/2006/relationships/hyperlink" Target="https://twitter.com/CanaryIslandsEN" TargetMode="External"/><Relationship Id="rId3697" Type="http://schemas.openxmlformats.org/officeDocument/2006/relationships/hyperlink" Target="https://twitter.com/fastpass2disney" TargetMode="External"/><Relationship Id="rId1026" Type="http://schemas.openxmlformats.org/officeDocument/2006/relationships/hyperlink" Target="https://twitter.com/ICGEB/status/803517030821457920" TargetMode="External"/><Relationship Id="rId2357" Type="http://schemas.openxmlformats.org/officeDocument/2006/relationships/hyperlink" Target="https://pbs.twimg.com/profile_images/798476790478073856/iOD0HIRa_normal.jpg" TargetMode="External"/><Relationship Id="rId3689" Type="http://schemas.openxmlformats.org/officeDocument/2006/relationships/hyperlink" Target="https://twitter.com/Lanzarote_Sov/status/805373587901267968" TargetMode="External"/><Relationship Id="rId1027" Type="http://schemas.openxmlformats.org/officeDocument/2006/relationships/hyperlink" Target="https://pbs.twimg.com/profile_images/459446681386237952/9kvyVvJ8_normal.png" TargetMode="External"/><Relationship Id="rId2358" Type="http://schemas.openxmlformats.org/officeDocument/2006/relationships/hyperlink" Target="https://twitter.com/bermaxo09" TargetMode="External"/><Relationship Id="rId3688" Type="http://schemas.openxmlformats.org/officeDocument/2006/relationships/hyperlink" Target="https://twitter.com/Lanzarote_Sov" TargetMode="External"/><Relationship Id="rId1028" Type="http://schemas.openxmlformats.org/officeDocument/2006/relationships/hyperlink" Target="https://twitter.com/af41a25f23c74e1" TargetMode="External"/><Relationship Id="rId2359" Type="http://schemas.openxmlformats.org/officeDocument/2006/relationships/hyperlink" Target="https://twitter.com/bermaxo09/status/804413185415520256" TargetMode="External"/><Relationship Id="rId1029" Type="http://schemas.openxmlformats.org/officeDocument/2006/relationships/hyperlink" Target="https://twitter.com/af41a25f23c74e1/status/803517059254452224" TargetMode="External"/><Relationship Id="rId3681" Type="http://schemas.openxmlformats.org/officeDocument/2006/relationships/hyperlink" Target="https://pbs.twimg.com/profile_images/592798998773235713/aPa65SQO_normal.jpg" TargetMode="External"/><Relationship Id="rId2350" Type="http://schemas.openxmlformats.org/officeDocument/2006/relationships/hyperlink" Target="https://twitter.com/bermaxo09/status/804411636337389568" TargetMode="External"/><Relationship Id="rId3680" Type="http://schemas.openxmlformats.org/officeDocument/2006/relationships/hyperlink" Target="https://twitter.com/KeyserSoSo/status/805345933810659328" TargetMode="External"/><Relationship Id="rId1020" Type="http://schemas.openxmlformats.org/officeDocument/2006/relationships/hyperlink" Target="https://twitter.com/SuneHolidays/status/803516349053947904" TargetMode="External"/><Relationship Id="rId2351" Type="http://schemas.openxmlformats.org/officeDocument/2006/relationships/hyperlink" Target="https://pbs.twimg.com/profile_images/798476790478073856/iOD0HIRa_normal.jpg" TargetMode="External"/><Relationship Id="rId3683" Type="http://schemas.openxmlformats.org/officeDocument/2006/relationships/hyperlink" Target="https://twitter.com/swisshop4uEs/status/805351130163281921" TargetMode="External"/><Relationship Id="rId1021" Type="http://schemas.openxmlformats.org/officeDocument/2006/relationships/hyperlink" Target="https://pbs.twimg.com/profile_images/686922727480029184/9ztyb32p_normal.jpg" TargetMode="External"/><Relationship Id="rId2352" Type="http://schemas.openxmlformats.org/officeDocument/2006/relationships/hyperlink" Target="https://twitter.com/bermaxo09" TargetMode="External"/><Relationship Id="rId3682" Type="http://schemas.openxmlformats.org/officeDocument/2006/relationships/hyperlink" Target="https://twitter.com/swisshop4uEs" TargetMode="External"/><Relationship Id="rId1022" Type="http://schemas.openxmlformats.org/officeDocument/2006/relationships/hyperlink" Target="https://twitter.com/KeyserSoSo" TargetMode="External"/><Relationship Id="rId2353" Type="http://schemas.openxmlformats.org/officeDocument/2006/relationships/hyperlink" Target="https://twitter.com/bermaxo09/status/804412009152331776" TargetMode="External"/><Relationship Id="rId3685" Type="http://schemas.openxmlformats.org/officeDocument/2006/relationships/hyperlink" Target="https://twitter.com/Shar_edwards" TargetMode="External"/><Relationship Id="rId1023" Type="http://schemas.openxmlformats.org/officeDocument/2006/relationships/hyperlink" Target="https://twitter.com/KeyserSoSo/status/803516407371669504" TargetMode="External"/><Relationship Id="rId2354" Type="http://schemas.openxmlformats.org/officeDocument/2006/relationships/hyperlink" Target="https://pbs.twimg.com/profile_images/798476790478073856/iOD0HIRa_normal.jpg" TargetMode="External"/><Relationship Id="rId3684" Type="http://schemas.openxmlformats.org/officeDocument/2006/relationships/hyperlink" Target="https://pbs.twimg.com/profile_images/378800000213382003/4f562b59f92995b884d2d440f71fc5ce_normal.png" TargetMode="External"/><Relationship Id="rId1024" Type="http://schemas.openxmlformats.org/officeDocument/2006/relationships/hyperlink" Target="https://pbs.twimg.com/profile_images/592798998773235713/aPa65SQO_normal.jpg" TargetMode="External"/><Relationship Id="rId2355" Type="http://schemas.openxmlformats.org/officeDocument/2006/relationships/hyperlink" Target="https://twitter.com/bermaxo09" TargetMode="External"/><Relationship Id="rId3687" Type="http://schemas.openxmlformats.org/officeDocument/2006/relationships/hyperlink" Target="https://pbs.twimg.com/profile_images/747820234032226304/Y68kE9Fa_normal.jpg" TargetMode="External"/><Relationship Id="rId1025" Type="http://schemas.openxmlformats.org/officeDocument/2006/relationships/hyperlink" Target="https://twitter.com/ICGEB" TargetMode="External"/><Relationship Id="rId2356" Type="http://schemas.openxmlformats.org/officeDocument/2006/relationships/hyperlink" Target="https://twitter.com/bermaxo09/status/804412513597034496" TargetMode="External"/><Relationship Id="rId3686" Type="http://schemas.openxmlformats.org/officeDocument/2006/relationships/hyperlink" Target="https://twitter.com/Shar_edwards/status/805358427245596676" TargetMode="External"/><Relationship Id="rId4161" Type="http://schemas.openxmlformats.org/officeDocument/2006/relationships/hyperlink" Target="https://pbs.twimg.com/profile_images/558280615892885504/ApmA4Q1G_normal.jpeg" TargetMode="External"/><Relationship Id="rId4160" Type="http://schemas.openxmlformats.org/officeDocument/2006/relationships/hyperlink" Target="https://twitter.com/Marcos_Fini/status/805698521441665024" TargetMode="External"/><Relationship Id="rId4163" Type="http://schemas.openxmlformats.org/officeDocument/2006/relationships/hyperlink" Target="https://twitter.com/HolaLanzarote/status/805698559316283392" TargetMode="External"/><Relationship Id="rId4162" Type="http://schemas.openxmlformats.org/officeDocument/2006/relationships/hyperlink" Target="https://twitter.com/HolaLanzarote" TargetMode="External"/><Relationship Id="rId4165" Type="http://schemas.openxmlformats.org/officeDocument/2006/relationships/hyperlink" Target="https://twitter.com/fadyhaa" TargetMode="External"/><Relationship Id="rId4164" Type="http://schemas.openxmlformats.org/officeDocument/2006/relationships/hyperlink" Target="https://pbs.twimg.com/profile_images/601786886646956032/HG3I0bFS_normal.png" TargetMode="External"/><Relationship Id="rId4167" Type="http://schemas.openxmlformats.org/officeDocument/2006/relationships/hyperlink" Target="https://pbs.twimg.com/profile_images/539149694102810624/tx3z7kye_normal.jpeg" TargetMode="External"/><Relationship Id="rId4166" Type="http://schemas.openxmlformats.org/officeDocument/2006/relationships/hyperlink" Target="https://twitter.com/fadyhaa/status/805698819467919360" TargetMode="External"/><Relationship Id="rId4169" Type="http://schemas.openxmlformats.org/officeDocument/2006/relationships/hyperlink" Target="https://twitter.com/Mari_Ramos_/status/805700124517298176" TargetMode="External"/><Relationship Id="rId4168" Type="http://schemas.openxmlformats.org/officeDocument/2006/relationships/hyperlink" Target="https://twitter.com/Mari_Ramos_" TargetMode="External"/><Relationship Id="rId4150" Type="http://schemas.openxmlformats.org/officeDocument/2006/relationships/hyperlink" Target="https://twitter.com/DunasHoteles" TargetMode="External"/><Relationship Id="rId4152" Type="http://schemas.openxmlformats.org/officeDocument/2006/relationships/hyperlink" Target="https://pbs.twimg.com/profile_images/461470205227454465/4u4KGofw_normal.jpeg" TargetMode="External"/><Relationship Id="rId4151" Type="http://schemas.openxmlformats.org/officeDocument/2006/relationships/hyperlink" Target="https://twitter.com/DunasHoteles/status/805687018118402048" TargetMode="External"/><Relationship Id="rId4154" Type="http://schemas.openxmlformats.org/officeDocument/2006/relationships/hyperlink" Target="https://twitter.com/SuneHolidays/status/805690676520353792" TargetMode="External"/><Relationship Id="rId4153" Type="http://schemas.openxmlformats.org/officeDocument/2006/relationships/hyperlink" Target="https://twitter.com/SuneHolidays" TargetMode="External"/><Relationship Id="rId4156" Type="http://schemas.openxmlformats.org/officeDocument/2006/relationships/hyperlink" Target="https://twitter.com/stani320" TargetMode="External"/><Relationship Id="rId4155" Type="http://schemas.openxmlformats.org/officeDocument/2006/relationships/hyperlink" Target="https://pbs.twimg.com/profile_images/686922727480029184/9ztyb32p_normal.jpg" TargetMode="External"/><Relationship Id="rId4158" Type="http://schemas.openxmlformats.org/officeDocument/2006/relationships/hyperlink" Target="https://pbs.twimg.com/profile_images/597076476278788096/_4hbSxb7_normal.jpg" TargetMode="External"/><Relationship Id="rId4157" Type="http://schemas.openxmlformats.org/officeDocument/2006/relationships/hyperlink" Target="https://twitter.com/stani320/status/805697756845277184" TargetMode="External"/><Relationship Id="rId4159" Type="http://schemas.openxmlformats.org/officeDocument/2006/relationships/hyperlink" Target="https://twitter.com/Marcos_Fini" TargetMode="External"/><Relationship Id="rId1910" Type="http://schemas.openxmlformats.org/officeDocument/2006/relationships/hyperlink" Target="https://twitter.com/Christi85263321" TargetMode="External"/><Relationship Id="rId1911" Type="http://schemas.openxmlformats.org/officeDocument/2006/relationships/hyperlink" Target="https://twitter.com/Christi85263321/status/804103721907089409" TargetMode="External"/><Relationship Id="rId1912" Type="http://schemas.openxmlformats.org/officeDocument/2006/relationships/hyperlink" Target="https://pbs.twimg.com/profile_images/767471758765064193/1y1DTM8p_normal.jpg" TargetMode="External"/><Relationship Id="rId1913" Type="http://schemas.openxmlformats.org/officeDocument/2006/relationships/hyperlink" Target="https://twitter.com/de1969" TargetMode="External"/><Relationship Id="rId1914" Type="http://schemas.openxmlformats.org/officeDocument/2006/relationships/hyperlink" Target="https://twitter.com/de1969/status/804108880540303360" TargetMode="External"/><Relationship Id="rId1915" Type="http://schemas.openxmlformats.org/officeDocument/2006/relationships/hyperlink" Target="https://pbs.twimg.com/profile_images/1617162796/S4010009_normal.JPG" TargetMode="External"/><Relationship Id="rId1916" Type="http://schemas.openxmlformats.org/officeDocument/2006/relationships/hyperlink" Target="https://twitter.com/ErikaMacia" TargetMode="External"/><Relationship Id="rId1917" Type="http://schemas.openxmlformats.org/officeDocument/2006/relationships/hyperlink" Target="https://twitter.com/ErikaMacia/status/804109794760163328" TargetMode="External"/><Relationship Id="rId1918" Type="http://schemas.openxmlformats.org/officeDocument/2006/relationships/hyperlink" Target="https://pbs.twimg.com/profile_images/615611595578867713/7XZv73m6_normal.jpg" TargetMode="External"/><Relationship Id="rId1919" Type="http://schemas.openxmlformats.org/officeDocument/2006/relationships/hyperlink" Target="https://twitter.com/TfeKitesurf" TargetMode="External"/><Relationship Id="rId4181" Type="http://schemas.openxmlformats.org/officeDocument/2006/relationships/hyperlink" Target="https://twitter.com/ScubaFlorida/status/805703700081688577" TargetMode="External"/><Relationship Id="rId4180" Type="http://schemas.openxmlformats.org/officeDocument/2006/relationships/hyperlink" Target="https://twitter.com/ScubaFlorida" TargetMode="External"/><Relationship Id="rId4183" Type="http://schemas.openxmlformats.org/officeDocument/2006/relationships/hyperlink" Target="https://twitter.com/bermaxo09" TargetMode="External"/><Relationship Id="rId4182" Type="http://schemas.openxmlformats.org/officeDocument/2006/relationships/hyperlink" Target="https://pbs.twimg.com/profile_images/560310747914199040/HR4MGmME_normal.jpeg" TargetMode="External"/><Relationship Id="rId4185" Type="http://schemas.openxmlformats.org/officeDocument/2006/relationships/hyperlink" Target="https://pbs.twimg.com/profile_images/798476790478073856/iOD0HIRa_normal.jpg" TargetMode="External"/><Relationship Id="rId4184" Type="http://schemas.openxmlformats.org/officeDocument/2006/relationships/hyperlink" Target="https://twitter.com/bermaxo09/status/805704061240672256" TargetMode="External"/><Relationship Id="rId4187" Type="http://schemas.openxmlformats.org/officeDocument/2006/relationships/hyperlink" Target="https://twitter.com/enduriaholidays/status/805704351377424384" TargetMode="External"/><Relationship Id="rId4186" Type="http://schemas.openxmlformats.org/officeDocument/2006/relationships/hyperlink" Target="https://twitter.com/enduriaholidays" TargetMode="External"/><Relationship Id="rId4189" Type="http://schemas.openxmlformats.org/officeDocument/2006/relationships/hyperlink" Target="https://twitter.com/bermaxo09" TargetMode="External"/><Relationship Id="rId4188" Type="http://schemas.openxmlformats.org/officeDocument/2006/relationships/hyperlink" Target="https://pbs.twimg.com/profile_images/726026649356128258/xCSaP1IW_normal.jpg" TargetMode="External"/><Relationship Id="rId1900" Type="http://schemas.openxmlformats.org/officeDocument/2006/relationships/hyperlink" Target="https://pbs.twimg.com/profile_images/791309706040078337/0Xv9hV3Q_normal.jpg" TargetMode="External"/><Relationship Id="rId1901" Type="http://schemas.openxmlformats.org/officeDocument/2006/relationships/hyperlink" Target="https://twitter.com/JulioAl18175505" TargetMode="External"/><Relationship Id="rId1902" Type="http://schemas.openxmlformats.org/officeDocument/2006/relationships/hyperlink" Target="https://twitter.com/JulioAl18175505/status/804097177064787968" TargetMode="External"/><Relationship Id="rId1903" Type="http://schemas.openxmlformats.org/officeDocument/2006/relationships/hyperlink" Target="https://pbs.twimg.com/profile_images/706839494851436544/7igsf91D_normal.jpg" TargetMode="External"/><Relationship Id="rId1904" Type="http://schemas.openxmlformats.org/officeDocument/2006/relationships/hyperlink" Target="https://twitter.com/mondo19641" TargetMode="External"/><Relationship Id="rId1905" Type="http://schemas.openxmlformats.org/officeDocument/2006/relationships/hyperlink" Target="https://twitter.com/mondo19641/status/804098476866871296" TargetMode="External"/><Relationship Id="rId1906" Type="http://schemas.openxmlformats.org/officeDocument/2006/relationships/hyperlink" Target="https://pbs.twimg.com/profile_images/745558340420329472/AVr0gejI_normal.jpg" TargetMode="External"/><Relationship Id="rId1907" Type="http://schemas.openxmlformats.org/officeDocument/2006/relationships/hyperlink" Target="https://twitter.com/LocalizaloCan" TargetMode="External"/><Relationship Id="rId1908" Type="http://schemas.openxmlformats.org/officeDocument/2006/relationships/hyperlink" Target="https://twitter.com/LocalizaloCan/status/804099716002828299" TargetMode="External"/><Relationship Id="rId1909" Type="http://schemas.openxmlformats.org/officeDocument/2006/relationships/hyperlink" Target="https://pbs.twimg.com/profile_images/546273241333895168/HfArmCcQ_normal.png" TargetMode="External"/><Relationship Id="rId4170" Type="http://schemas.openxmlformats.org/officeDocument/2006/relationships/hyperlink" Target="https://pbs.twimg.com/profile_images/794679362788478977/dOKv-_FP_normal.jpg" TargetMode="External"/><Relationship Id="rId4172" Type="http://schemas.openxmlformats.org/officeDocument/2006/relationships/hyperlink" Target="https://twitter.com/_TenDive/status/805700791717785601" TargetMode="External"/><Relationship Id="rId4171" Type="http://schemas.openxmlformats.org/officeDocument/2006/relationships/hyperlink" Target="https://twitter.com/_TenDive" TargetMode="External"/><Relationship Id="rId4174" Type="http://schemas.openxmlformats.org/officeDocument/2006/relationships/hyperlink" Target="https://twitter.com/KeyserSoSo" TargetMode="External"/><Relationship Id="rId4173" Type="http://schemas.openxmlformats.org/officeDocument/2006/relationships/hyperlink" Target="https://pbs.twimg.com/profile_images/694439157893107712/KkG57Zcq_normal.jpg" TargetMode="External"/><Relationship Id="rId4176" Type="http://schemas.openxmlformats.org/officeDocument/2006/relationships/hyperlink" Target="https://pbs.twimg.com/profile_images/592798998773235713/aPa65SQO_normal.jpg" TargetMode="External"/><Relationship Id="rId4175" Type="http://schemas.openxmlformats.org/officeDocument/2006/relationships/hyperlink" Target="https://twitter.com/KeyserSoSo/status/805701790746476544" TargetMode="External"/><Relationship Id="rId4178" Type="http://schemas.openxmlformats.org/officeDocument/2006/relationships/hyperlink" Target="https://twitter.com/CanaryIslandsEN/status/805703288075288577" TargetMode="External"/><Relationship Id="rId4177" Type="http://schemas.openxmlformats.org/officeDocument/2006/relationships/hyperlink" Target="https://twitter.com/CanaryIslandsEN" TargetMode="External"/><Relationship Id="rId4179" Type="http://schemas.openxmlformats.org/officeDocument/2006/relationships/hyperlink" Target="https://pbs.twimg.com/profile_images/754960714704584704/14dQxsF8_normal.jpg" TargetMode="External"/><Relationship Id="rId4129" Type="http://schemas.openxmlformats.org/officeDocument/2006/relationships/hyperlink" Target="https://twitter.com/dorgedys_v" TargetMode="External"/><Relationship Id="rId4128" Type="http://schemas.openxmlformats.org/officeDocument/2006/relationships/hyperlink" Target="https://pbs.twimg.com/profile_images/779877217887072256/3ozJpNVN_normal.jpg" TargetMode="External"/><Relationship Id="rId1090" Type="http://schemas.openxmlformats.org/officeDocument/2006/relationships/hyperlink" Target="https://pbs.twimg.com/profile_images/782619570972528641/hKvcsIJu_normal.jpg" TargetMode="External"/><Relationship Id="rId1091" Type="http://schemas.openxmlformats.org/officeDocument/2006/relationships/hyperlink" Target="https://twitter.com/jademig" TargetMode="External"/><Relationship Id="rId1092" Type="http://schemas.openxmlformats.org/officeDocument/2006/relationships/hyperlink" Target="https://twitter.com/jademig/status/803555694368591872" TargetMode="External"/><Relationship Id="rId1093" Type="http://schemas.openxmlformats.org/officeDocument/2006/relationships/hyperlink" Target="https://pbs.twimg.com/profile_images/713485938903687169/_O3_SYEC_normal.jpg" TargetMode="External"/><Relationship Id="rId1094" Type="http://schemas.openxmlformats.org/officeDocument/2006/relationships/hyperlink" Target="https://twitter.com/gonorsa" TargetMode="External"/><Relationship Id="rId1095" Type="http://schemas.openxmlformats.org/officeDocument/2006/relationships/hyperlink" Target="https://twitter.com/gonorsa/status/803558294157688832" TargetMode="External"/><Relationship Id="rId4121" Type="http://schemas.openxmlformats.org/officeDocument/2006/relationships/hyperlink" Target="https://twitter.com/TheBrandAnalyst/status/805594605748101121" TargetMode="External"/><Relationship Id="rId1096" Type="http://schemas.openxmlformats.org/officeDocument/2006/relationships/hyperlink" Target="https://pbs.twimg.com/profile_images/446673582173597698/mbNqa2tF_normal.jpeg" TargetMode="External"/><Relationship Id="rId4120" Type="http://schemas.openxmlformats.org/officeDocument/2006/relationships/hyperlink" Target="https://twitter.com/TheBrandAnalyst" TargetMode="External"/><Relationship Id="rId1097" Type="http://schemas.openxmlformats.org/officeDocument/2006/relationships/hyperlink" Target="https://twitter.com/FaunaPromar" TargetMode="External"/><Relationship Id="rId4123" Type="http://schemas.openxmlformats.org/officeDocument/2006/relationships/hyperlink" Target="https://twitter.com/IzzayB" TargetMode="External"/><Relationship Id="rId1098" Type="http://schemas.openxmlformats.org/officeDocument/2006/relationships/hyperlink" Target="https://twitter.com/FaunaPromar/status/803575893478309889" TargetMode="External"/><Relationship Id="rId4122" Type="http://schemas.openxmlformats.org/officeDocument/2006/relationships/hyperlink" Target="https://pbs.twimg.com/profile_images/657095542678396928/AMTcv_N8_normal.jpg" TargetMode="External"/><Relationship Id="rId1099" Type="http://schemas.openxmlformats.org/officeDocument/2006/relationships/hyperlink" Target="https://pbs.twimg.com/profile_images/446609757609017344/hFUJVrRf_normal.jpeg" TargetMode="External"/><Relationship Id="rId4125" Type="http://schemas.openxmlformats.org/officeDocument/2006/relationships/hyperlink" Target="https://pbs.twimg.com/profile_images/566115922864537600/R3JvqVF3_normal.jpeg" TargetMode="External"/><Relationship Id="rId4124" Type="http://schemas.openxmlformats.org/officeDocument/2006/relationships/hyperlink" Target="https://twitter.com/IzzayB/status/805620430157598722" TargetMode="External"/><Relationship Id="rId4127" Type="http://schemas.openxmlformats.org/officeDocument/2006/relationships/hyperlink" Target="https://twitter.com/nomadictravel1/status/805627553738203136" TargetMode="External"/><Relationship Id="rId4126" Type="http://schemas.openxmlformats.org/officeDocument/2006/relationships/hyperlink" Target="https://twitter.com/nomadictravel1" TargetMode="External"/><Relationship Id="rId4118" Type="http://schemas.openxmlformats.org/officeDocument/2006/relationships/hyperlink" Target="https://twitter.com/runawayjane/status/805574113859432448" TargetMode="External"/><Relationship Id="rId4117" Type="http://schemas.openxmlformats.org/officeDocument/2006/relationships/hyperlink" Target="https://twitter.com/runawayjane" TargetMode="External"/><Relationship Id="rId4119" Type="http://schemas.openxmlformats.org/officeDocument/2006/relationships/hyperlink" Target="https://pbs.twimg.com/profile_images/610863236/twitter_pic_normal.jpg" TargetMode="External"/><Relationship Id="rId1080" Type="http://schemas.openxmlformats.org/officeDocument/2006/relationships/hyperlink" Target="https://twitter.com/mun2travel/status/803550251109978112" TargetMode="External"/><Relationship Id="rId1081" Type="http://schemas.openxmlformats.org/officeDocument/2006/relationships/hyperlink" Target="https://pbs.twimg.com/profile_images/459624649395953665/ceNKFVq-_normal.jpeg" TargetMode="External"/><Relationship Id="rId1082" Type="http://schemas.openxmlformats.org/officeDocument/2006/relationships/hyperlink" Target="https://twitter.com/MMarioPhoto" TargetMode="External"/><Relationship Id="rId1083" Type="http://schemas.openxmlformats.org/officeDocument/2006/relationships/hyperlink" Target="https://twitter.com/MMarioPhoto/status/803550837956034561" TargetMode="External"/><Relationship Id="rId1084" Type="http://schemas.openxmlformats.org/officeDocument/2006/relationships/hyperlink" Target="https://pbs.twimg.com/profile_images/795915398847856640/F-vNtsm7_normal.jpg" TargetMode="External"/><Relationship Id="rId4110" Type="http://schemas.openxmlformats.org/officeDocument/2006/relationships/hyperlink" Target="https://pbs.twimg.com/profile_images/661504929606057984/Q5xrk4Oc_normal.jpg" TargetMode="External"/><Relationship Id="rId1085" Type="http://schemas.openxmlformats.org/officeDocument/2006/relationships/hyperlink" Target="https://twitter.com/HessleTravel" TargetMode="External"/><Relationship Id="rId1086" Type="http://schemas.openxmlformats.org/officeDocument/2006/relationships/hyperlink" Target="https://twitter.com/HessleTravel/status/803551839765561344" TargetMode="External"/><Relationship Id="rId4112" Type="http://schemas.openxmlformats.org/officeDocument/2006/relationships/hyperlink" Target="https://twitter.com/suarezbobadill1/status/805569571956592641" TargetMode="External"/><Relationship Id="rId1087" Type="http://schemas.openxmlformats.org/officeDocument/2006/relationships/hyperlink" Target="https://pbs.twimg.com/profile_images/698309673066303488/gU84mK_F_normal.jpg" TargetMode="External"/><Relationship Id="rId4111" Type="http://schemas.openxmlformats.org/officeDocument/2006/relationships/hyperlink" Target="https://twitter.com/suarezbobadill1" TargetMode="External"/><Relationship Id="rId1088" Type="http://schemas.openxmlformats.org/officeDocument/2006/relationships/hyperlink" Target="https://twitter.com/ajpReact" TargetMode="External"/><Relationship Id="rId4114" Type="http://schemas.openxmlformats.org/officeDocument/2006/relationships/hyperlink" Target="https://twitter.com/YourBestMomTips" TargetMode="External"/><Relationship Id="rId1089" Type="http://schemas.openxmlformats.org/officeDocument/2006/relationships/hyperlink" Target="https://twitter.com/ajpReact/status/803554108183605248" TargetMode="External"/><Relationship Id="rId4113" Type="http://schemas.openxmlformats.org/officeDocument/2006/relationships/hyperlink" Target="https://pbs.twimg.com/profile_images/785578687332651009/Vzot5g7n_normal.jpg" TargetMode="External"/><Relationship Id="rId4116" Type="http://schemas.openxmlformats.org/officeDocument/2006/relationships/hyperlink" Target="https://pbs.twimg.com/profile_images/780118408830398464/rlL472Yh_normal.jpg" TargetMode="External"/><Relationship Id="rId4115" Type="http://schemas.openxmlformats.org/officeDocument/2006/relationships/hyperlink" Target="https://twitter.com/YourBestMomTips/status/805569791608098821" TargetMode="External"/><Relationship Id="rId4141" Type="http://schemas.openxmlformats.org/officeDocument/2006/relationships/hyperlink" Target="https://twitter.com/bermaxo09" TargetMode="External"/><Relationship Id="rId4140" Type="http://schemas.openxmlformats.org/officeDocument/2006/relationships/hyperlink" Target="https://pbs.twimg.com/profile_images/798476790478073856/iOD0HIRa_normal.jpg" TargetMode="External"/><Relationship Id="rId4143" Type="http://schemas.openxmlformats.org/officeDocument/2006/relationships/hyperlink" Target="https://pbs.twimg.com/profile_images/798476790478073856/iOD0HIRa_normal.jpg" TargetMode="External"/><Relationship Id="rId4142" Type="http://schemas.openxmlformats.org/officeDocument/2006/relationships/hyperlink" Target="https://twitter.com/bermaxo09/status/805676626319130624" TargetMode="External"/><Relationship Id="rId4145" Type="http://schemas.openxmlformats.org/officeDocument/2006/relationships/hyperlink" Target="https://twitter.com/bermaxo09/status/805677468828991488" TargetMode="External"/><Relationship Id="rId4144" Type="http://schemas.openxmlformats.org/officeDocument/2006/relationships/hyperlink" Target="https://twitter.com/bermaxo09" TargetMode="External"/><Relationship Id="rId4147" Type="http://schemas.openxmlformats.org/officeDocument/2006/relationships/hyperlink" Target="https://twitter.com/aghotelspa" TargetMode="External"/><Relationship Id="rId4146" Type="http://schemas.openxmlformats.org/officeDocument/2006/relationships/hyperlink" Target="https://pbs.twimg.com/profile_images/798476790478073856/iOD0HIRa_normal.jpg" TargetMode="External"/><Relationship Id="rId4149" Type="http://schemas.openxmlformats.org/officeDocument/2006/relationships/hyperlink" Target="https://pbs.twimg.com/profile_images/3224102495/88947978fb5cc36495ea869a5fb39f8d_normal.jpeg" TargetMode="External"/><Relationship Id="rId4148" Type="http://schemas.openxmlformats.org/officeDocument/2006/relationships/hyperlink" Target="https://twitter.com/aghotelspa/status/805678715321589761" TargetMode="External"/><Relationship Id="rId4139" Type="http://schemas.openxmlformats.org/officeDocument/2006/relationships/hyperlink" Target="https://twitter.com/bermaxo09/status/805675548508909568" TargetMode="External"/><Relationship Id="rId4130" Type="http://schemas.openxmlformats.org/officeDocument/2006/relationships/hyperlink" Target="https://twitter.com/dorgedys_v/status/805628780890980352" TargetMode="External"/><Relationship Id="rId4132" Type="http://schemas.openxmlformats.org/officeDocument/2006/relationships/hyperlink" Target="https://twitter.com/cipensoio_es" TargetMode="External"/><Relationship Id="rId4131" Type="http://schemas.openxmlformats.org/officeDocument/2006/relationships/hyperlink" Target="https://pbs.twimg.com/profile_images/774515617206415360/n01sONuB_normal.jpg" TargetMode="External"/><Relationship Id="rId4134" Type="http://schemas.openxmlformats.org/officeDocument/2006/relationships/hyperlink" Target="https://pbs.twimg.com/profile_images/724100050712965120/iQ1WASBM_normal.jpg" TargetMode="External"/><Relationship Id="rId4133" Type="http://schemas.openxmlformats.org/officeDocument/2006/relationships/hyperlink" Target="https://twitter.com/cipensoio_es/status/805641183049486336" TargetMode="External"/><Relationship Id="rId4136" Type="http://schemas.openxmlformats.org/officeDocument/2006/relationships/hyperlink" Target="https://twitter.com/bermaxo09/status/805674066728407040" TargetMode="External"/><Relationship Id="rId4135" Type="http://schemas.openxmlformats.org/officeDocument/2006/relationships/hyperlink" Target="https://twitter.com/bermaxo09" TargetMode="External"/><Relationship Id="rId4138" Type="http://schemas.openxmlformats.org/officeDocument/2006/relationships/hyperlink" Target="https://twitter.com/bermaxo09" TargetMode="External"/><Relationship Id="rId4137" Type="http://schemas.openxmlformats.org/officeDocument/2006/relationships/hyperlink" Target="https://pbs.twimg.com/profile_images/798476790478073856/iOD0HIRa_normal.jpg" TargetMode="External"/><Relationship Id="rId1972" Type="http://schemas.openxmlformats.org/officeDocument/2006/relationships/hyperlink" Target="https://pbs.twimg.com/profile_images/774849305056256004/WDyKIIiO_normal.jpg" TargetMode="External"/><Relationship Id="rId1973" Type="http://schemas.openxmlformats.org/officeDocument/2006/relationships/hyperlink" Target="https://twitter.com/CAllstadt" TargetMode="External"/><Relationship Id="rId1974" Type="http://schemas.openxmlformats.org/officeDocument/2006/relationships/hyperlink" Target="https://twitter.com/CAllstadt/status/804215824529625088" TargetMode="External"/><Relationship Id="rId1975" Type="http://schemas.openxmlformats.org/officeDocument/2006/relationships/hyperlink" Target="https://pbs.twimg.com/profile_images/774849305056256004/WDyKIIiO_normal.jpg" TargetMode="External"/><Relationship Id="rId1976" Type="http://schemas.openxmlformats.org/officeDocument/2006/relationships/hyperlink" Target="https://twitter.com/CAllstadt" TargetMode="External"/><Relationship Id="rId1977" Type="http://schemas.openxmlformats.org/officeDocument/2006/relationships/hyperlink" Target="https://twitter.com/CAllstadt/status/804215850983165952" TargetMode="External"/><Relationship Id="rId1978" Type="http://schemas.openxmlformats.org/officeDocument/2006/relationships/hyperlink" Target="https://pbs.twimg.com/profile_images/774849305056256004/WDyKIIiO_normal.jpg" TargetMode="External"/><Relationship Id="rId1979" Type="http://schemas.openxmlformats.org/officeDocument/2006/relationships/hyperlink" Target="https://twitter.com/CAllstadt" TargetMode="External"/><Relationship Id="rId1970" Type="http://schemas.openxmlformats.org/officeDocument/2006/relationships/hyperlink" Target="https://twitter.com/CAllstadt" TargetMode="External"/><Relationship Id="rId1971" Type="http://schemas.openxmlformats.org/officeDocument/2006/relationships/hyperlink" Target="https://twitter.com/CAllstadt/status/804215805894426624" TargetMode="External"/><Relationship Id="rId1961" Type="http://schemas.openxmlformats.org/officeDocument/2006/relationships/hyperlink" Target="https://twitter.com/rickfoliva" TargetMode="External"/><Relationship Id="rId1962" Type="http://schemas.openxmlformats.org/officeDocument/2006/relationships/hyperlink" Target="https://twitter.com/rickfoliva/status/804138331701448704" TargetMode="External"/><Relationship Id="rId1963" Type="http://schemas.openxmlformats.org/officeDocument/2006/relationships/hyperlink" Target="https://pbs.twimg.com/profile_images/731471241282871297/LE7uB3IZ_normal.jpg" TargetMode="External"/><Relationship Id="rId1964" Type="http://schemas.openxmlformats.org/officeDocument/2006/relationships/hyperlink" Target="https://twitter.com/MatthewHirtes" TargetMode="External"/><Relationship Id="rId1965" Type="http://schemas.openxmlformats.org/officeDocument/2006/relationships/hyperlink" Target="https://twitter.com/MatthewHirtes/status/804169651831926785" TargetMode="External"/><Relationship Id="rId1966" Type="http://schemas.openxmlformats.org/officeDocument/2006/relationships/hyperlink" Target="https://pbs.twimg.com/profile_images/2882758712/12b371fa0215f5747eecc910e918ee79_normal.jpeg" TargetMode="External"/><Relationship Id="rId1967" Type="http://schemas.openxmlformats.org/officeDocument/2006/relationships/hyperlink" Target="https://twitter.com/FrankMagnin" TargetMode="External"/><Relationship Id="rId1968" Type="http://schemas.openxmlformats.org/officeDocument/2006/relationships/hyperlink" Target="https://twitter.com/FrankMagnin/status/804189358844739584" TargetMode="External"/><Relationship Id="rId1969" Type="http://schemas.openxmlformats.org/officeDocument/2006/relationships/hyperlink" Target="https://pbs.twimg.com/profile_images/417249410490179584/_HsFGNXw_normal.jpeg" TargetMode="External"/><Relationship Id="rId1960" Type="http://schemas.openxmlformats.org/officeDocument/2006/relationships/hyperlink" Target="https://pbs.twimg.com/profile_images/731471241282871297/LE7uB3IZ_normal.jpg" TargetMode="External"/><Relationship Id="rId1994" Type="http://schemas.openxmlformats.org/officeDocument/2006/relationships/hyperlink" Target="https://twitter.com/bermaxo09" TargetMode="External"/><Relationship Id="rId1995" Type="http://schemas.openxmlformats.org/officeDocument/2006/relationships/hyperlink" Target="https://twitter.com/bermaxo09/status/804225857430683648" TargetMode="External"/><Relationship Id="rId1996" Type="http://schemas.openxmlformats.org/officeDocument/2006/relationships/hyperlink" Target="https://pbs.twimg.com/profile_images/798476790478073856/iOD0HIRa_normal.jpg" TargetMode="External"/><Relationship Id="rId1997" Type="http://schemas.openxmlformats.org/officeDocument/2006/relationships/hyperlink" Target="https://twitter.com/bermaxo09" TargetMode="External"/><Relationship Id="rId1998" Type="http://schemas.openxmlformats.org/officeDocument/2006/relationships/hyperlink" Target="https://twitter.com/bermaxo09/status/804227141235802112" TargetMode="External"/><Relationship Id="rId1999" Type="http://schemas.openxmlformats.org/officeDocument/2006/relationships/hyperlink" Target="https://pbs.twimg.com/profile_images/798476790478073856/iOD0HIRa_normal.jpg" TargetMode="External"/><Relationship Id="rId1990" Type="http://schemas.openxmlformats.org/officeDocument/2006/relationships/hyperlink" Target="https://pbs.twimg.com/profile_images/694439157893107712/KkG57Zcq_normal.jpg" TargetMode="External"/><Relationship Id="rId1991" Type="http://schemas.openxmlformats.org/officeDocument/2006/relationships/hyperlink" Target="https://twitter.com/ScubaFlorida" TargetMode="External"/><Relationship Id="rId1992" Type="http://schemas.openxmlformats.org/officeDocument/2006/relationships/hyperlink" Target="https://twitter.com/ScubaFlorida/status/804223750233276416" TargetMode="External"/><Relationship Id="rId1993" Type="http://schemas.openxmlformats.org/officeDocument/2006/relationships/hyperlink" Target="https://pbs.twimg.com/profile_images/560310747914199040/HR4MGmME_normal.jpeg" TargetMode="External"/><Relationship Id="rId1983" Type="http://schemas.openxmlformats.org/officeDocument/2006/relationships/hyperlink" Target="https://twitter.com/CAllstadt/status/804215894595530752" TargetMode="External"/><Relationship Id="rId1984" Type="http://schemas.openxmlformats.org/officeDocument/2006/relationships/hyperlink" Target="https://pbs.twimg.com/profile_images/774849305056256004/WDyKIIiO_normal.jpg" TargetMode="External"/><Relationship Id="rId1985" Type="http://schemas.openxmlformats.org/officeDocument/2006/relationships/hyperlink" Target="https://twitter.com/morrigans" TargetMode="External"/><Relationship Id="rId1986" Type="http://schemas.openxmlformats.org/officeDocument/2006/relationships/hyperlink" Target="https://twitter.com/morrigans/status/804219367407964160" TargetMode="External"/><Relationship Id="rId1987" Type="http://schemas.openxmlformats.org/officeDocument/2006/relationships/hyperlink" Target="https://pbs.twimg.com/profile_images/378800000394256871/e41f4ca6b94fc79675bc333da617c071_normal.jpeg" TargetMode="External"/><Relationship Id="rId1988" Type="http://schemas.openxmlformats.org/officeDocument/2006/relationships/hyperlink" Target="https://twitter.com/_TenDive" TargetMode="External"/><Relationship Id="rId1989" Type="http://schemas.openxmlformats.org/officeDocument/2006/relationships/hyperlink" Target="https://twitter.com/_TenDive/status/804223188746010624" TargetMode="External"/><Relationship Id="rId1980" Type="http://schemas.openxmlformats.org/officeDocument/2006/relationships/hyperlink" Target="https://twitter.com/CAllstadt/status/804215872864788480" TargetMode="External"/><Relationship Id="rId1981" Type="http://schemas.openxmlformats.org/officeDocument/2006/relationships/hyperlink" Target="https://pbs.twimg.com/profile_images/774849305056256004/WDyKIIiO_normal.jpg" TargetMode="External"/><Relationship Id="rId1982" Type="http://schemas.openxmlformats.org/officeDocument/2006/relationships/hyperlink" Target="https://twitter.com/CAllstadt" TargetMode="External"/><Relationship Id="rId1930" Type="http://schemas.openxmlformats.org/officeDocument/2006/relationships/hyperlink" Target="https://pbs.twimg.com/profile_images/805668379935776768/1oa1EDyY_normal.jpg" TargetMode="External"/><Relationship Id="rId1931" Type="http://schemas.openxmlformats.org/officeDocument/2006/relationships/hyperlink" Target="https://twitter.com/Shades_Of_Bad_" TargetMode="External"/><Relationship Id="rId1932" Type="http://schemas.openxmlformats.org/officeDocument/2006/relationships/hyperlink" Target="https://twitter.com/Shades_Of_Bad_/status/804127187959971841" TargetMode="External"/><Relationship Id="rId1933" Type="http://schemas.openxmlformats.org/officeDocument/2006/relationships/hyperlink" Target="https://pbs.twimg.com/profile_images/605126470994903041/ANadzfFp_normal.jpg" TargetMode="External"/><Relationship Id="rId1934" Type="http://schemas.openxmlformats.org/officeDocument/2006/relationships/hyperlink" Target="https://twitter.com/DorisShades" TargetMode="External"/><Relationship Id="rId1935" Type="http://schemas.openxmlformats.org/officeDocument/2006/relationships/hyperlink" Target="https://twitter.com/DorisShades/status/804127196164059136" TargetMode="External"/><Relationship Id="rId1936" Type="http://schemas.openxmlformats.org/officeDocument/2006/relationships/hyperlink" Target="https://pbs.twimg.com/profile_images/777456052094791681/oTN7NDTr_normal.jpg" TargetMode="External"/><Relationship Id="rId1937" Type="http://schemas.openxmlformats.org/officeDocument/2006/relationships/hyperlink" Target="https://twitter.com/Doris_Blog" TargetMode="External"/><Relationship Id="rId1938" Type="http://schemas.openxmlformats.org/officeDocument/2006/relationships/hyperlink" Target="https://twitter.com/Doris_Blog/status/804127208205905920" TargetMode="External"/><Relationship Id="rId1939" Type="http://schemas.openxmlformats.org/officeDocument/2006/relationships/hyperlink" Target="https://pbs.twimg.com/profile_images/769621211911450624/O-JLlK5O_normal.jpg" TargetMode="External"/><Relationship Id="rId1920" Type="http://schemas.openxmlformats.org/officeDocument/2006/relationships/hyperlink" Target="https://twitter.com/TfeKitesurf/status/804111966172311552" TargetMode="External"/><Relationship Id="rId1921" Type="http://schemas.openxmlformats.org/officeDocument/2006/relationships/hyperlink" Target="https://pbs.twimg.com/profile_images/692758256259854340/d-9aYuwh_normal.jpg" TargetMode="External"/><Relationship Id="rId1922" Type="http://schemas.openxmlformats.org/officeDocument/2006/relationships/hyperlink" Target="https://twitter.com/millaquita01" TargetMode="External"/><Relationship Id="rId1923" Type="http://schemas.openxmlformats.org/officeDocument/2006/relationships/hyperlink" Target="https://twitter.com/millaquita01/status/804112498563698688" TargetMode="External"/><Relationship Id="rId1924" Type="http://schemas.openxmlformats.org/officeDocument/2006/relationships/hyperlink" Target="https://pbs.twimg.com/profile_images/792356121482788864/6DdzEHri_normal.jpg" TargetMode="External"/><Relationship Id="rId1925" Type="http://schemas.openxmlformats.org/officeDocument/2006/relationships/hyperlink" Target="https://twitter.com/swisshop4uEs" TargetMode="External"/><Relationship Id="rId1926" Type="http://schemas.openxmlformats.org/officeDocument/2006/relationships/hyperlink" Target="https://twitter.com/swisshop4uEs/status/804114094504771584" TargetMode="External"/><Relationship Id="rId1927" Type="http://schemas.openxmlformats.org/officeDocument/2006/relationships/hyperlink" Target="https://pbs.twimg.com/profile_images/378800000213382003/4f562b59f92995b884d2d440f71fc5ce_normal.png" TargetMode="External"/><Relationship Id="rId1928" Type="http://schemas.openxmlformats.org/officeDocument/2006/relationships/hyperlink" Target="https://twitter.com/BARBARA97459" TargetMode="External"/><Relationship Id="rId1929" Type="http://schemas.openxmlformats.org/officeDocument/2006/relationships/hyperlink" Target="https://twitter.com/BARBARA97459/status/804121718939877377" TargetMode="External"/><Relationship Id="rId4190" Type="http://schemas.openxmlformats.org/officeDocument/2006/relationships/hyperlink" Target="https://twitter.com/bermaxo09/status/805704485230313472" TargetMode="External"/><Relationship Id="rId4192" Type="http://schemas.openxmlformats.org/officeDocument/2006/relationships/hyperlink" Target="https://twitter.com/SandsBeach" TargetMode="External"/><Relationship Id="rId4191" Type="http://schemas.openxmlformats.org/officeDocument/2006/relationships/hyperlink" Target="https://pbs.twimg.com/profile_images/798476790478073856/iOD0HIRa_normal.jpg" TargetMode="External"/><Relationship Id="rId4194" Type="http://schemas.openxmlformats.org/officeDocument/2006/relationships/hyperlink" Target="https://pbs.twimg.com/profile_images/2110948374/avatar_normal.png" TargetMode="External"/><Relationship Id="rId4193" Type="http://schemas.openxmlformats.org/officeDocument/2006/relationships/hyperlink" Target="https://twitter.com/SandsBeach/status/805704489395167232" TargetMode="External"/><Relationship Id="rId4196" Type="http://schemas.openxmlformats.org/officeDocument/2006/relationships/hyperlink" Target="https://twitter.com/auto_reisen/status/805704669951651840" TargetMode="External"/><Relationship Id="rId4195" Type="http://schemas.openxmlformats.org/officeDocument/2006/relationships/hyperlink" Target="https://twitter.com/auto_reisen" TargetMode="External"/><Relationship Id="rId4198" Type="http://schemas.openxmlformats.org/officeDocument/2006/relationships/hyperlink" Target="https://twitter.com/bermaxo09" TargetMode="External"/><Relationship Id="rId4197" Type="http://schemas.openxmlformats.org/officeDocument/2006/relationships/hyperlink" Target="https://pbs.twimg.com/profile_images/753537830752845824/CAcHgdYu_normal.jpg" TargetMode="External"/><Relationship Id="rId4199" Type="http://schemas.openxmlformats.org/officeDocument/2006/relationships/hyperlink" Target="https://twitter.com/bermaxo09/status/805705806876463104" TargetMode="External"/><Relationship Id="rId1950" Type="http://schemas.openxmlformats.org/officeDocument/2006/relationships/hyperlink" Target="https://twitter.com/rickfoliva/status/804138320842330112" TargetMode="External"/><Relationship Id="rId1951" Type="http://schemas.openxmlformats.org/officeDocument/2006/relationships/hyperlink" Target="https://pbs.twimg.com/profile_images/731471241282871297/LE7uB3IZ_normal.jpg" TargetMode="External"/><Relationship Id="rId1952" Type="http://schemas.openxmlformats.org/officeDocument/2006/relationships/hyperlink" Target="https://twitter.com/rickfoliva" TargetMode="External"/><Relationship Id="rId1953" Type="http://schemas.openxmlformats.org/officeDocument/2006/relationships/hyperlink" Target="https://twitter.com/rickfoliva/status/804138323405062147" TargetMode="External"/><Relationship Id="rId1954" Type="http://schemas.openxmlformats.org/officeDocument/2006/relationships/hyperlink" Target="https://pbs.twimg.com/profile_images/731471241282871297/LE7uB3IZ_normal.jpg" TargetMode="External"/><Relationship Id="rId1955" Type="http://schemas.openxmlformats.org/officeDocument/2006/relationships/hyperlink" Target="https://twitter.com/rickfoliva" TargetMode="External"/><Relationship Id="rId1956" Type="http://schemas.openxmlformats.org/officeDocument/2006/relationships/hyperlink" Target="https://twitter.com/rickfoliva/status/804138325607071744" TargetMode="External"/><Relationship Id="rId1957" Type="http://schemas.openxmlformats.org/officeDocument/2006/relationships/hyperlink" Target="https://pbs.twimg.com/profile_images/731471241282871297/LE7uB3IZ_normal.jpg" TargetMode="External"/><Relationship Id="rId1958" Type="http://schemas.openxmlformats.org/officeDocument/2006/relationships/hyperlink" Target="https://twitter.com/rickfoliva" TargetMode="External"/><Relationship Id="rId1959" Type="http://schemas.openxmlformats.org/officeDocument/2006/relationships/hyperlink" Target="https://twitter.com/rickfoliva/status/804138328652136449" TargetMode="External"/><Relationship Id="rId1940" Type="http://schemas.openxmlformats.org/officeDocument/2006/relationships/hyperlink" Target="https://twitter.com/ComposerShades" TargetMode="External"/><Relationship Id="rId1941" Type="http://schemas.openxmlformats.org/officeDocument/2006/relationships/hyperlink" Target="https://twitter.com/ComposerShades/status/804127215281729536" TargetMode="External"/><Relationship Id="rId1942" Type="http://schemas.openxmlformats.org/officeDocument/2006/relationships/hyperlink" Target="https://pbs.twimg.com/profile_images/783382917640781824/AqM_zAOY_normal.jpg" TargetMode="External"/><Relationship Id="rId1943" Type="http://schemas.openxmlformats.org/officeDocument/2006/relationships/hyperlink" Target="https://twitter.com/DorisVisits" TargetMode="External"/><Relationship Id="rId1944" Type="http://schemas.openxmlformats.org/officeDocument/2006/relationships/hyperlink" Target="https://twitter.com/DorisVisits/status/804127222051250176" TargetMode="External"/><Relationship Id="rId1945" Type="http://schemas.openxmlformats.org/officeDocument/2006/relationships/hyperlink" Target="https://pbs.twimg.com/profile_images/668416648211222529/-2knYf0__normal.jpg" TargetMode="External"/><Relationship Id="rId1946" Type="http://schemas.openxmlformats.org/officeDocument/2006/relationships/hyperlink" Target="https://twitter.com/MatthewHirtes" TargetMode="External"/><Relationship Id="rId1947" Type="http://schemas.openxmlformats.org/officeDocument/2006/relationships/hyperlink" Target="https://twitter.com/MatthewHirtes/status/804129166480338944" TargetMode="External"/><Relationship Id="rId1948" Type="http://schemas.openxmlformats.org/officeDocument/2006/relationships/hyperlink" Target="https://pbs.twimg.com/profile_images/2882758712/12b371fa0215f5747eecc910e918ee79_normal.jpeg" TargetMode="External"/><Relationship Id="rId1949" Type="http://schemas.openxmlformats.org/officeDocument/2006/relationships/hyperlink" Target="https://twitter.com/rickfoliva" TargetMode="External"/><Relationship Id="rId2423" Type="http://schemas.openxmlformats.org/officeDocument/2006/relationships/hyperlink" Target="https://pbs.twimg.com/profile_images/802073872866705408/wMHnHYch_normal.jpg" TargetMode="External"/><Relationship Id="rId3755" Type="http://schemas.openxmlformats.org/officeDocument/2006/relationships/hyperlink" Target="https://twitter.com/JAGreenhill/status/805398081508405248" TargetMode="External"/><Relationship Id="rId2424" Type="http://schemas.openxmlformats.org/officeDocument/2006/relationships/hyperlink" Target="https://twitter.com/TherezaPrez" TargetMode="External"/><Relationship Id="rId3754" Type="http://schemas.openxmlformats.org/officeDocument/2006/relationships/hyperlink" Target="https://twitter.com/JAGreenhill" TargetMode="External"/><Relationship Id="rId2425" Type="http://schemas.openxmlformats.org/officeDocument/2006/relationships/hyperlink" Target="https://twitter.com/TherezaPrez/status/804445267827298304" TargetMode="External"/><Relationship Id="rId3757" Type="http://schemas.openxmlformats.org/officeDocument/2006/relationships/hyperlink" Target="https://twitter.com/LesRandosdeCaco" TargetMode="External"/><Relationship Id="rId2426" Type="http://schemas.openxmlformats.org/officeDocument/2006/relationships/hyperlink" Target="https://pbs.twimg.com/profile_images/634395015956070400/l1HFr-YM_normal.jpg" TargetMode="External"/><Relationship Id="rId3756" Type="http://schemas.openxmlformats.org/officeDocument/2006/relationships/hyperlink" Target="https://pbs.twimg.com/profile_images/805052311466897409/zHKEhdG9_normal.jpg" TargetMode="External"/><Relationship Id="rId2427" Type="http://schemas.openxmlformats.org/officeDocument/2006/relationships/hyperlink" Target="https://twitter.com/swisshop4uEs" TargetMode="External"/><Relationship Id="rId3759" Type="http://schemas.openxmlformats.org/officeDocument/2006/relationships/hyperlink" Target="https://pbs.twimg.com/profile_images/802073872866705408/wMHnHYch_normal.jpg" TargetMode="External"/><Relationship Id="rId2428" Type="http://schemas.openxmlformats.org/officeDocument/2006/relationships/hyperlink" Target="https://twitter.com/swisshop4uEs/status/804445601421266944" TargetMode="External"/><Relationship Id="rId3758" Type="http://schemas.openxmlformats.org/officeDocument/2006/relationships/hyperlink" Target="https://twitter.com/LesRandosdeCaco/status/805398281790570496" TargetMode="External"/><Relationship Id="rId2429" Type="http://schemas.openxmlformats.org/officeDocument/2006/relationships/hyperlink" Target="https://pbs.twimg.com/profile_images/378800000213382003/4f562b59f92995b884d2d440f71fc5ce_normal.png" TargetMode="External"/><Relationship Id="rId509" Type="http://schemas.openxmlformats.org/officeDocument/2006/relationships/hyperlink" Target="https://twitter.com/vportch/status/803161743371341825" TargetMode="External"/><Relationship Id="rId508" Type="http://schemas.openxmlformats.org/officeDocument/2006/relationships/hyperlink" Target="https://twitter.com/vportch" TargetMode="External"/><Relationship Id="rId503" Type="http://schemas.openxmlformats.org/officeDocument/2006/relationships/hyperlink" Target="https://twitter.com/enduriaholidays/status/803160535915261953" TargetMode="External"/><Relationship Id="rId502" Type="http://schemas.openxmlformats.org/officeDocument/2006/relationships/hyperlink" Target="https://twitter.com/enduriaholidays" TargetMode="External"/><Relationship Id="rId501" Type="http://schemas.openxmlformats.org/officeDocument/2006/relationships/hyperlink" Target="https://pbs.twimg.com/profile_images/754960714704584704/14dQxsF8_normal.jpg" TargetMode="External"/><Relationship Id="rId500" Type="http://schemas.openxmlformats.org/officeDocument/2006/relationships/hyperlink" Target="https://twitter.com/CanaryIslandsEN/status/803160277176885248" TargetMode="External"/><Relationship Id="rId507" Type="http://schemas.openxmlformats.org/officeDocument/2006/relationships/hyperlink" Target="https://pbs.twimg.com/profile_images/753690261017026560/yQcZDAxO_normal.jpg" TargetMode="External"/><Relationship Id="rId506" Type="http://schemas.openxmlformats.org/officeDocument/2006/relationships/hyperlink" Target="https://twitter.com/foulks31/status/803161047825838080" TargetMode="External"/><Relationship Id="rId505" Type="http://schemas.openxmlformats.org/officeDocument/2006/relationships/hyperlink" Target="https://twitter.com/foulks31" TargetMode="External"/><Relationship Id="rId504" Type="http://schemas.openxmlformats.org/officeDocument/2006/relationships/hyperlink" Target="https://pbs.twimg.com/profile_images/726026649356128258/xCSaP1IW_normal.jpg" TargetMode="External"/><Relationship Id="rId3751" Type="http://schemas.openxmlformats.org/officeDocument/2006/relationships/hyperlink" Target="https://twitter.com/JAGreenhill" TargetMode="External"/><Relationship Id="rId2420" Type="http://schemas.openxmlformats.org/officeDocument/2006/relationships/hyperlink" Target="https://pbs.twimg.com/profile_images/634395015956070400/l1HFr-YM_normal.jpg" TargetMode="External"/><Relationship Id="rId3750" Type="http://schemas.openxmlformats.org/officeDocument/2006/relationships/hyperlink" Target="https://pbs.twimg.com/profile_images/805052311466897409/zHKEhdG9_normal.jpg" TargetMode="External"/><Relationship Id="rId2421" Type="http://schemas.openxmlformats.org/officeDocument/2006/relationships/hyperlink" Target="https://twitter.com/LesRandosdeCaco" TargetMode="External"/><Relationship Id="rId3753" Type="http://schemas.openxmlformats.org/officeDocument/2006/relationships/hyperlink" Target="https://pbs.twimg.com/profile_images/805052311466897409/zHKEhdG9_normal.jpg" TargetMode="External"/><Relationship Id="rId2422" Type="http://schemas.openxmlformats.org/officeDocument/2006/relationships/hyperlink" Target="https://twitter.com/LesRandosdeCaco/status/804443315672334337" TargetMode="External"/><Relationship Id="rId3752" Type="http://schemas.openxmlformats.org/officeDocument/2006/relationships/hyperlink" Target="https://twitter.com/JAGreenhill/status/805397761994739712" TargetMode="External"/><Relationship Id="rId2412" Type="http://schemas.openxmlformats.org/officeDocument/2006/relationships/hyperlink" Target="https://twitter.com/6ersonDiaz" TargetMode="External"/><Relationship Id="rId3744" Type="http://schemas.openxmlformats.org/officeDocument/2006/relationships/hyperlink" Target="https://pbs.twimg.com/profile_images/805052311466897409/zHKEhdG9_normal.jpg" TargetMode="External"/><Relationship Id="rId2413" Type="http://schemas.openxmlformats.org/officeDocument/2006/relationships/hyperlink" Target="https://twitter.com/6ersonDiaz/status/804433180891742208" TargetMode="External"/><Relationship Id="rId3743" Type="http://schemas.openxmlformats.org/officeDocument/2006/relationships/hyperlink" Target="https://twitter.com/JAGreenhill/status/805396976292528128" TargetMode="External"/><Relationship Id="rId2414" Type="http://schemas.openxmlformats.org/officeDocument/2006/relationships/hyperlink" Target="https://pbs.twimg.com/profile_images/378800000666218595/7831c17c37763bedcc1718183f686028_normal.jpeg" TargetMode="External"/><Relationship Id="rId3746" Type="http://schemas.openxmlformats.org/officeDocument/2006/relationships/hyperlink" Target="https://twitter.com/JAGreenhill/status/805397151492804608" TargetMode="External"/><Relationship Id="rId2415" Type="http://schemas.openxmlformats.org/officeDocument/2006/relationships/hyperlink" Target="https://twitter.com/LesRandosdeCaco" TargetMode="External"/><Relationship Id="rId3745" Type="http://schemas.openxmlformats.org/officeDocument/2006/relationships/hyperlink" Target="https://twitter.com/JAGreenhill" TargetMode="External"/><Relationship Id="rId2416" Type="http://schemas.openxmlformats.org/officeDocument/2006/relationships/hyperlink" Target="https://twitter.com/LesRandosdeCaco/status/804442369106083840" TargetMode="External"/><Relationship Id="rId3748" Type="http://schemas.openxmlformats.org/officeDocument/2006/relationships/hyperlink" Target="https://twitter.com/JAGreenhill" TargetMode="External"/><Relationship Id="rId2417" Type="http://schemas.openxmlformats.org/officeDocument/2006/relationships/hyperlink" Target="https://pbs.twimg.com/profile_images/802073872866705408/wMHnHYch_normal.jpg" TargetMode="External"/><Relationship Id="rId3747" Type="http://schemas.openxmlformats.org/officeDocument/2006/relationships/hyperlink" Target="https://pbs.twimg.com/profile_images/805052311466897409/zHKEhdG9_normal.jpg" TargetMode="External"/><Relationship Id="rId2418" Type="http://schemas.openxmlformats.org/officeDocument/2006/relationships/hyperlink" Target="https://twitter.com/TherezaPrez" TargetMode="External"/><Relationship Id="rId2419" Type="http://schemas.openxmlformats.org/officeDocument/2006/relationships/hyperlink" Target="https://twitter.com/TherezaPrez/status/804443249029115904" TargetMode="External"/><Relationship Id="rId3749" Type="http://schemas.openxmlformats.org/officeDocument/2006/relationships/hyperlink" Target="https://twitter.com/JAGreenhill/status/805397379667165184" TargetMode="External"/><Relationship Id="rId3740" Type="http://schemas.openxmlformats.org/officeDocument/2006/relationships/hyperlink" Target="https://twitter.com/JAGreenhill/status/805396672369086464" TargetMode="External"/><Relationship Id="rId2410" Type="http://schemas.openxmlformats.org/officeDocument/2006/relationships/hyperlink" Target="https://twitter.com/navinkhemlani/status/804430079111692289" TargetMode="External"/><Relationship Id="rId3742" Type="http://schemas.openxmlformats.org/officeDocument/2006/relationships/hyperlink" Target="https://twitter.com/JAGreenhill" TargetMode="External"/><Relationship Id="rId2411" Type="http://schemas.openxmlformats.org/officeDocument/2006/relationships/hyperlink" Target="https://pbs.twimg.com/profile_images/481915303346307073/9Ejk1bDM_normal.jpeg" TargetMode="External"/><Relationship Id="rId3741" Type="http://schemas.openxmlformats.org/officeDocument/2006/relationships/hyperlink" Target="https://pbs.twimg.com/profile_images/805052311466897409/zHKEhdG9_normal.jpg" TargetMode="External"/><Relationship Id="rId1114" Type="http://schemas.openxmlformats.org/officeDocument/2006/relationships/hyperlink" Target="https://pbs.twimg.com/profile_images/742950874637598721/-n4GbJer_normal.jpg" TargetMode="External"/><Relationship Id="rId2445" Type="http://schemas.openxmlformats.org/officeDocument/2006/relationships/hyperlink" Target="https://twitter.com/udut74" TargetMode="External"/><Relationship Id="rId3777" Type="http://schemas.openxmlformats.org/officeDocument/2006/relationships/hyperlink" Target="https://pbs.twimg.com/profile_images/805052311466897409/zHKEhdG9_normal.jpg" TargetMode="External"/><Relationship Id="rId1115" Type="http://schemas.openxmlformats.org/officeDocument/2006/relationships/hyperlink" Target="https://twitter.com/CostaAdejeHotel" TargetMode="External"/><Relationship Id="rId2446" Type="http://schemas.openxmlformats.org/officeDocument/2006/relationships/hyperlink" Target="https://twitter.com/udut74/status/804458519818706945" TargetMode="External"/><Relationship Id="rId3776" Type="http://schemas.openxmlformats.org/officeDocument/2006/relationships/hyperlink" Target="https://twitter.com/JAGreenhill/status/805399782411931648" TargetMode="External"/><Relationship Id="rId1116" Type="http://schemas.openxmlformats.org/officeDocument/2006/relationships/hyperlink" Target="https://twitter.com/CostaAdejeHotel/status/803584014074474496" TargetMode="External"/><Relationship Id="rId2447" Type="http://schemas.openxmlformats.org/officeDocument/2006/relationships/hyperlink" Target="https://pbs.twimg.com/profile_images/765443327126827008/cznnCiC5_normal.jpg" TargetMode="External"/><Relationship Id="rId3779" Type="http://schemas.openxmlformats.org/officeDocument/2006/relationships/hyperlink" Target="https://twitter.com/quantom_nom/status/805400450526748672" TargetMode="External"/><Relationship Id="rId1117" Type="http://schemas.openxmlformats.org/officeDocument/2006/relationships/hyperlink" Target="https://pbs.twimg.com/profile_images/742950874637598721/-n4GbJer_normal.jpg" TargetMode="External"/><Relationship Id="rId2448" Type="http://schemas.openxmlformats.org/officeDocument/2006/relationships/hyperlink" Target="https://twitter.com/Lover_of_Legs" TargetMode="External"/><Relationship Id="rId3778" Type="http://schemas.openxmlformats.org/officeDocument/2006/relationships/hyperlink" Target="https://twitter.com/quantom_nom" TargetMode="External"/><Relationship Id="rId1118" Type="http://schemas.openxmlformats.org/officeDocument/2006/relationships/hyperlink" Target="https://twitter.com/bethgarrotxa" TargetMode="External"/><Relationship Id="rId2449" Type="http://schemas.openxmlformats.org/officeDocument/2006/relationships/hyperlink" Target="https://twitter.com/Lover_of_Legs/status/804460872487858180" TargetMode="External"/><Relationship Id="rId1119" Type="http://schemas.openxmlformats.org/officeDocument/2006/relationships/hyperlink" Target="https://twitter.com/bethgarrotxa/status/803584395483353088" TargetMode="External"/><Relationship Id="rId525" Type="http://schemas.openxmlformats.org/officeDocument/2006/relationships/hyperlink" Target="https://pbs.twimg.com/profile_images/657142929920794624/Z8UQpOEp_normal.jpg" TargetMode="External"/><Relationship Id="rId524" Type="http://schemas.openxmlformats.org/officeDocument/2006/relationships/hyperlink" Target="https://twitter.com/AlexBramwellGC/status/803169125816156161" TargetMode="External"/><Relationship Id="rId523" Type="http://schemas.openxmlformats.org/officeDocument/2006/relationships/hyperlink" Target="https://twitter.com/AlexBramwellGC" TargetMode="External"/><Relationship Id="rId522" Type="http://schemas.openxmlformats.org/officeDocument/2006/relationships/hyperlink" Target="https://pbs.twimg.com/profile_images/785887706492628993/YtC1XvPg_normal.jpg" TargetMode="External"/><Relationship Id="rId529" Type="http://schemas.openxmlformats.org/officeDocument/2006/relationships/hyperlink" Target="https://twitter.com/rossbaileyleeds" TargetMode="External"/><Relationship Id="rId528" Type="http://schemas.openxmlformats.org/officeDocument/2006/relationships/hyperlink" Target="https://pbs.twimg.com/profile_images/753537830752845824/CAcHgdYu_normal.jpg" TargetMode="External"/><Relationship Id="rId527" Type="http://schemas.openxmlformats.org/officeDocument/2006/relationships/hyperlink" Target="https://twitter.com/auto_reisen/status/803169760024334336" TargetMode="External"/><Relationship Id="rId526" Type="http://schemas.openxmlformats.org/officeDocument/2006/relationships/hyperlink" Target="https://twitter.com/auto_reisen" TargetMode="External"/><Relationship Id="rId3771" Type="http://schemas.openxmlformats.org/officeDocument/2006/relationships/hyperlink" Target="https://pbs.twimg.com/profile_images/805052311466897409/zHKEhdG9_normal.jpg" TargetMode="External"/><Relationship Id="rId2440" Type="http://schemas.openxmlformats.org/officeDocument/2006/relationships/hyperlink" Target="https://twitter.com/B_Elena__/status/804453527535947776" TargetMode="External"/><Relationship Id="rId3770" Type="http://schemas.openxmlformats.org/officeDocument/2006/relationships/hyperlink" Target="https://twitter.com/JAGreenhill/status/805398817013174273" TargetMode="External"/><Relationship Id="rId521" Type="http://schemas.openxmlformats.org/officeDocument/2006/relationships/hyperlink" Target="https://twitter.com/DAZZABOY11/status/803168015785267200" TargetMode="External"/><Relationship Id="rId1110" Type="http://schemas.openxmlformats.org/officeDocument/2006/relationships/hyperlink" Target="https://twitter.com/bermaxo09/status/803582393214844928" TargetMode="External"/><Relationship Id="rId2441" Type="http://schemas.openxmlformats.org/officeDocument/2006/relationships/hyperlink" Target="https://pbs.twimg.com/profile_images/737173151034003456/g3JvSgoM_normal.jpg" TargetMode="External"/><Relationship Id="rId3773" Type="http://schemas.openxmlformats.org/officeDocument/2006/relationships/hyperlink" Target="https://twitter.com/JAGreenhill/status/805399270706872320" TargetMode="External"/><Relationship Id="rId520" Type="http://schemas.openxmlformats.org/officeDocument/2006/relationships/hyperlink" Target="https://twitter.com/DAZZABOY11" TargetMode="External"/><Relationship Id="rId1111" Type="http://schemas.openxmlformats.org/officeDocument/2006/relationships/hyperlink" Target="https://pbs.twimg.com/profile_images/798476790478073856/iOD0HIRa_normal.jpg" TargetMode="External"/><Relationship Id="rId2442" Type="http://schemas.openxmlformats.org/officeDocument/2006/relationships/hyperlink" Target="https://twitter.com/WilfBen" TargetMode="External"/><Relationship Id="rId3772" Type="http://schemas.openxmlformats.org/officeDocument/2006/relationships/hyperlink" Target="https://twitter.com/JAGreenhill" TargetMode="External"/><Relationship Id="rId1112" Type="http://schemas.openxmlformats.org/officeDocument/2006/relationships/hyperlink" Target="https://twitter.com/CostaAdejeHotel" TargetMode="External"/><Relationship Id="rId2443" Type="http://schemas.openxmlformats.org/officeDocument/2006/relationships/hyperlink" Target="https://twitter.com/WilfBen/status/804457817491042305" TargetMode="External"/><Relationship Id="rId3775" Type="http://schemas.openxmlformats.org/officeDocument/2006/relationships/hyperlink" Target="https://twitter.com/JAGreenhill" TargetMode="External"/><Relationship Id="rId1113" Type="http://schemas.openxmlformats.org/officeDocument/2006/relationships/hyperlink" Target="https://twitter.com/CostaAdejeHotel/status/803583999108972545" TargetMode="External"/><Relationship Id="rId2444" Type="http://schemas.openxmlformats.org/officeDocument/2006/relationships/hyperlink" Target="https://pbs.twimg.com/profile_images/593861736261939201/5IpELztZ_normal.jpg" TargetMode="External"/><Relationship Id="rId3774" Type="http://schemas.openxmlformats.org/officeDocument/2006/relationships/hyperlink" Target="https://pbs.twimg.com/profile_images/805052311466897409/zHKEhdG9_normal.jpg" TargetMode="External"/><Relationship Id="rId1103" Type="http://schemas.openxmlformats.org/officeDocument/2006/relationships/hyperlink" Target="https://twitter.com/bermaxo09" TargetMode="External"/><Relationship Id="rId2434" Type="http://schemas.openxmlformats.org/officeDocument/2006/relationships/hyperlink" Target="https://twitter.com/IbizaLuci/status/804452089980129280" TargetMode="External"/><Relationship Id="rId3766" Type="http://schemas.openxmlformats.org/officeDocument/2006/relationships/hyperlink" Target="https://twitter.com/JAGreenhill" TargetMode="External"/><Relationship Id="rId1104" Type="http://schemas.openxmlformats.org/officeDocument/2006/relationships/hyperlink" Target="https://twitter.com/bermaxo09/status/803577507471495172" TargetMode="External"/><Relationship Id="rId2435" Type="http://schemas.openxmlformats.org/officeDocument/2006/relationships/hyperlink" Target="https://pbs.twimg.com/profile_images/767082146238492672/2sMov7Cp_normal.jpg" TargetMode="External"/><Relationship Id="rId3765" Type="http://schemas.openxmlformats.org/officeDocument/2006/relationships/hyperlink" Target="https://pbs.twimg.com/profile_images/613314808054685696/ALe2jb0q_normal.jpg" TargetMode="External"/><Relationship Id="rId1105" Type="http://schemas.openxmlformats.org/officeDocument/2006/relationships/hyperlink" Target="https://pbs.twimg.com/profile_images/798476790478073856/iOD0HIRa_normal.jpg" TargetMode="External"/><Relationship Id="rId2436" Type="http://schemas.openxmlformats.org/officeDocument/2006/relationships/hyperlink" Target="https://twitter.com/JanaCovaJailed" TargetMode="External"/><Relationship Id="rId3768" Type="http://schemas.openxmlformats.org/officeDocument/2006/relationships/hyperlink" Target="https://pbs.twimg.com/profile_images/805052311466897409/zHKEhdG9_normal.jpg" TargetMode="External"/><Relationship Id="rId1106" Type="http://schemas.openxmlformats.org/officeDocument/2006/relationships/hyperlink" Target="https://twitter.com/bermaxo09" TargetMode="External"/><Relationship Id="rId2437" Type="http://schemas.openxmlformats.org/officeDocument/2006/relationships/hyperlink" Target="https://twitter.com/JanaCovaJailed/status/804452166798745600" TargetMode="External"/><Relationship Id="rId3767" Type="http://schemas.openxmlformats.org/officeDocument/2006/relationships/hyperlink" Target="https://twitter.com/JAGreenhill/status/805398620157648896" TargetMode="External"/><Relationship Id="rId1107" Type="http://schemas.openxmlformats.org/officeDocument/2006/relationships/hyperlink" Target="https://twitter.com/bermaxo09/status/803581877453996032" TargetMode="External"/><Relationship Id="rId2438" Type="http://schemas.openxmlformats.org/officeDocument/2006/relationships/hyperlink" Target="https://pbs.twimg.com/profile_images/796042138769190912/DMbZjoya_normal.jpg" TargetMode="External"/><Relationship Id="rId1108" Type="http://schemas.openxmlformats.org/officeDocument/2006/relationships/hyperlink" Target="https://pbs.twimg.com/profile_images/798476790478073856/iOD0HIRa_normal.jpg" TargetMode="External"/><Relationship Id="rId2439" Type="http://schemas.openxmlformats.org/officeDocument/2006/relationships/hyperlink" Target="https://twitter.com/B_Elena__" TargetMode="External"/><Relationship Id="rId3769" Type="http://schemas.openxmlformats.org/officeDocument/2006/relationships/hyperlink" Target="https://twitter.com/JAGreenhill" TargetMode="External"/><Relationship Id="rId1109" Type="http://schemas.openxmlformats.org/officeDocument/2006/relationships/hyperlink" Target="https://twitter.com/bermaxo09" TargetMode="External"/><Relationship Id="rId519" Type="http://schemas.openxmlformats.org/officeDocument/2006/relationships/hyperlink" Target="https://pbs.twimg.com/profile_images/799004611118039041/v3y6UfvA_normal.jpg" TargetMode="External"/><Relationship Id="rId514" Type="http://schemas.openxmlformats.org/officeDocument/2006/relationships/hyperlink" Target="https://twitter.com/BudaBruxBrat" TargetMode="External"/><Relationship Id="rId513" Type="http://schemas.openxmlformats.org/officeDocument/2006/relationships/hyperlink" Target="https://pbs.twimg.com/profile_images/570644453866483712/dvbC2x8W_normal.jpeg" TargetMode="External"/><Relationship Id="rId512" Type="http://schemas.openxmlformats.org/officeDocument/2006/relationships/hyperlink" Target="https://twitter.com/islaspromo/status/803161977317105664" TargetMode="External"/><Relationship Id="rId511" Type="http://schemas.openxmlformats.org/officeDocument/2006/relationships/hyperlink" Target="https://twitter.com/islaspromo" TargetMode="External"/><Relationship Id="rId518" Type="http://schemas.openxmlformats.org/officeDocument/2006/relationships/hyperlink" Target="https://twitter.com/SabinaGril1/status/803165546095091717" TargetMode="External"/><Relationship Id="rId517" Type="http://schemas.openxmlformats.org/officeDocument/2006/relationships/hyperlink" Target="https://twitter.com/SabinaGril1" TargetMode="External"/><Relationship Id="rId516" Type="http://schemas.openxmlformats.org/officeDocument/2006/relationships/hyperlink" Target="https://pbs.twimg.com/profile_images/727130961293508608/_H1Y6ehd_normal.jpg" TargetMode="External"/><Relationship Id="rId515" Type="http://schemas.openxmlformats.org/officeDocument/2006/relationships/hyperlink" Target="https://twitter.com/BudaBruxBrat/status/803164778017472512" TargetMode="External"/><Relationship Id="rId3760" Type="http://schemas.openxmlformats.org/officeDocument/2006/relationships/hyperlink" Target="https://twitter.com/JAGreenhill" TargetMode="External"/><Relationship Id="rId510" Type="http://schemas.openxmlformats.org/officeDocument/2006/relationships/hyperlink" Target="https://pbs.twimg.com/profile_images/761865120007983104/IP8dypaM_normal.jpg" TargetMode="External"/><Relationship Id="rId2430" Type="http://schemas.openxmlformats.org/officeDocument/2006/relationships/hyperlink" Target="https://twitter.com/Arte8Pop" TargetMode="External"/><Relationship Id="rId3762" Type="http://schemas.openxmlformats.org/officeDocument/2006/relationships/hyperlink" Target="https://pbs.twimg.com/profile_images/805052311466897409/zHKEhdG9_normal.jpg" TargetMode="External"/><Relationship Id="rId1100" Type="http://schemas.openxmlformats.org/officeDocument/2006/relationships/hyperlink" Target="https://twitter.com/bermaxo09" TargetMode="External"/><Relationship Id="rId2431" Type="http://schemas.openxmlformats.org/officeDocument/2006/relationships/hyperlink" Target="https://twitter.com/Arte8Pop/status/804449587192860672" TargetMode="External"/><Relationship Id="rId3761" Type="http://schemas.openxmlformats.org/officeDocument/2006/relationships/hyperlink" Target="https://twitter.com/JAGreenhill/status/805398370118471680" TargetMode="External"/><Relationship Id="rId1101" Type="http://schemas.openxmlformats.org/officeDocument/2006/relationships/hyperlink" Target="https://twitter.com/bermaxo09/status/803576987713273856" TargetMode="External"/><Relationship Id="rId2432" Type="http://schemas.openxmlformats.org/officeDocument/2006/relationships/hyperlink" Target="https://pbs.twimg.com/profile_images/664416561084686336/4IvWuK-e_normal.jpg" TargetMode="External"/><Relationship Id="rId3764" Type="http://schemas.openxmlformats.org/officeDocument/2006/relationships/hyperlink" Target="https://twitter.com/lasalsadelavida/status/805398508576604160" TargetMode="External"/><Relationship Id="rId1102" Type="http://schemas.openxmlformats.org/officeDocument/2006/relationships/hyperlink" Target="https://pbs.twimg.com/profile_images/798476790478073856/iOD0HIRa_normal.jpg" TargetMode="External"/><Relationship Id="rId2433" Type="http://schemas.openxmlformats.org/officeDocument/2006/relationships/hyperlink" Target="https://twitter.com/IbizaLuci" TargetMode="External"/><Relationship Id="rId3763" Type="http://schemas.openxmlformats.org/officeDocument/2006/relationships/hyperlink" Target="https://twitter.com/lasalsadelavida" TargetMode="External"/><Relationship Id="rId3711" Type="http://schemas.openxmlformats.org/officeDocument/2006/relationships/hyperlink" Target="https://pbs.twimg.com/profile_images/798476790478073856/iOD0HIRa_normal.jpg" TargetMode="External"/><Relationship Id="rId3710" Type="http://schemas.openxmlformats.org/officeDocument/2006/relationships/hyperlink" Target="https://twitter.com/bermaxo09/status/805391714382999552" TargetMode="External"/><Relationship Id="rId3713" Type="http://schemas.openxmlformats.org/officeDocument/2006/relationships/hyperlink" Target="https://twitter.com/JAGreenhill/status/805393048477777920" TargetMode="External"/><Relationship Id="rId3712" Type="http://schemas.openxmlformats.org/officeDocument/2006/relationships/hyperlink" Target="https://twitter.com/JAGreenhill" TargetMode="External"/><Relationship Id="rId3715" Type="http://schemas.openxmlformats.org/officeDocument/2006/relationships/hyperlink" Target="https://twitter.com/JAGreenhill" TargetMode="External"/><Relationship Id="rId3714" Type="http://schemas.openxmlformats.org/officeDocument/2006/relationships/hyperlink" Target="https://pbs.twimg.com/profile_images/805052311466897409/zHKEhdG9_normal.jpg" TargetMode="External"/><Relationship Id="rId3717" Type="http://schemas.openxmlformats.org/officeDocument/2006/relationships/hyperlink" Target="https://pbs.twimg.com/profile_images/805052311466897409/zHKEhdG9_normal.jpg" TargetMode="External"/><Relationship Id="rId3716" Type="http://schemas.openxmlformats.org/officeDocument/2006/relationships/hyperlink" Target="https://twitter.com/JAGreenhill/status/805393771286368257" TargetMode="External"/><Relationship Id="rId3719" Type="http://schemas.openxmlformats.org/officeDocument/2006/relationships/hyperlink" Target="https://twitter.com/ABecharaGhobril/status/805393972252262401" TargetMode="External"/><Relationship Id="rId3718" Type="http://schemas.openxmlformats.org/officeDocument/2006/relationships/hyperlink" Target="https://twitter.com/ABecharaGhobril" TargetMode="External"/><Relationship Id="rId3700" Type="http://schemas.openxmlformats.org/officeDocument/2006/relationships/hyperlink" Target="https://twitter.com/javiap771" TargetMode="External"/><Relationship Id="rId3702" Type="http://schemas.openxmlformats.org/officeDocument/2006/relationships/hyperlink" Target="https://pbs.twimg.com/profile_images/697035052291637248/p_AqWc-Q_normal.jpg" TargetMode="External"/><Relationship Id="rId3701" Type="http://schemas.openxmlformats.org/officeDocument/2006/relationships/hyperlink" Target="https://twitter.com/javiap771/status/805384226724057089" TargetMode="External"/><Relationship Id="rId3704" Type="http://schemas.openxmlformats.org/officeDocument/2006/relationships/hyperlink" Target="https://twitter.com/i_dahee/status/805386016571924480" TargetMode="External"/><Relationship Id="rId3703" Type="http://schemas.openxmlformats.org/officeDocument/2006/relationships/hyperlink" Target="https://twitter.com/i_dahee" TargetMode="External"/><Relationship Id="rId3706" Type="http://schemas.openxmlformats.org/officeDocument/2006/relationships/hyperlink" Target="https://twitter.com/DunasHoteles" TargetMode="External"/><Relationship Id="rId3705" Type="http://schemas.openxmlformats.org/officeDocument/2006/relationships/hyperlink" Target="https://pbs.twimg.com/profile_images/718436369215807488/V2owAcOw_normal.jpg" TargetMode="External"/><Relationship Id="rId3708" Type="http://schemas.openxmlformats.org/officeDocument/2006/relationships/hyperlink" Target="https://pbs.twimg.com/profile_images/461470205227454465/4u4KGofw_normal.jpeg" TargetMode="External"/><Relationship Id="rId3707" Type="http://schemas.openxmlformats.org/officeDocument/2006/relationships/hyperlink" Target="https://twitter.com/DunasHoteles/status/805391286941483008" TargetMode="External"/><Relationship Id="rId3709" Type="http://schemas.openxmlformats.org/officeDocument/2006/relationships/hyperlink" Target="https://twitter.com/bermaxo09" TargetMode="External"/><Relationship Id="rId2401" Type="http://schemas.openxmlformats.org/officeDocument/2006/relationships/hyperlink" Target="https://twitter.com/FriendsTravel/status/804427059703533568" TargetMode="External"/><Relationship Id="rId3733" Type="http://schemas.openxmlformats.org/officeDocument/2006/relationships/hyperlink" Target="https://twitter.com/collectingsmile" TargetMode="External"/><Relationship Id="rId2402" Type="http://schemas.openxmlformats.org/officeDocument/2006/relationships/hyperlink" Target="https://pbs.twimg.com/profile_images/452293828/Crystal_Globe_Names_normal.jpg" TargetMode="External"/><Relationship Id="rId3732" Type="http://schemas.openxmlformats.org/officeDocument/2006/relationships/hyperlink" Target="https://pbs.twimg.com/profile_images/805052311466897409/zHKEhdG9_normal.jpg" TargetMode="External"/><Relationship Id="rId2403" Type="http://schemas.openxmlformats.org/officeDocument/2006/relationships/hyperlink" Target="https://twitter.com/marty27" TargetMode="External"/><Relationship Id="rId3735" Type="http://schemas.openxmlformats.org/officeDocument/2006/relationships/hyperlink" Target="https://pbs.twimg.com/profile_images/267232211/me_normal.jpg" TargetMode="External"/><Relationship Id="rId2404" Type="http://schemas.openxmlformats.org/officeDocument/2006/relationships/hyperlink" Target="https://twitter.com/marty27/status/804427403648901120" TargetMode="External"/><Relationship Id="rId3734" Type="http://schemas.openxmlformats.org/officeDocument/2006/relationships/hyperlink" Target="https://twitter.com/collectingsmile/status/805396292427980801" TargetMode="External"/><Relationship Id="rId2405" Type="http://schemas.openxmlformats.org/officeDocument/2006/relationships/hyperlink" Target="https://pbs.twimg.com/profile_images/792291617700970496/9WAKthSr_normal.jpg" TargetMode="External"/><Relationship Id="rId3737" Type="http://schemas.openxmlformats.org/officeDocument/2006/relationships/hyperlink" Target="https://twitter.com/JAGreenhill/status/805396356294656001" TargetMode="External"/><Relationship Id="rId2406" Type="http://schemas.openxmlformats.org/officeDocument/2006/relationships/hyperlink" Target="https://twitter.com/luxuryrentspain" TargetMode="External"/><Relationship Id="rId3736" Type="http://schemas.openxmlformats.org/officeDocument/2006/relationships/hyperlink" Target="https://twitter.com/JAGreenhill" TargetMode="External"/><Relationship Id="rId2407" Type="http://schemas.openxmlformats.org/officeDocument/2006/relationships/hyperlink" Target="https://twitter.com/luxuryrentspain/status/804427913953062912" TargetMode="External"/><Relationship Id="rId3739" Type="http://schemas.openxmlformats.org/officeDocument/2006/relationships/hyperlink" Target="https://twitter.com/JAGreenhill" TargetMode="External"/><Relationship Id="rId2408" Type="http://schemas.openxmlformats.org/officeDocument/2006/relationships/hyperlink" Target="https://pbs.twimg.com/profile_images/795652170276360192/0xFWq8GW_normal.jpg" TargetMode="External"/><Relationship Id="rId3738" Type="http://schemas.openxmlformats.org/officeDocument/2006/relationships/hyperlink" Target="https://pbs.twimg.com/profile_images/805052311466897409/zHKEhdG9_normal.jpg" TargetMode="External"/><Relationship Id="rId2409" Type="http://schemas.openxmlformats.org/officeDocument/2006/relationships/hyperlink" Target="https://twitter.com/navinkhemlani" TargetMode="External"/><Relationship Id="rId3731" Type="http://schemas.openxmlformats.org/officeDocument/2006/relationships/hyperlink" Target="https://twitter.com/JAGreenhill/status/805395793641349121" TargetMode="External"/><Relationship Id="rId2400" Type="http://schemas.openxmlformats.org/officeDocument/2006/relationships/hyperlink" Target="https://twitter.com/FriendsTravel" TargetMode="External"/><Relationship Id="rId3730" Type="http://schemas.openxmlformats.org/officeDocument/2006/relationships/hyperlink" Target="https://twitter.com/JAGreenhill" TargetMode="External"/><Relationship Id="rId3722" Type="http://schemas.openxmlformats.org/officeDocument/2006/relationships/hyperlink" Target="https://twitter.com/JAGreenhill/status/805394135649816578" TargetMode="External"/><Relationship Id="rId3721" Type="http://schemas.openxmlformats.org/officeDocument/2006/relationships/hyperlink" Target="https://twitter.com/JAGreenhill" TargetMode="External"/><Relationship Id="rId3724" Type="http://schemas.openxmlformats.org/officeDocument/2006/relationships/hyperlink" Target="https://twitter.com/JAGreenhill" TargetMode="External"/><Relationship Id="rId3723" Type="http://schemas.openxmlformats.org/officeDocument/2006/relationships/hyperlink" Target="https://pbs.twimg.com/profile_images/805052311466897409/zHKEhdG9_normal.jpg" TargetMode="External"/><Relationship Id="rId3726" Type="http://schemas.openxmlformats.org/officeDocument/2006/relationships/hyperlink" Target="https://pbs.twimg.com/profile_images/805052311466897409/zHKEhdG9_normal.jpg" TargetMode="External"/><Relationship Id="rId3725" Type="http://schemas.openxmlformats.org/officeDocument/2006/relationships/hyperlink" Target="https://twitter.com/JAGreenhill/status/805394781694230528" TargetMode="External"/><Relationship Id="rId3728" Type="http://schemas.openxmlformats.org/officeDocument/2006/relationships/hyperlink" Target="https://twitter.com/JAGreenhill/status/805395334495174656" TargetMode="External"/><Relationship Id="rId3727" Type="http://schemas.openxmlformats.org/officeDocument/2006/relationships/hyperlink" Target="https://twitter.com/JAGreenhill" TargetMode="External"/><Relationship Id="rId3729" Type="http://schemas.openxmlformats.org/officeDocument/2006/relationships/hyperlink" Target="https://pbs.twimg.com/profile_images/805052311466897409/zHKEhdG9_normal.jpg" TargetMode="External"/><Relationship Id="rId3720" Type="http://schemas.openxmlformats.org/officeDocument/2006/relationships/hyperlink" Target="https://pbs.twimg.com/profile_images/762037055144792064/GAHYrSdX_normal.jpg" TargetMode="External"/><Relationship Id="rId4206" Type="http://schemas.openxmlformats.org/officeDocument/2006/relationships/hyperlink" Target="https://pbs.twimg.com/profile_images/798476790478073856/iOD0HIRa_normal.jpg" TargetMode="External"/><Relationship Id="rId4205" Type="http://schemas.openxmlformats.org/officeDocument/2006/relationships/hyperlink" Target="https://twitter.com/bermaxo09/status/805706776733741056" TargetMode="External"/><Relationship Id="rId4208" Type="http://schemas.openxmlformats.org/officeDocument/2006/relationships/hyperlink" Target="https://twitter.com/PaCuCoAragones/status/805707160676089856" TargetMode="External"/><Relationship Id="rId4207" Type="http://schemas.openxmlformats.org/officeDocument/2006/relationships/hyperlink" Target="https://twitter.com/PaCuCoAragones" TargetMode="External"/><Relationship Id="rId590" Type="http://schemas.openxmlformats.org/officeDocument/2006/relationships/hyperlink" Target="https://twitter.com/IgersTenerife/status/803193473457422336" TargetMode="External"/><Relationship Id="rId4209" Type="http://schemas.openxmlformats.org/officeDocument/2006/relationships/hyperlink" Target="https://pbs.twimg.com/profile_images/682535147149901824/LV1RVKA1_normal.jpg" TargetMode="External"/><Relationship Id="rId589" Type="http://schemas.openxmlformats.org/officeDocument/2006/relationships/hyperlink" Target="https://twitter.com/IgersTenerife" TargetMode="External"/><Relationship Id="rId588" Type="http://schemas.openxmlformats.org/officeDocument/2006/relationships/hyperlink" Target="https://pbs.twimg.com/profile_images/805052311466897409/zHKEhdG9_normal.jpg" TargetMode="External"/><Relationship Id="rId1170" Type="http://schemas.openxmlformats.org/officeDocument/2006/relationships/hyperlink" Target="https://twitter.com/HessleTravel/status/803622144798097408" TargetMode="External"/><Relationship Id="rId1171" Type="http://schemas.openxmlformats.org/officeDocument/2006/relationships/hyperlink" Target="https://pbs.twimg.com/profile_images/698309673066303488/gU84mK_F_normal.jpg" TargetMode="External"/><Relationship Id="rId583" Type="http://schemas.openxmlformats.org/officeDocument/2006/relationships/hyperlink" Target="https://twitter.com/swisshop4uEs" TargetMode="External"/><Relationship Id="rId1172" Type="http://schemas.openxmlformats.org/officeDocument/2006/relationships/hyperlink" Target="https://twitter.com/Lanzarote_Sov" TargetMode="External"/><Relationship Id="rId582" Type="http://schemas.openxmlformats.org/officeDocument/2006/relationships/hyperlink" Target="https://pbs.twimg.com/profile_images/788378410800340992/S31aB3GU_normal.jpg" TargetMode="External"/><Relationship Id="rId1173" Type="http://schemas.openxmlformats.org/officeDocument/2006/relationships/hyperlink" Target="https://twitter.com/Lanzarote_Sov/status/803627080579776512" TargetMode="External"/><Relationship Id="rId581" Type="http://schemas.openxmlformats.org/officeDocument/2006/relationships/hyperlink" Target="https://twitter.com/gonzalomartin19/status/803190274486738944" TargetMode="External"/><Relationship Id="rId1174" Type="http://schemas.openxmlformats.org/officeDocument/2006/relationships/hyperlink" Target="https://pbs.twimg.com/profile_images/601788526162763778/vJg4VIhI_normal.jpg" TargetMode="External"/><Relationship Id="rId4200" Type="http://schemas.openxmlformats.org/officeDocument/2006/relationships/hyperlink" Target="https://pbs.twimg.com/profile_images/798476790478073856/iOD0HIRa_normal.jpg" TargetMode="External"/><Relationship Id="rId580" Type="http://schemas.openxmlformats.org/officeDocument/2006/relationships/hyperlink" Target="https://twitter.com/gonzalomartin19" TargetMode="External"/><Relationship Id="rId1175" Type="http://schemas.openxmlformats.org/officeDocument/2006/relationships/hyperlink" Target="https://twitter.com/elastword" TargetMode="External"/><Relationship Id="rId587" Type="http://schemas.openxmlformats.org/officeDocument/2006/relationships/hyperlink" Target="https://twitter.com/JAGreenhill/status/803193062331744256" TargetMode="External"/><Relationship Id="rId1176" Type="http://schemas.openxmlformats.org/officeDocument/2006/relationships/hyperlink" Target="https://twitter.com/elastword/status/803627884292153344" TargetMode="External"/><Relationship Id="rId4202" Type="http://schemas.openxmlformats.org/officeDocument/2006/relationships/hyperlink" Target="https://twitter.com/ahidalgo4/status/805706526266716160" TargetMode="External"/><Relationship Id="rId586" Type="http://schemas.openxmlformats.org/officeDocument/2006/relationships/hyperlink" Target="https://twitter.com/JAGreenhill" TargetMode="External"/><Relationship Id="rId1177" Type="http://schemas.openxmlformats.org/officeDocument/2006/relationships/hyperlink" Target="https://pbs.twimg.com/profile_images/779785036996415489/a2nilB1d_normal.jpg" TargetMode="External"/><Relationship Id="rId4201" Type="http://schemas.openxmlformats.org/officeDocument/2006/relationships/hyperlink" Target="https://twitter.com/ahidalgo4" TargetMode="External"/><Relationship Id="rId585" Type="http://schemas.openxmlformats.org/officeDocument/2006/relationships/hyperlink" Target="https://pbs.twimg.com/profile_images/378800000213382003/4f562b59f92995b884d2d440f71fc5ce_normal.png" TargetMode="External"/><Relationship Id="rId1178" Type="http://schemas.openxmlformats.org/officeDocument/2006/relationships/hyperlink" Target="https://twitter.com/elastword" TargetMode="External"/><Relationship Id="rId4204" Type="http://schemas.openxmlformats.org/officeDocument/2006/relationships/hyperlink" Target="https://twitter.com/bermaxo09" TargetMode="External"/><Relationship Id="rId584" Type="http://schemas.openxmlformats.org/officeDocument/2006/relationships/hyperlink" Target="https://twitter.com/swisshop4uEs/status/803192205242466305" TargetMode="External"/><Relationship Id="rId1179" Type="http://schemas.openxmlformats.org/officeDocument/2006/relationships/hyperlink" Target="https://twitter.com/elastword/status/803628175095988224" TargetMode="External"/><Relationship Id="rId4203" Type="http://schemas.openxmlformats.org/officeDocument/2006/relationships/hyperlink" Target="https://pbs.twimg.com/profile_images/651482111053012992/1xgmXwbZ_normal.jpg" TargetMode="External"/><Relationship Id="rId1169" Type="http://schemas.openxmlformats.org/officeDocument/2006/relationships/hyperlink" Target="https://twitter.com/HessleTravel" TargetMode="External"/><Relationship Id="rId579" Type="http://schemas.openxmlformats.org/officeDocument/2006/relationships/hyperlink" Target="https://pbs.twimg.com/profile_images/792036201695940608/ZYEcPM7L_normal.jpg" TargetMode="External"/><Relationship Id="rId578" Type="http://schemas.openxmlformats.org/officeDocument/2006/relationships/hyperlink" Target="https://twitter.com/HotelEscuelaSB/status/803188813023551488" TargetMode="External"/><Relationship Id="rId577" Type="http://schemas.openxmlformats.org/officeDocument/2006/relationships/hyperlink" Target="https://twitter.com/HotelEscuelaSB" TargetMode="External"/><Relationship Id="rId2490" Type="http://schemas.openxmlformats.org/officeDocument/2006/relationships/hyperlink" Target="https://twitter.com/spysc" TargetMode="External"/><Relationship Id="rId1160" Type="http://schemas.openxmlformats.org/officeDocument/2006/relationships/hyperlink" Target="https://twitter.com/rafael_cubas2" TargetMode="External"/><Relationship Id="rId2491" Type="http://schemas.openxmlformats.org/officeDocument/2006/relationships/hyperlink" Target="https://twitter.com/spysc/status/804479330747301888" TargetMode="External"/><Relationship Id="rId572" Type="http://schemas.openxmlformats.org/officeDocument/2006/relationships/hyperlink" Target="https://twitter.com/Cruiseaddict/status/803186125716258816" TargetMode="External"/><Relationship Id="rId1161" Type="http://schemas.openxmlformats.org/officeDocument/2006/relationships/hyperlink" Target="https://twitter.com/rafael_cubas2/status/803618361020137473" TargetMode="External"/><Relationship Id="rId2492" Type="http://schemas.openxmlformats.org/officeDocument/2006/relationships/hyperlink" Target="https://pbs.twimg.com/profile_images/3162944145/8a2c6f12ac31c352f802d6ec02c3b720_normal.jpeg" TargetMode="External"/><Relationship Id="rId571" Type="http://schemas.openxmlformats.org/officeDocument/2006/relationships/hyperlink" Target="https://twitter.com/Cruiseaddict" TargetMode="External"/><Relationship Id="rId1162" Type="http://schemas.openxmlformats.org/officeDocument/2006/relationships/hyperlink" Target="https://pbs.twimg.com/profile_images/797064986937925632/4N5NK8ar_normal.jpg" TargetMode="External"/><Relationship Id="rId2493" Type="http://schemas.openxmlformats.org/officeDocument/2006/relationships/hyperlink" Target="https://twitter.com/casacanarias" TargetMode="External"/><Relationship Id="rId570" Type="http://schemas.openxmlformats.org/officeDocument/2006/relationships/hyperlink" Target="https://pbs.twimg.com/profile_images/656385242819907584/6_e-4aUc_normal.jpg" TargetMode="External"/><Relationship Id="rId1163" Type="http://schemas.openxmlformats.org/officeDocument/2006/relationships/hyperlink" Target="https://twitter.com/GooseSandra" TargetMode="External"/><Relationship Id="rId2494" Type="http://schemas.openxmlformats.org/officeDocument/2006/relationships/hyperlink" Target="https://twitter.com/casacanarias/status/804481050571313152" TargetMode="External"/><Relationship Id="rId1164" Type="http://schemas.openxmlformats.org/officeDocument/2006/relationships/hyperlink" Target="https://twitter.com/GooseSandra/status/803619415749181440" TargetMode="External"/><Relationship Id="rId2495" Type="http://schemas.openxmlformats.org/officeDocument/2006/relationships/hyperlink" Target="https://pbs.twimg.com/profile_images/681222709368455169/gZ_mKXvL_normal.jpg" TargetMode="External"/><Relationship Id="rId576" Type="http://schemas.openxmlformats.org/officeDocument/2006/relationships/hyperlink" Target="https://pbs.twimg.com/profile_images/795652170276360192/0xFWq8GW_normal.jpg" TargetMode="External"/><Relationship Id="rId1165" Type="http://schemas.openxmlformats.org/officeDocument/2006/relationships/hyperlink" Target="https://abs.twimg.com/sticky/default_profile_images/default_profile_2_normal.png" TargetMode="External"/><Relationship Id="rId2496" Type="http://schemas.openxmlformats.org/officeDocument/2006/relationships/hyperlink" Target="https://twitter.com/Honey_B69" TargetMode="External"/><Relationship Id="rId575" Type="http://schemas.openxmlformats.org/officeDocument/2006/relationships/hyperlink" Target="https://twitter.com/luxuryrentspain/status/803186378091692032" TargetMode="External"/><Relationship Id="rId1166" Type="http://schemas.openxmlformats.org/officeDocument/2006/relationships/hyperlink" Target="https://twitter.com/LordJimSailing" TargetMode="External"/><Relationship Id="rId2497" Type="http://schemas.openxmlformats.org/officeDocument/2006/relationships/hyperlink" Target="https://twitter.com/Honey_B69/status/804491970521481217" TargetMode="External"/><Relationship Id="rId574" Type="http://schemas.openxmlformats.org/officeDocument/2006/relationships/hyperlink" Target="https://twitter.com/luxuryrentspain" TargetMode="External"/><Relationship Id="rId1167" Type="http://schemas.openxmlformats.org/officeDocument/2006/relationships/hyperlink" Target="https://twitter.com/LordJimSailing/status/803622047305736192" TargetMode="External"/><Relationship Id="rId2498" Type="http://schemas.openxmlformats.org/officeDocument/2006/relationships/hyperlink" Target="https://pbs.twimg.com/profile_images/435262182088269824/LFXgWoQL_normal.jpeg" TargetMode="External"/><Relationship Id="rId573" Type="http://schemas.openxmlformats.org/officeDocument/2006/relationships/hyperlink" Target="https://pbs.twimg.com/profile_images/452531103/Nicola_normal.jpg" TargetMode="External"/><Relationship Id="rId1168" Type="http://schemas.openxmlformats.org/officeDocument/2006/relationships/hyperlink" Target="https://pbs.twimg.com/profile_images/474247403361402880/Y9Qt1sP7_normal.jpeg" TargetMode="External"/><Relationship Id="rId2499" Type="http://schemas.openxmlformats.org/officeDocument/2006/relationships/hyperlink" Target="https://twitter.com/asierbaquero" TargetMode="External"/><Relationship Id="rId4228" Type="http://schemas.openxmlformats.org/officeDocument/2006/relationships/hyperlink" Target="https://twitter.com/Doris_Blog" TargetMode="External"/><Relationship Id="rId4227" Type="http://schemas.openxmlformats.org/officeDocument/2006/relationships/hyperlink" Target="https://pbs.twimg.com/profile_images/783382917640781824/AqM_zAOY_normal.jpg" TargetMode="External"/><Relationship Id="rId4229" Type="http://schemas.openxmlformats.org/officeDocument/2006/relationships/hyperlink" Target="https://twitter.com/Doris_Blog/status/805714257400725504" TargetMode="External"/><Relationship Id="rId1190" Type="http://schemas.openxmlformats.org/officeDocument/2006/relationships/hyperlink" Target="https://twitter.com/weather2travel" TargetMode="External"/><Relationship Id="rId1191" Type="http://schemas.openxmlformats.org/officeDocument/2006/relationships/hyperlink" Target="http://Weather2Travel.com" TargetMode="External"/><Relationship Id="rId1192" Type="http://schemas.openxmlformats.org/officeDocument/2006/relationships/hyperlink" Target="https://twitter.com/weather2travel/status/803631167043870720" TargetMode="External"/><Relationship Id="rId1193" Type="http://schemas.openxmlformats.org/officeDocument/2006/relationships/hyperlink" Target="https://pbs.twimg.com/profile_images/592601041411186688/KDqEBiIP_normal.png" TargetMode="External"/><Relationship Id="rId1194" Type="http://schemas.openxmlformats.org/officeDocument/2006/relationships/hyperlink" Target="https://twitter.com/elastword" TargetMode="External"/><Relationship Id="rId4220" Type="http://schemas.openxmlformats.org/officeDocument/2006/relationships/hyperlink" Target="https://twitter.com/BulaQuo/status/805714224018231296" TargetMode="External"/><Relationship Id="rId1195" Type="http://schemas.openxmlformats.org/officeDocument/2006/relationships/hyperlink" Target="https://twitter.com/elastword/status/803631177127120897" TargetMode="External"/><Relationship Id="rId1196" Type="http://schemas.openxmlformats.org/officeDocument/2006/relationships/hyperlink" Target="https://pbs.twimg.com/profile_images/779785036996415489/a2nilB1d_normal.jpg" TargetMode="External"/><Relationship Id="rId4222" Type="http://schemas.openxmlformats.org/officeDocument/2006/relationships/hyperlink" Target="https://twitter.com/BulaQuoMovieUSA" TargetMode="External"/><Relationship Id="rId1197" Type="http://schemas.openxmlformats.org/officeDocument/2006/relationships/hyperlink" Target="https://twitter.com/elastword" TargetMode="External"/><Relationship Id="rId4221" Type="http://schemas.openxmlformats.org/officeDocument/2006/relationships/hyperlink" Target="https://pbs.twimg.com/profile_images/652397579418910721/FOCz2BMO_normal.jpg" TargetMode="External"/><Relationship Id="rId1198" Type="http://schemas.openxmlformats.org/officeDocument/2006/relationships/hyperlink" Target="https://twitter.com/elastword/status/803631867891216384" TargetMode="External"/><Relationship Id="rId4224" Type="http://schemas.openxmlformats.org/officeDocument/2006/relationships/hyperlink" Target="https://pbs.twimg.com/profile_images/655396294127652864/ez4zcU7V_normal.jpg" TargetMode="External"/><Relationship Id="rId1199" Type="http://schemas.openxmlformats.org/officeDocument/2006/relationships/hyperlink" Target="https://pbs.twimg.com/profile_images/779785036996415489/a2nilB1d_normal.jpg" TargetMode="External"/><Relationship Id="rId4223" Type="http://schemas.openxmlformats.org/officeDocument/2006/relationships/hyperlink" Target="https://twitter.com/BulaQuoMovieUSA/status/805714235124842496" TargetMode="External"/><Relationship Id="rId4226" Type="http://schemas.openxmlformats.org/officeDocument/2006/relationships/hyperlink" Target="https://twitter.com/ComposerShades/status/805714246386458624" TargetMode="External"/><Relationship Id="rId4225" Type="http://schemas.openxmlformats.org/officeDocument/2006/relationships/hyperlink" Target="https://twitter.com/ComposerShades" TargetMode="External"/><Relationship Id="rId4217" Type="http://schemas.openxmlformats.org/officeDocument/2006/relationships/hyperlink" Target="https://twitter.com/carcassi12/status/805713644839387136" TargetMode="External"/><Relationship Id="rId4216" Type="http://schemas.openxmlformats.org/officeDocument/2006/relationships/hyperlink" Target="https://twitter.com/carcassi12" TargetMode="External"/><Relationship Id="rId4219" Type="http://schemas.openxmlformats.org/officeDocument/2006/relationships/hyperlink" Target="https://twitter.com/BulaQuo" TargetMode="External"/><Relationship Id="rId4218" Type="http://schemas.openxmlformats.org/officeDocument/2006/relationships/hyperlink" Target="https://pbs.twimg.com/profile_images/776481397867417604/F-h1Mbgz_normal.jpg" TargetMode="External"/><Relationship Id="rId599" Type="http://schemas.openxmlformats.org/officeDocument/2006/relationships/hyperlink" Target="https://twitter.com/fefifofum67/status/803199278487404544" TargetMode="External"/><Relationship Id="rId1180" Type="http://schemas.openxmlformats.org/officeDocument/2006/relationships/hyperlink" Target="https://pbs.twimg.com/profile_images/779785036996415489/a2nilB1d_normal.jpg" TargetMode="External"/><Relationship Id="rId1181" Type="http://schemas.openxmlformats.org/officeDocument/2006/relationships/hyperlink" Target="https://twitter.com/elastword" TargetMode="External"/><Relationship Id="rId1182" Type="http://schemas.openxmlformats.org/officeDocument/2006/relationships/hyperlink" Target="https://twitter.com/elastword/status/803628876761100288" TargetMode="External"/><Relationship Id="rId594" Type="http://schemas.openxmlformats.org/officeDocument/2006/relationships/hyperlink" Target="https://pbs.twimg.com/profile_images/2960530110/dd138706a91d92c79d93ad80a82571c1_normal.jpeg" TargetMode="External"/><Relationship Id="rId1183" Type="http://schemas.openxmlformats.org/officeDocument/2006/relationships/hyperlink" Target="https://pbs.twimg.com/profile_images/779785036996415489/a2nilB1d_normal.jpg" TargetMode="External"/><Relationship Id="rId593" Type="http://schemas.openxmlformats.org/officeDocument/2006/relationships/hyperlink" Target="https://twitter.com/kameraad52/status/803195579455127552" TargetMode="External"/><Relationship Id="rId1184" Type="http://schemas.openxmlformats.org/officeDocument/2006/relationships/hyperlink" Target="https://twitter.com/elastword" TargetMode="External"/><Relationship Id="rId592" Type="http://schemas.openxmlformats.org/officeDocument/2006/relationships/hyperlink" Target="https://twitter.com/kameraad52" TargetMode="External"/><Relationship Id="rId1185" Type="http://schemas.openxmlformats.org/officeDocument/2006/relationships/hyperlink" Target="https://twitter.com/elastword/status/803629364785119232" TargetMode="External"/><Relationship Id="rId4211" Type="http://schemas.openxmlformats.org/officeDocument/2006/relationships/hyperlink" Target="https://twitter.com/mafolu2/status/805708390311821312" TargetMode="External"/><Relationship Id="rId591" Type="http://schemas.openxmlformats.org/officeDocument/2006/relationships/hyperlink" Target="https://pbs.twimg.com/profile_images/1863274647/image_normal.jpg" TargetMode="External"/><Relationship Id="rId1186" Type="http://schemas.openxmlformats.org/officeDocument/2006/relationships/hyperlink" Target="https://pbs.twimg.com/profile_images/779785036996415489/a2nilB1d_normal.jpg" TargetMode="External"/><Relationship Id="rId4210" Type="http://schemas.openxmlformats.org/officeDocument/2006/relationships/hyperlink" Target="https://twitter.com/mafolu2" TargetMode="External"/><Relationship Id="rId598" Type="http://schemas.openxmlformats.org/officeDocument/2006/relationships/hyperlink" Target="https://twitter.com/fefifofum67" TargetMode="External"/><Relationship Id="rId1187" Type="http://schemas.openxmlformats.org/officeDocument/2006/relationships/hyperlink" Target="https://twitter.com/elastword" TargetMode="External"/><Relationship Id="rId4213" Type="http://schemas.openxmlformats.org/officeDocument/2006/relationships/hyperlink" Target="https://twitter.com/TwiTenerifeGolf" TargetMode="External"/><Relationship Id="rId597" Type="http://schemas.openxmlformats.org/officeDocument/2006/relationships/hyperlink" Target="https://pbs.twimg.com/profile_images/748903790804209664/FtKcukkC_normal.jpg" TargetMode="External"/><Relationship Id="rId1188" Type="http://schemas.openxmlformats.org/officeDocument/2006/relationships/hyperlink" Target="https://twitter.com/elastword/status/803630107734618112" TargetMode="External"/><Relationship Id="rId4212" Type="http://schemas.openxmlformats.org/officeDocument/2006/relationships/hyperlink" Target="https://pbs.twimg.com/profile_images/727107781547954178/HBDiYjIp_normal.jpg" TargetMode="External"/><Relationship Id="rId596" Type="http://schemas.openxmlformats.org/officeDocument/2006/relationships/hyperlink" Target="https://twitter.com/GCUCUSA/status/803196205136285696" TargetMode="External"/><Relationship Id="rId1189" Type="http://schemas.openxmlformats.org/officeDocument/2006/relationships/hyperlink" Target="https://pbs.twimg.com/profile_images/779785036996415489/a2nilB1d_normal.jpg" TargetMode="External"/><Relationship Id="rId4215" Type="http://schemas.openxmlformats.org/officeDocument/2006/relationships/hyperlink" Target="https://pbs.twimg.com/profile_images/723156330673000448/xa2FT8Re_normal.jpg" TargetMode="External"/><Relationship Id="rId595" Type="http://schemas.openxmlformats.org/officeDocument/2006/relationships/hyperlink" Target="https://twitter.com/GCUCUSA" TargetMode="External"/><Relationship Id="rId4214" Type="http://schemas.openxmlformats.org/officeDocument/2006/relationships/hyperlink" Target="https://twitter.com/TwiTenerifeGolf/status/805712966083547136" TargetMode="External"/><Relationship Id="rId1136" Type="http://schemas.openxmlformats.org/officeDocument/2006/relationships/hyperlink" Target="https://twitter.com/kristofberg" TargetMode="External"/><Relationship Id="rId2467" Type="http://schemas.openxmlformats.org/officeDocument/2006/relationships/hyperlink" Target="https://twitter.com/huntxrhayes/status/804466972922613762" TargetMode="External"/><Relationship Id="rId3799" Type="http://schemas.openxmlformats.org/officeDocument/2006/relationships/hyperlink" Target="https://twitter.com/JAGreenhill" TargetMode="External"/><Relationship Id="rId1137" Type="http://schemas.openxmlformats.org/officeDocument/2006/relationships/hyperlink" Target="https://twitter.com/kristofberg/status/803597157118844932" TargetMode="External"/><Relationship Id="rId2468" Type="http://schemas.openxmlformats.org/officeDocument/2006/relationships/hyperlink" Target="https://pbs.twimg.com/profile_images/800637256402948097/IMe_R7ze_normal.jpg" TargetMode="External"/><Relationship Id="rId3798" Type="http://schemas.openxmlformats.org/officeDocument/2006/relationships/hyperlink" Target="https://pbs.twimg.com/profile_images/805052311466897409/zHKEhdG9_normal.jpg" TargetMode="External"/><Relationship Id="rId1138" Type="http://schemas.openxmlformats.org/officeDocument/2006/relationships/hyperlink" Target="https://pbs.twimg.com/profile_images/553549712653967363/DFCnsQyD_normal.jpeg" TargetMode="External"/><Relationship Id="rId2469" Type="http://schemas.openxmlformats.org/officeDocument/2006/relationships/hyperlink" Target="https://twitter.com/JulioAl18175505" TargetMode="External"/><Relationship Id="rId1139" Type="http://schemas.openxmlformats.org/officeDocument/2006/relationships/hyperlink" Target="https://twitter.com/ShopAfortunadas" TargetMode="External"/><Relationship Id="rId547" Type="http://schemas.openxmlformats.org/officeDocument/2006/relationships/hyperlink" Target="https://twitter.com/fenderstrat9" TargetMode="External"/><Relationship Id="rId546" Type="http://schemas.openxmlformats.org/officeDocument/2006/relationships/hyperlink" Target="https://pbs.twimg.com/profile_images/661490131757568000/N4vOkYn9_normal.jpg" TargetMode="External"/><Relationship Id="rId545" Type="http://schemas.openxmlformats.org/officeDocument/2006/relationships/hyperlink" Target="https://twitter.com/Mortgage_ShopES/status/803177387055837184" TargetMode="External"/><Relationship Id="rId544" Type="http://schemas.openxmlformats.org/officeDocument/2006/relationships/hyperlink" Target="https://twitter.com/Mortgage_ShopES" TargetMode="External"/><Relationship Id="rId549" Type="http://schemas.openxmlformats.org/officeDocument/2006/relationships/hyperlink" Target="https://pbs.twimg.com/profile_images/728129314596610049/we9Wqexp_normal.jpg" TargetMode="External"/><Relationship Id="rId548" Type="http://schemas.openxmlformats.org/officeDocument/2006/relationships/hyperlink" Target="https://twitter.com/fenderstrat9/status/803181322206330880" TargetMode="External"/><Relationship Id="rId3791" Type="http://schemas.openxmlformats.org/officeDocument/2006/relationships/hyperlink" Target="https://twitter.com/JAGreenhill/status/805401467679109120" TargetMode="External"/><Relationship Id="rId2460" Type="http://schemas.openxmlformats.org/officeDocument/2006/relationships/hyperlink" Target="https://twitter.com/JustHotChicks" TargetMode="External"/><Relationship Id="rId3790" Type="http://schemas.openxmlformats.org/officeDocument/2006/relationships/hyperlink" Target="https://twitter.com/JAGreenhill" TargetMode="External"/><Relationship Id="rId1130" Type="http://schemas.openxmlformats.org/officeDocument/2006/relationships/hyperlink" Target="https://twitter.com/JulioAl18175505" TargetMode="External"/><Relationship Id="rId2461" Type="http://schemas.openxmlformats.org/officeDocument/2006/relationships/hyperlink" Target="https://twitter.com/JustHotChicks/status/804465698797821952" TargetMode="External"/><Relationship Id="rId3793" Type="http://schemas.openxmlformats.org/officeDocument/2006/relationships/hyperlink" Target="https://twitter.com/JAGreenhill" TargetMode="External"/><Relationship Id="rId1131" Type="http://schemas.openxmlformats.org/officeDocument/2006/relationships/hyperlink" Target="https://twitter.com/JulioAl18175505/status/803588929446412288" TargetMode="External"/><Relationship Id="rId2462" Type="http://schemas.openxmlformats.org/officeDocument/2006/relationships/hyperlink" Target="https://pbs.twimg.com/profile_images/3039859296/bc8ec34e4e655d48d6c4cfd6af98c075_normal.jpeg" TargetMode="External"/><Relationship Id="rId3792" Type="http://schemas.openxmlformats.org/officeDocument/2006/relationships/hyperlink" Target="https://pbs.twimg.com/profile_images/805052311466897409/zHKEhdG9_normal.jpg" TargetMode="External"/><Relationship Id="rId543" Type="http://schemas.openxmlformats.org/officeDocument/2006/relationships/hyperlink" Target="https://pbs.twimg.com/profile_images/694439157893107712/KkG57Zcq_normal.jpg" TargetMode="External"/><Relationship Id="rId1132" Type="http://schemas.openxmlformats.org/officeDocument/2006/relationships/hyperlink" Target="https://pbs.twimg.com/profile_images/706839494851436544/7igsf91D_normal.jpg" TargetMode="External"/><Relationship Id="rId2463" Type="http://schemas.openxmlformats.org/officeDocument/2006/relationships/hyperlink" Target="https://twitter.com/MariolaTNFGC84" TargetMode="External"/><Relationship Id="rId3795" Type="http://schemas.openxmlformats.org/officeDocument/2006/relationships/hyperlink" Target="https://pbs.twimg.com/profile_images/805052311466897409/zHKEhdG9_normal.jpg" TargetMode="External"/><Relationship Id="rId542" Type="http://schemas.openxmlformats.org/officeDocument/2006/relationships/hyperlink" Target="https://twitter.com/_TenDive/status/803176177829457924" TargetMode="External"/><Relationship Id="rId1133" Type="http://schemas.openxmlformats.org/officeDocument/2006/relationships/hyperlink" Target="https://twitter.com/JulioAl18175505" TargetMode="External"/><Relationship Id="rId2464" Type="http://schemas.openxmlformats.org/officeDocument/2006/relationships/hyperlink" Target="https://twitter.com/MariolaTNFGC84/status/804465901496107008" TargetMode="External"/><Relationship Id="rId3794" Type="http://schemas.openxmlformats.org/officeDocument/2006/relationships/hyperlink" Target="https://twitter.com/JAGreenhill/status/805401724743811074" TargetMode="External"/><Relationship Id="rId541" Type="http://schemas.openxmlformats.org/officeDocument/2006/relationships/hyperlink" Target="https://twitter.com/_TenDive" TargetMode="External"/><Relationship Id="rId1134" Type="http://schemas.openxmlformats.org/officeDocument/2006/relationships/hyperlink" Target="https://twitter.com/JulioAl18175505/status/803588947213434880" TargetMode="External"/><Relationship Id="rId2465" Type="http://schemas.openxmlformats.org/officeDocument/2006/relationships/hyperlink" Target="https://pbs.twimg.com/profile_images/765266327804190720/3kytWWcC_normal.jpg" TargetMode="External"/><Relationship Id="rId3797" Type="http://schemas.openxmlformats.org/officeDocument/2006/relationships/hyperlink" Target="https://twitter.com/JAGreenhill/status/805401833695019008" TargetMode="External"/><Relationship Id="rId540" Type="http://schemas.openxmlformats.org/officeDocument/2006/relationships/hyperlink" Target="https://pbs.twimg.com/profile_images/711542384509763584/0zNKXviQ_normal.jpg" TargetMode="External"/><Relationship Id="rId1135" Type="http://schemas.openxmlformats.org/officeDocument/2006/relationships/hyperlink" Target="https://pbs.twimg.com/profile_images/706839494851436544/7igsf91D_normal.jpg" TargetMode="External"/><Relationship Id="rId2466" Type="http://schemas.openxmlformats.org/officeDocument/2006/relationships/hyperlink" Target="https://twitter.com/huntxrhayes" TargetMode="External"/><Relationship Id="rId3796" Type="http://schemas.openxmlformats.org/officeDocument/2006/relationships/hyperlink" Target="https://twitter.com/JAGreenhill" TargetMode="External"/><Relationship Id="rId1125" Type="http://schemas.openxmlformats.org/officeDocument/2006/relationships/hyperlink" Target="https://twitter.com/JulioAl18175505/status/803588892175794177" TargetMode="External"/><Relationship Id="rId2456" Type="http://schemas.openxmlformats.org/officeDocument/2006/relationships/hyperlink" Target="https://pbs.twimg.com/profile_images/800845512836579328/cKh_5hB2_normal.jpg" TargetMode="External"/><Relationship Id="rId3788" Type="http://schemas.openxmlformats.org/officeDocument/2006/relationships/hyperlink" Target="https://twitter.com/JAGreenhill/status/805401217086136320" TargetMode="External"/><Relationship Id="rId1126" Type="http://schemas.openxmlformats.org/officeDocument/2006/relationships/hyperlink" Target="https://pbs.twimg.com/profile_images/706839494851436544/7igsf91D_normal.jpg" TargetMode="External"/><Relationship Id="rId2457" Type="http://schemas.openxmlformats.org/officeDocument/2006/relationships/hyperlink" Target="https://twitter.com/ASkulltie" TargetMode="External"/><Relationship Id="rId3787" Type="http://schemas.openxmlformats.org/officeDocument/2006/relationships/hyperlink" Target="https://twitter.com/JAGreenhill" TargetMode="External"/><Relationship Id="rId1127" Type="http://schemas.openxmlformats.org/officeDocument/2006/relationships/hyperlink" Target="https://twitter.com/JulioAl18175505" TargetMode="External"/><Relationship Id="rId2458" Type="http://schemas.openxmlformats.org/officeDocument/2006/relationships/hyperlink" Target="https://twitter.com/ASkulltie/status/804463651512025100" TargetMode="External"/><Relationship Id="rId1128" Type="http://schemas.openxmlformats.org/officeDocument/2006/relationships/hyperlink" Target="https://twitter.com/JulioAl18175505/status/803588913818378240" TargetMode="External"/><Relationship Id="rId2459" Type="http://schemas.openxmlformats.org/officeDocument/2006/relationships/hyperlink" Target="https://pbs.twimg.com/profile_images/753340623336243200/Tl1-0HPk_normal.jpg" TargetMode="External"/><Relationship Id="rId3789" Type="http://schemas.openxmlformats.org/officeDocument/2006/relationships/hyperlink" Target="https://pbs.twimg.com/profile_images/805052311466897409/zHKEhdG9_normal.jpg" TargetMode="External"/><Relationship Id="rId1129" Type="http://schemas.openxmlformats.org/officeDocument/2006/relationships/hyperlink" Target="https://pbs.twimg.com/profile_images/706839494851436544/7igsf91D_normal.jpg" TargetMode="External"/><Relationship Id="rId536" Type="http://schemas.openxmlformats.org/officeDocument/2006/relationships/hyperlink" Target="https://twitter.com/TheGetaways_/status/803174561403408384" TargetMode="External"/><Relationship Id="rId535" Type="http://schemas.openxmlformats.org/officeDocument/2006/relationships/hyperlink" Target="https://twitter.com/TheGetaways_" TargetMode="External"/><Relationship Id="rId534" Type="http://schemas.openxmlformats.org/officeDocument/2006/relationships/hyperlink" Target="https://pbs.twimg.com/profile_images/664416561084686336/4IvWuK-e_normal.jpg" TargetMode="External"/><Relationship Id="rId533" Type="http://schemas.openxmlformats.org/officeDocument/2006/relationships/hyperlink" Target="https://twitter.com/Arte8Pop/status/803172648402489344" TargetMode="External"/><Relationship Id="rId539" Type="http://schemas.openxmlformats.org/officeDocument/2006/relationships/hyperlink" Target="https://twitter.com/AMChronicles/status/803175819384266756" TargetMode="External"/><Relationship Id="rId538" Type="http://schemas.openxmlformats.org/officeDocument/2006/relationships/hyperlink" Target="https://twitter.com/AMChronicles" TargetMode="External"/><Relationship Id="rId537" Type="http://schemas.openxmlformats.org/officeDocument/2006/relationships/hyperlink" Target="https://pbs.twimg.com/profile_images/783295780115324929/-aQDr3Jo_normal.jpg" TargetMode="External"/><Relationship Id="rId3780" Type="http://schemas.openxmlformats.org/officeDocument/2006/relationships/hyperlink" Target="https://pbs.twimg.com/profile_images/768787615223058432/MD_3s3Z2_normal.jpg" TargetMode="External"/><Relationship Id="rId2450" Type="http://schemas.openxmlformats.org/officeDocument/2006/relationships/hyperlink" Target="https://pbs.twimg.com/profile_images/703669404572123136/_ajlY9TJ_normal.jpg" TargetMode="External"/><Relationship Id="rId3782" Type="http://schemas.openxmlformats.org/officeDocument/2006/relationships/hyperlink" Target="https://twitter.com/JAGreenhill/status/805400641711509505" TargetMode="External"/><Relationship Id="rId1120" Type="http://schemas.openxmlformats.org/officeDocument/2006/relationships/hyperlink" Target="https://pbs.twimg.com/profile_images/2784461956/37b6d95f5bcac37b93611f81029dd365_normal.jpeg" TargetMode="External"/><Relationship Id="rId2451" Type="http://schemas.openxmlformats.org/officeDocument/2006/relationships/hyperlink" Target="https://twitter.com/B_more_horny" TargetMode="External"/><Relationship Id="rId3781" Type="http://schemas.openxmlformats.org/officeDocument/2006/relationships/hyperlink" Target="https://twitter.com/JAGreenhill" TargetMode="External"/><Relationship Id="rId532" Type="http://schemas.openxmlformats.org/officeDocument/2006/relationships/hyperlink" Target="https://twitter.com/Arte8Pop" TargetMode="External"/><Relationship Id="rId1121" Type="http://schemas.openxmlformats.org/officeDocument/2006/relationships/hyperlink" Target="https://twitter.com/pabloexcursions" TargetMode="External"/><Relationship Id="rId2452" Type="http://schemas.openxmlformats.org/officeDocument/2006/relationships/hyperlink" Target="https://twitter.com/B_more_horny/status/804463294639730688" TargetMode="External"/><Relationship Id="rId3784" Type="http://schemas.openxmlformats.org/officeDocument/2006/relationships/hyperlink" Target="https://twitter.com/JAGreenhill" TargetMode="External"/><Relationship Id="rId531" Type="http://schemas.openxmlformats.org/officeDocument/2006/relationships/hyperlink" Target="https://pbs.twimg.com/profile_images/775017226369921024/TCCngSxe_normal.jpg" TargetMode="External"/><Relationship Id="rId1122" Type="http://schemas.openxmlformats.org/officeDocument/2006/relationships/hyperlink" Target="https://twitter.com/pabloexcursions/status/803588434396729344" TargetMode="External"/><Relationship Id="rId2453" Type="http://schemas.openxmlformats.org/officeDocument/2006/relationships/hyperlink" Target="https://pbs.twimg.com/profile_images/766377840573083648/gFZmkwth_normal.jpg" TargetMode="External"/><Relationship Id="rId3783" Type="http://schemas.openxmlformats.org/officeDocument/2006/relationships/hyperlink" Target="https://pbs.twimg.com/profile_images/805052311466897409/zHKEhdG9_normal.jpg" TargetMode="External"/><Relationship Id="rId530" Type="http://schemas.openxmlformats.org/officeDocument/2006/relationships/hyperlink" Target="https://twitter.com/rossbaileyleeds/status/803172046633107456" TargetMode="External"/><Relationship Id="rId1123" Type="http://schemas.openxmlformats.org/officeDocument/2006/relationships/hyperlink" Target="https://pbs.twimg.com/profile_images/795287889051525121/lnv-LO1p_normal.jpg" TargetMode="External"/><Relationship Id="rId2454" Type="http://schemas.openxmlformats.org/officeDocument/2006/relationships/hyperlink" Target="https://twitter.com/Selhso" TargetMode="External"/><Relationship Id="rId3786" Type="http://schemas.openxmlformats.org/officeDocument/2006/relationships/hyperlink" Target="https://pbs.twimg.com/profile_images/805052311466897409/zHKEhdG9_normal.jpg" TargetMode="External"/><Relationship Id="rId1124" Type="http://schemas.openxmlformats.org/officeDocument/2006/relationships/hyperlink" Target="https://twitter.com/JulioAl18175505" TargetMode="External"/><Relationship Id="rId2455" Type="http://schemas.openxmlformats.org/officeDocument/2006/relationships/hyperlink" Target="https://twitter.com/Selhso/status/804463363187212288" TargetMode="External"/><Relationship Id="rId3785" Type="http://schemas.openxmlformats.org/officeDocument/2006/relationships/hyperlink" Target="https://twitter.com/JAGreenhill/status/805400845605072896" TargetMode="External"/><Relationship Id="rId1158" Type="http://schemas.openxmlformats.org/officeDocument/2006/relationships/hyperlink" Target="https://twitter.com/sellmytshare/status/803615622378590209" TargetMode="External"/><Relationship Id="rId2489" Type="http://schemas.openxmlformats.org/officeDocument/2006/relationships/hyperlink" Target="https://pbs.twimg.com/profile_images/378800000213382003/4f562b59f92995b884d2d440f71fc5ce_normal.png" TargetMode="External"/><Relationship Id="rId1159" Type="http://schemas.openxmlformats.org/officeDocument/2006/relationships/hyperlink" Target="https://pbs.twimg.com/profile_images/661939380370726912/YsXXMKwm_normal.png" TargetMode="External"/><Relationship Id="rId569" Type="http://schemas.openxmlformats.org/officeDocument/2006/relationships/hyperlink" Target="https://twitter.com/LpaVisit/status/803184292088057856" TargetMode="External"/><Relationship Id="rId568" Type="http://schemas.openxmlformats.org/officeDocument/2006/relationships/hyperlink" Target="https://twitter.com/LpaVisit" TargetMode="External"/><Relationship Id="rId567" Type="http://schemas.openxmlformats.org/officeDocument/2006/relationships/hyperlink" Target="https://pbs.twimg.com/profile_images/780470206938382336/2jujqA6U_normal.jpg" TargetMode="External"/><Relationship Id="rId566" Type="http://schemas.openxmlformats.org/officeDocument/2006/relationships/hyperlink" Target="https://twitter.com/speaksmspanish/status/803183870720049152" TargetMode="External"/><Relationship Id="rId2480" Type="http://schemas.openxmlformats.org/officeDocument/2006/relationships/hyperlink" Target="https://pbs.twimg.com/profile_images/800292908008144896/TiECGUpd_normal.jpg" TargetMode="External"/><Relationship Id="rId561" Type="http://schemas.openxmlformats.org/officeDocument/2006/relationships/hyperlink" Target="https://pbs.twimg.com/profile_images/787729071291727873/nUJ1BYQd_normal.jpg" TargetMode="External"/><Relationship Id="rId1150" Type="http://schemas.openxmlformats.org/officeDocument/2006/relationships/hyperlink" Target="https://pbs.twimg.com/profile_images/731471241282871297/LE7uB3IZ_normal.jpg" TargetMode="External"/><Relationship Id="rId2481" Type="http://schemas.openxmlformats.org/officeDocument/2006/relationships/hyperlink" Target="https://twitter.com/play_avi" TargetMode="External"/><Relationship Id="rId560" Type="http://schemas.openxmlformats.org/officeDocument/2006/relationships/hyperlink" Target="https://twitter.com/nomadcitylpa/status/803183620097789953" TargetMode="External"/><Relationship Id="rId1151" Type="http://schemas.openxmlformats.org/officeDocument/2006/relationships/hyperlink" Target="https://twitter.com/DMinternship" TargetMode="External"/><Relationship Id="rId2482" Type="http://schemas.openxmlformats.org/officeDocument/2006/relationships/hyperlink" Target="https://twitter.com/play_avi/status/804472065176772608" TargetMode="External"/><Relationship Id="rId1152" Type="http://schemas.openxmlformats.org/officeDocument/2006/relationships/hyperlink" Target="https://twitter.com/DMinternship/status/803614855638810624" TargetMode="External"/><Relationship Id="rId2483" Type="http://schemas.openxmlformats.org/officeDocument/2006/relationships/hyperlink" Target="https://pbs.twimg.com/profile_images/773521456416174080/gO2G4MEG_normal.jpg" TargetMode="External"/><Relationship Id="rId1153" Type="http://schemas.openxmlformats.org/officeDocument/2006/relationships/hyperlink" Target="https://pbs.twimg.com/profile_images/543134167836282882/TU0k9eE6_normal.jpeg" TargetMode="External"/><Relationship Id="rId2484" Type="http://schemas.openxmlformats.org/officeDocument/2006/relationships/hyperlink" Target="https://twitter.com/paisajecanario" TargetMode="External"/><Relationship Id="rId565" Type="http://schemas.openxmlformats.org/officeDocument/2006/relationships/hyperlink" Target="https://twitter.com/speaksmspanish" TargetMode="External"/><Relationship Id="rId1154" Type="http://schemas.openxmlformats.org/officeDocument/2006/relationships/hyperlink" Target="https://twitter.com/DiveInternship" TargetMode="External"/><Relationship Id="rId2485" Type="http://schemas.openxmlformats.org/officeDocument/2006/relationships/hyperlink" Target="https://twitter.com/paisajecanario/status/804472857287860224" TargetMode="External"/><Relationship Id="rId564" Type="http://schemas.openxmlformats.org/officeDocument/2006/relationships/hyperlink" Target="https://pbs.twimg.com/profile_images/588321545275211776/-nSY3rPi_normal.jpg" TargetMode="External"/><Relationship Id="rId1155" Type="http://schemas.openxmlformats.org/officeDocument/2006/relationships/hyperlink" Target="https://twitter.com/DiveInternship/status/803614855685087232" TargetMode="External"/><Relationship Id="rId2486" Type="http://schemas.openxmlformats.org/officeDocument/2006/relationships/hyperlink" Target="https://pbs.twimg.com/profile_images/789364630850240512/Mw90qAlM_normal.jpg" TargetMode="External"/><Relationship Id="rId563" Type="http://schemas.openxmlformats.org/officeDocument/2006/relationships/hyperlink" Target="https://twitter.com/EuropeCoworking/status/803183862264250368" TargetMode="External"/><Relationship Id="rId1156" Type="http://schemas.openxmlformats.org/officeDocument/2006/relationships/hyperlink" Target="https://pbs.twimg.com/profile_images/555773820082987008/gVpHLsE4_normal.jpeg" TargetMode="External"/><Relationship Id="rId2487" Type="http://schemas.openxmlformats.org/officeDocument/2006/relationships/hyperlink" Target="https://twitter.com/swisshop4uEs" TargetMode="External"/><Relationship Id="rId562" Type="http://schemas.openxmlformats.org/officeDocument/2006/relationships/hyperlink" Target="https://twitter.com/EuropeCoworking" TargetMode="External"/><Relationship Id="rId1157" Type="http://schemas.openxmlformats.org/officeDocument/2006/relationships/hyperlink" Target="https://twitter.com/sellmytshare" TargetMode="External"/><Relationship Id="rId2488" Type="http://schemas.openxmlformats.org/officeDocument/2006/relationships/hyperlink" Target="https://twitter.com/swisshop4uEs/status/804475711750803464" TargetMode="External"/><Relationship Id="rId1147" Type="http://schemas.openxmlformats.org/officeDocument/2006/relationships/hyperlink" Target="https://pbs.twimg.com/profile_images/730687096550268928/J-Ee_sln_normal.jpg" TargetMode="External"/><Relationship Id="rId2478" Type="http://schemas.openxmlformats.org/officeDocument/2006/relationships/hyperlink" Target="https://twitter.com/SimonTurkas" TargetMode="External"/><Relationship Id="rId1148" Type="http://schemas.openxmlformats.org/officeDocument/2006/relationships/hyperlink" Target="https://twitter.com/rickfoliva" TargetMode="External"/><Relationship Id="rId2479" Type="http://schemas.openxmlformats.org/officeDocument/2006/relationships/hyperlink" Target="https://twitter.com/SimonTurkas/status/804471828555165696" TargetMode="External"/><Relationship Id="rId1149" Type="http://schemas.openxmlformats.org/officeDocument/2006/relationships/hyperlink" Target="https://twitter.com/rickfoliva/status/803613645045374976" TargetMode="External"/><Relationship Id="rId558" Type="http://schemas.openxmlformats.org/officeDocument/2006/relationships/hyperlink" Target="https://pbs.twimg.com/profile_images/656385242819907584/6_e-4aUc_normal.jpg" TargetMode="External"/><Relationship Id="rId557" Type="http://schemas.openxmlformats.org/officeDocument/2006/relationships/hyperlink" Target="https://twitter.com/LpaVisit/status/803183596320280576" TargetMode="External"/><Relationship Id="rId556" Type="http://schemas.openxmlformats.org/officeDocument/2006/relationships/hyperlink" Target="https://twitter.com/LpaVisit" TargetMode="External"/><Relationship Id="rId555" Type="http://schemas.openxmlformats.org/officeDocument/2006/relationships/hyperlink" Target="https://pbs.twimg.com/profile_images/787019931879636992/6RTPkXHU_normal.jpg" TargetMode="External"/><Relationship Id="rId559" Type="http://schemas.openxmlformats.org/officeDocument/2006/relationships/hyperlink" Target="https://twitter.com/nomadcitylpa" TargetMode="External"/><Relationship Id="rId550" Type="http://schemas.openxmlformats.org/officeDocument/2006/relationships/hyperlink" Target="https://twitter.com/IGROCA" TargetMode="External"/><Relationship Id="rId2470" Type="http://schemas.openxmlformats.org/officeDocument/2006/relationships/hyperlink" Target="https://twitter.com/JulioAl18175505/status/804469454491025409" TargetMode="External"/><Relationship Id="rId1140" Type="http://schemas.openxmlformats.org/officeDocument/2006/relationships/hyperlink" Target="https://twitter.com/ShopAfortunadas/status/803597347334672384" TargetMode="External"/><Relationship Id="rId2471" Type="http://schemas.openxmlformats.org/officeDocument/2006/relationships/hyperlink" Target="https://pbs.twimg.com/profile_images/706839494851436544/7igsf91D_normal.jpg" TargetMode="External"/><Relationship Id="rId1141" Type="http://schemas.openxmlformats.org/officeDocument/2006/relationships/hyperlink" Target="https://pbs.twimg.com/profile_images/679251177305972736/xtBJP7kS_normal.jpg" TargetMode="External"/><Relationship Id="rId2472" Type="http://schemas.openxmlformats.org/officeDocument/2006/relationships/hyperlink" Target="https://twitter.com/CanariasCycling" TargetMode="External"/><Relationship Id="rId1142" Type="http://schemas.openxmlformats.org/officeDocument/2006/relationships/hyperlink" Target="https://twitter.com/lapalma24" TargetMode="External"/><Relationship Id="rId2473" Type="http://schemas.openxmlformats.org/officeDocument/2006/relationships/hyperlink" Target="https://twitter.com/CanariasCycling/status/804469881349533696" TargetMode="External"/><Relationship Id="rId554" Type="http://schemas.openxmlformats.org/officeDocument/2006/relationships/hyperlink" Target="https://twitter.com/CwCanaryIslands/status/803183513180704768" TargetMode="External"/><Relationship Id="rId1143" Type="http://schemas.openxmlformats.org/officeDocument/2006/relationships/hyperlink" Target="https://twitter.com/lapalma24/status/803602740693897216" TargetMode="External"/><Relationship Id="rId2474" Type="http://schemas.openxmlformats.org/officeDocument/2006/relationships/hyperlink" Target="https://pbs.twimg.com/profile_images/555770822682345472/hTRAEe9G_normal.png" TargetMode="External"/><Relationship Id="rId553" Type="http://schemas.openxmlformats.org/officeDocument/2006/relationships/hyperlink" Target="https://twitter.com/CwCanaryIslands" TargetMode="External"/><Relationship Id="rId1144" Type="http://schemas.openxmlformats.org/officeDocument/2006/relationships/hyperlink" Target="https://pbs.twimg.com/profile_images/3722341784/fa39d69a57bac26ec686d40f2bbf96ad_normal.jpeg" TargetMode="External"/><Relationship Id="rId2475" Type="http://schemas.openxmlformats.org/officeDocument/2006/relationships/hyperlink" Target="https://twitter.com/pepeiito" TargetMode="External"/><Relationship Id="rId552" Type="http://schemas.openxmlformats.org/officeDocument/2006/relationships/hyperlink" Target="https://pbs.twimg.com/profile_images/669044929251946496/aajLpTkP_normal.jpg" TargetMode="External"/><Relationship Id="rId1145" Type="http://schemas.openxmlformats.org/officeDocument/2006/relationships/hyperlink" Target="https://twitter.com/Sink_or_Swim_" TargetMode="External"/><Relationship Id="rId2476" Type="http://schemas.openxmlformats.org/officeDocument/2006/relationships/hyperlink" Target="https://twitter.com/pepeiito/status/804471281890553857" TargetMode="External"/><Relationship Id="rId551" Type="http://schemas.openxmlformats.org/officeDocument/2006/relationships/hyperlink" Target="https://twitter.com/IGROCA/status/803183083025526784" TargetMode="External"/><Relationship Id="rId1146" Type="http://schemas.openxmlformats.org/officeDocument/2006/relationships/hyperlink" Target="https://twitter.com/Sink_or_Swim_/status/803608200830275585" TargetMode="External"/><Relationship Id="rId2477" Type="http://schemas.openxmlformats.org/officeDocument/2006/relationships/hyperlink" Target="https://pbs.twimg.com/profile_images/777354828804595713/wI4E3ccg_normal.jpg" TargetMode="External"/><Relationship Id="rId4280" Type="http://schemas.openxmlformats.org/officeDocument/2006/relationships/hyperlink" Target="https://twitter.com/holyber/status/805717135897071616" TargetMode="External"/><Relationship Id="rId4282" Type="http://schemas.openxmlformats.org/officeDocument/2006/relationships/hyperlink" Target="https://twitter.com/holyber" TargetMode="External"/><Relationship Id="rId4281" Type="http://schemas.openxmlformats.org/officeDocument/2006/relationships/hyperlink" Target="https://pbs.twimg.com/profile_images/475644614448123904/FiCl2pX4_normal.jpeg" TargetMode="External"/><Relationship Id="rId4284" Type="http://schemas.openxmlformats.org/officeDocument/2006/relationships/hyperlink" Target="https://pbs.twimg.com/profile_images/475644614448123904/FiCl2pX4_normal.jpeg" TargetMode="External"/><Relationship Id="rId4283" Type="http://schemas.openxmlformats.org/officeDocument/2006/relationships/hyperlink" Target="https://twitter.com/holyber/status/805717481079926785" TargetMode="External"/><Relationship Id="rId4286" Type="http://schemas.openxmlformats.org/officeDocument/2006/relationships/hyperlink" Target="https://twitter.com/holyber/status/805717873947791360" TargetMode="External"/><Relationship Id="rId4285" Type="http://schemas.openxmlformats.org/officeDocument/2006/relationships/hyperlink" Target="https://twitter.com/holyber" TargetMode="External"/><Relationship Id="rId4288" Type="http://schemas.openxmlformats.org/officeDocument/2006/relationships/hyperlink" Target="https://twitter.com/ArianaFreezy" TargetMode="External"/><Relationship Id="rId4287" Type="http://schemas.openxmlformats.org/officeDocument/2006/relationships/hyperlink" Target="https://pbs.twimg.com/profile_images/475644614448123904/FiCl2pX4_normal.jpeg" TargetMode="External"/><Relationship Id="rId4289" Type="http://schemas.openxmlformats.org/officeDocument/2006/relationships/hyperlink" Target="https://twitter.com/ArianaFreezy/status/805717889491881984" TargetMode="External"/><Relationship Id="rId4271" Type="http://schemas.openxmlformats.org/officeDocument/2006/relationships/hyperlink" Target="https://twitter.com/CarelAsensio/status/805716553454985216" TargetMode="External"/><Relationship Id="rId4270" Type="http://schemas.openxmlformats.org/officeDocument/2006/relationships/hyperlink" Target="https://twitter.com/CarelAsensio" TargetMode="External"/><Relationship Id="rId4273" Type="http://schemas.openxmlformats.org/officeDocument/2006/relationships/hyperlink" Target="https://twitter.com/Selhso" TargetMode="External"/><Relationship Id="rId4272" Type="http://schemas.openxmlformats.org/officeDocument/2006/relationships/hyperlink" Target="https://pbs.twimg.com/profile_images/691323024126124032/panawQzP_normal.jpg" TargetMode="External"/><Relationship Id="rId4275" Type="http://schemas.openxmlformats.org/officeDocument/2006/relationships/hyperlink" Target="https://pbs.twimg.com/profile_images/800845512836579328/cKh_5hB2_normal.jpg" TargetMode="External"/><Relationship Id="rId4274" Type="http://schemas.openxmlformats.org/officeDocument/2006/relationships/hyperlink" Target="https://twitter.com/Selhso/status/805716651605893120" TargetMode="External"/><Relationship Id="rId4277" Type="http://schemas.openxmlformats.org/officeDocument/2006/relationships/hyperlink" Target="https://twitter.com/paisajecanario/status/805716812667191296" TargetMode="External"/><Relationship Id="rId4276" Type="http://schemas.openxmlformats.org/officeDocument/2006/relationships/hyperlink" Target="https://twitter.com/paisajecanario" TargetMode="External"/><Relationship Id="rId4279" Type="http://schemas.openxmlformats.org/officeDocument/2006/relationships/hyperlink" Target="https://twitter.com/holyber" TargetMode="External"/><Relationship Id="rId4278" Type="http://schemas.openxmlformats.org/officeDocument/2006/relationships/hyperlink" Target="https://pbs.twimg.com/profile_images/789364630850240512/Mw90qAlM_normal.jpg" TargetMode="External"/><Relationship Id="rId4291" Type="http://schemas.openxmlformats.org/officeDocument/2006/relationships/hyperlink" Target="https://twitter.com/islaspromo" TargetMode="External"/><Relationship Id="rId4290" Type="http://schemas.openxmlformats.org/officeDocument/2006/relationships/hyperlink" Target="https://pbs.twimg.com/profile_images/805755905849589764/bgOd4BWP_normal.jpg" TargetMode="External"/><Relationship Id="rId4293" Type="http://schemas.openxmlformats.org/officeDocument/2006/relationships/hyperlink" Target="https://pbs.twimg.com/profile_images/570644453866483712/dvbC2x8W_normal.jpeg" TargetMode="External"/><Relationship Id="rId4292" Type="http://schemas.openxmlformats.org/officeDocument/2006/relationships/hyperlink" Target="https://twitter.com/islaspromo/status/805718693791629312" TargetMode="External"/><Relationship Id="rId4295" Type="http://schemas.openxmlformats.org/officeDocument/2006/relationships/hyperlink" Target="https://twitter.com/Salamanca_SSV/status/805719153743106048" TargetMode="External"/><Relationship Id="rId4294" Type="http://schemas.openxmlformats.org/officeDocument/2006/relationships/hyperlink" Target="https://twitter.com/Salamanca_SSV" TargetMode="External"/><Relationship Id="rId4297" Type="http://schemas.openxmlformats.org/officeDocument/2006/relationships/hyperlink" Target="https://twitter.com/PepeMaciasM" TargetMode="External"/><Relationship Id="rId4296" Type="http://schemas.openxmlformats.org/officeDocument/2006/relationships/hyperlink" Target="https://pbs.twimg.com/profile_images/3461850627/70f1c6c744e939681691ad3a09d64375_normal.png" TargetMode="External"/><Relationship Id="rId4299" Type="http://schemas.openxmlformats.org/officeDocument/2006/relationships/hyperlink" Target="https://pbs.twimg.com/profile_images/796058706953768960/lG2hgqk4_normal.jpg" TargetMode="External"/><Relationship Id="rId4298" Type="http://schemas.openxmlformats.org/officeDocument/2006/relationships/hyperlink" Target="https://twitter.com/PepeMaciasM/status/805719159933956096" TargetMode="External"/><Relationship Id="rId4249" Type="http://schemas.openxmlformats.org/officeDocument/2006/relationships/hyperlink" Target="https://twitter.com/Shades_Of_Bad_" TargetMode="External"/><Relationship Id="rId4240" Type="http://schemas.openxmlformats.org/officeDocument/2006/relationships/hyperlink" Target="https://twitter.com/FilmCheatGuide" TargetMode="External"/><Relationship Id="rId4242" Type="http://schemas.openxmlformats.org/officeDocument/2006/relationships/hyperlink" Target="https://pbs.twimg.com/profile_images/633973215384223745/lkA98fRS_normal.jpg" TargetMode="External"/><Relationship Id="rId4241" Type="http://schemas.openxmlformats.org/officeDocument/2006/relationships/hyperlink" Target="https://twitter.com/FilmCheatGuide/status/805714301826822144" TargetMode="External"/><Relationship Id="rId4244" Type="http://schemas.openxmlformats.org/officeDocument/2006/relationships/hyperlink" Target="https://twitter.com/Freightmovie/status/805714312677486592" TargetMode="External"/><Relationship Id="rId4243" Type="http://schemas.openxmlformats.org/officeDocument/2006/relationships/hyperlink" Target="https://twitter.com/Freightmovie" TargetMode="External"/><Relationship Id="rId4246" Type="http://schemas.openxmlformats.org/officeDocument/2006/relationships/hyperlink" Target="https://twitter.com/GuestActorShade" TargetMode="External"/><Relationship Id="rId4245" Type="http://schemas.openxmlformats.org/officeDocument/2006/relationships/hyperlink" Target="https://pbs.twimg.com/profile_images/635723237780013056/Gk_5eJ-F_normal.jpg" TargetMode="External"/><Relationship Id="rId4248" Type="http://schemas.openxmlformats.org/officeDocument/2006/relationships/hyperlink" Target="https://pbs.twimg.com/profile_images/777552444800765952/Vo7e7swC_normal.jpg" TargetMode="External"/><Relationship Id="rId4247" Type="http://schemas.openxmlformats.org/officeDocument/2006/relationships/hyperlink" Target="https://twitter.com/GuestActorShade/status/805714323813396480" TargetMode="External"/><Relationship Id="rId4239" Type="http://schemas.openxmlformats.org/officeDocument/2006/relationships/hyperlink" Target="https://pbs.twimg.com/profile_images/777545822254825472/0-x9uu3s_normal.jpg" TargetMode="External"/><Relationship Id="rId4238" Type="http://schemas.openxmlformats.org/officeDocument/2006/relationships/hyperlink" Target="https://twitter.com/DorisVisitsUK/status/805714290539958272" TargetMode="External"/><Relationship Id="rId495" Type="http://schemas.openxmlformats.org/officeDocument/2006/relationships/hyperlink" Target="https://pbs.twimg.com/profile_images/797345640816615424/2WXY3ylI_normal.jpg" TargetMode="External"/><Relationship Id="rId4231" Type="http://schemas.openxmlformats.org/officeDocument/2006/relationships/hyperlink" Target="https://twitter.com/DorisShades" TargetMode="External"/><Relationship Id="rId494" Type="http://schemas.openxmlformats.org/officeDocument/2006/relationships/hyperlink" Target="https://twitter.com/PatrioticPorc/status/803158379401134081" TargetMode="External"/><Relationship Id="rId4230" Type="http://schemas.openxmlformats.org/officeDocument/2006/relationships/hyperlink" Target="https://pbs.twimg.com/profile_images/769621211911450624/O-JLlK5O_normal.jpg" TargetMode="External"/><Relationship Id="rId493" Type="http://schemas.openxmlformats.org/officeDocument/2006/relationships/hyperlink" Target="https://twitter.com/PatrioticPorc" TargetMode="External"/><Relationship Id="rId4233" Type="http://schemas.openxmlformats.org/officeDocument/2006/relationships/hyperlink" Target="https://pbs.twimg.com/profile_images/777456052094791681/oTN7NDTr_normal.jpg" TargetMode="External"/><Relationship Id="rId492" Type="http://schemas.openxmlformats.org/officeDocument/2006/relationships/hyperlink" Target="https://pbs.twimg.com/profile_images/592798998773235713/aPa65SQO_normal.jpg" TargetMode="External"/><Relationship Id="rId4232" Type="http://schemas.openxmlformats.org/officeDocument/2006/relationships/hyperlink" Target="https://twitter.com/DorisShades/status/805714267844595712" TargetMode="External"/><Relationship Id="rId499" Type="http://schemas.openxmlformats.org/officeDocument/2006/relationships/hyperlink" Target="https://twitter.com/CanaryIslandsEN" TargetMode="External"/><Relationship Id="rId4235" Type="http://schemas.openxmlformats.org/officeDocument/2006/relationships/hyperlink" Target="https://twitter.com/DorisVisits/status/805714278594519040" TargetMode="External"/><Relationship Id="rId498" Type="http://schemas.openxmlformats.org/officeDocument/2006/relationships/hyperlink" Target="https://pbs.twimg.com/profile_images/800293643127058432/P9Bxoq_U_normal.jpg" TargetMode="External"/><Relationship Id="rId4234" Type="http://schemas.openxmlformats.org/officeDocument/2006/relationships/hyperlink" Target="https://twitter.com/DorisVisits" TargetMode="External"/><Relationship Id="rId497" Type="http://schemas.openxmlformats.org/officeDocument/2006/relationships/hyperlink" Target="https://twitter.com/Foto_MarcosR/status/803159366560055296" TargetMode="External"/><Relationship Id="rId4237" Type="http://schemas.openxmlformats.org/officeDocument/2006/relationships/hyperlink" Target="https://twitter.com/DorisVisitsUK" TargetMode="External"/><Relationship Id="rId496" Type="http://schemas.openxmlformats.org/officeDocument/2006/relationships/hyperlink" Target="https://twitter.com/Foto_MarcosR" TargetMode="External"/><Relationship Id="rId4236" Type="http://schemas.openxmlformats.org/officeDocument/2006/relationships/hyperlink" Target="https://pbs.twimg.com/profile_images/668416648211222529/-2knYf0__normal.jpg" TargetMode="External"/><Relationship Id="rId4260" Type="http://schemas.openxmlformats.org/officeDocument/2006/relationships/hyperlink" Target="https://pbs.twimg.com/profile_images/570644453866483712/dvbC2x8W_normal.jpeg" TargetMode="External"/><Relationship Id="rId4262" Type="http://schemas.openxmlformats.org/officeDocument/2006/relationships/hyperlink" Target="https://twitter.com/TCAirlinesUK/status/805715142919024641" TargetMode="External"/><Relationship Id="rId4261" Type="http://schemas.openxmlformats.org/officeDocument/2006/relationships/hyperlink" Target="https://twitter.com/TCAirlinesUK" TargetMode="External"/><Relationship Id="rId4264" Type="http://schemas.openxmlformats.org/officeDocument/2006/relationships/hyperlink" Target="https://twitter.com/GrupoSTIER" TargetMode="External"/><Relationship Id="rId4263" Type="http://schemas.openxmlformats.org/officeDocument/2006/relationships/hyperlink" Target="https://pbs.twimg.com/profile_images/583345288234070017/uj4D5Ww1_normal.jpg" TargetMode="External"/><Relationship Id="rId4266" Type="http://schemas.openxmlformats.org/officeDocument/2006/relationships/hyperlink" Target="https://pbs.twimg.com/profile_images/689725261491933184/2iPM6daZ_normal.jpg" TargetMode="External"/><Relationship Id="rId4265" Type="http://schemas.openxmlformats.org/officeDocument/2006/relationships/hyperlink" Target="https://twitter.com/GrupoSTIER/status/805715155841589248" TargetMode="External"/><Relationship Id="rId4268" Type="http://schemas.openxmlformats.org/officeDocument/2006/relationships/hyperlink" Target="https://twitter.com/HotelEscuelaSB/status/805716333237325824" TargetMode="External"/><Relationship Id="rId4267" Type="http://schemas.openxmlformats.org/officeDocument/2006/relationships/hyperlink" Target="https://twitter.com/HotelEscuelaSB" TargetMode="External"/><Relationship Id="rId4269" Type="http://schemas.openxmlformats.org/officeDocument/2006/relationships/hyperlink" Target="https://pbs.twimg.com/profile_images/792036201695940608/ZYEcPM7L_normal.jpg" TargetMode="External"/><Relationship Id="rId4251" Type="http://schemas.openxmlformats.org/officeDocument/2006/relationships/hyperlink" Target="https://pbs.twimg.com/profile_images/605126470994903041/ANadzfFp_normal.jpg" TargetMode="External"/><Relationship Id="rId4250" Type="http://schemas.openxmlformats.org/officeDocument/2006/relationships/hyperlink" Target="https://twitter.com/Shades_Of_Bad_/status/805714335792328704" TargetMode="External"/><Relationship Id="rId4253" Type="http://schemas.openxmlformats.org/officeDocument/2006/relationships/hyperlink" Target="https://twitter.com/ShadesDirector/status/805714347364413440" TargetMode="External"/><Relationship Id="rId4252" Type="http://schemas.openxmlformats.org/officeDocument/2006/relationships/hyperlink" Target="https://twitter.com/ShadesDirector" TargetMode="External"/><Relationship Id="rId4255" Type="http://schemas.openxmlformats.org/officeDocument/2006/relationships/hyperlink" Target="https://twitter.com/bermaxo09" TargetMode="External"/><Relationship Id="rId4254" Type="http://schemas.openxmlformats.org/officeDocument/2006/relationships/hyperlink" Target="https://pbs.twimg.com/profile_images/769622463344959489/FhJxVtM2_normal.jpg" TargetMode="External"/><Relationship Id="rId4257" Type="http://schemas.openxmlformats.org/officeDocument/2006/relationships/hyperlink" Target="https://pbs.twimg.com/profile_images/798476790478073856/iOD0HIRa_normal.jpg" TargetMode="External"/><Relationship Id="rId4256" Type="http://schemas.openxmlformats.org/officeDocument/2006/relationships/hyperlink" Target="https://twitter.com/bermaxo09/status/805714395980591104" TargetMode="External"/><Relationship Id="rId4259" Type="http://schemas.openxmlformats.org/officeDocument/2006/relationships/hyperlink" Target="https://twitter.com/islaspromo/status/805715075696889857" TargetMode="External"/><Relationship Id="rId4258" Type="http://schemas.openxmlformats.org/officeDocument/2006/relationships/hyperlink" Target="https://twitter.com/islaspromo" TargetMode="External"/><Relationship Id="rId3810" Type="http://schemas.openxmlformats.org/officeDocument/2006/relationships/hyperlink" Target="https://pbs.twimg.com/profile_images/805052311466897409/zHKEhdG9_normal.jpg" TargetMode="External"/><Relationship Id="rId3812" Type="http://schemas.openxmlformats.org/officeDocument/2006/relationships/hyperlink" Target="https://twitter.com/JAGreenhill/status/805403107517730816" TargetMode="External"/><Relationship Id="rId3811" Type="http://schemas.openxmlformats.org/officeDocument/2006/relationships/hyperlink" Target="https://twitter.com/JAGreenhill" TargetMode="External"/><Relationship Id="rId3814" Type="http://schemas.openxmlformats.org/officeDocument/2006/relationships/hyperlink" Target="https://twitter.com/JAGreenhill" TargetMode="External"/><Relationship Id="rId3813" Type="http://schemas.openxmlformats.org/officeDocument/2006/relationships/hyperlink" Target="https://pbs.twimg.com/profile_images/805052311466897409/zHKEhdG9_normal.jpg" TargetMode="External"/><Relationship Id="rId3816" Type="http://schemas.openxmlformats.org/officeDocument/2006/relationships/hyperlink" Target="https://pbs.twimg.com/profile_images/805052311466897409/zHKEhdG9_normal.jpg" TargetMode="External"/><Relationship Id="rId3815" Type="http://schemas.openxmlformats.org/officeDocument/2006/relationships/hyperlink" Target="https://twitter.com/JAGreenhill/status/805403304947810304" TargetMode="External"/><Relationship Id="rId3818" Type="http://schemas.openxmlformats.org/officeDocument/2006/relationships/hyperlink" Target="https://twitter.com/JAGreenhill/status/805403655214141441" TargetMode="External"/><Relationship Id="rId3817" Type="http://schemas.openxmlformats.org/officeDocument/2006/relationships/hyperlink" Target="https://twitter.com/JAGreenhill" TargetMode="External"/><Relationship Id="rId3819" Type="http://schemas.openxmlformats.org/officeDocument/2006/relationships/hyperlink" Target="https://pbs.twimg.com/profile_images/805052311466897409/zHKEhdG9_normal.jpg" TargetMode="External"/><Relationship Id="rId3801" Type="http://schemas.openxmlformats.org/officeDocument/2006/relationships/hyperlink" Target="https://pbs.twimg.com/profile_images/805052311466897409/zHKEhdG9_normal.jpg" TargetMode="External"/><Relationship Id="rId3800" Type="http://schemas.openxmlformats.org/officeDocument/2006/relationships/hyperlink" Target="https://twitter.com/JAGreenhill/status/805402122737057792" TargetMode="External"/><Relationship Id="rId3803" Type="http://schemas.openxmlformats.org/officeDocument/2006/relationships/hyperlink" Target="https://twitter.com/JAGreenhill/status/805402337305120768" TargetMode="External"/><Relationship Id="rId3802" Type="http://schemas.openxmlformats.org/officeDocument/2006/relationships/hyperlink" Target="https://twitter.com/JAGreenhill" TargetMode="External"/><Relationship Id="rId3805" Type="http://schemas.openxmlformats.org/officeDocument/2006/relationships/hyperlink" Target="https://twitter.com/JAGreenhill" TargetMode="External"/><Relationship Id="rId3804" Type="http://schemas.openxmlformats.org/officeDocument/2006/relationships/hyperlink" Target="https://pbs.twimg.com/profile_images/805052311466897409/zHKEhdG9_normal.jpg" TargetMode="External"/><Relationship Id="rId3807" Type="http://schemas.openxmlformats.org/officeDocument/2006/relationships/hyperlink" Target="https://pbs.twimg.com/profile_images/805052311466897409/zHKEhdG9_normal.jpg" TargetMode="External"/><Relationship Id="rId3806" Type="http://schemas.openxmlformats.org/officeDocument/2006/relationships/hyperlink" Target="https://twitter.com/JAGreenhill/status/805402579459043328" TargetMode="External"/><Relationship Id="rId3809" Type="http://schemas.openxmlformats.org/officeDocument/2006/relationships/hyperlink" Target="https://twitter.com/JAGreenhill/status/805402804642873344" TargetMode="External"/><Relationship Id="rId3808" Type="http://schemas.openxmlformats.org/officeDocument/2006/relationships/hyperlink" Target="https://twitter.com/JAGreenhill" TargetMode="External"/><Relationship Id="rId1213" Type="http://schemas.openxmlformats.org/officeDocument/2006/relationships/hyperlink" Target="https://twitter.com/GranCanLocal/status/803645722319003648" TargetMode="External"/><Relationship Id="rId2544" Type="http://schemas.openxmlformats.org/officeDocument/2006/relationships/hyperlink" Target="https://twitter.com/bermaxo09" TargetMode="External"/><Relationship Id="rId3876" Type="http://schemas.openxmlformats.org/officeDocument/2006/relationships/hyperlink" Target="https://pbs.twimg.com/profile_images/805052311466897409/zHKEhdG9_normal.jpg" TargetMode="External"/><Relationship Id="rId1214" Type="http://schemas.openxmlformats.org/officeDocument/2006/relationships/hyperlink" Target="https://pbs.twimg.com/profile_images/797869927004852225/JqQhI5Qc_normal.jpg" TargetMode="External"/><Relationship Id="rId2545" Type="http://schemas.openxmlformats.org/officeDocument/2006/relationships/hyperlink" Target="https://twitter.com/bermaxo09/status/804562353434071040" TargetMode="External"/><Relationship Id="rId3875" Type="http://schemas.openxmlformats.org/officeDocument/2006/relationships/hyperlink" Target="https://twitter.com/JAGreenhill/status/805406280542261248" TargetMode="External"/><Relationship Id="rId1215" Type="http://schemas.openxmlformats.org/officeDocument/2006/relationships/hyperlink" Target="https://twitter.com/Manta_Diving" TargetMode="External"/><Relationship Id="rId2546" Type="http://schemas.openxmlformats.org/officeDocument/2006/relationships/hyperlink" Target="https://pbs.twimg.com/profile_images/798476790478073856/iOD0HIRa_normal.jpg" TargetMode="External"/><Relationship Id="rId3878" Type="http://schemas.openxmlformats.org/officeDocument/2006/relationships/hyperlink" Target="https://twitter.com/JAGreenhill/status/805406371889971200" TargetMode="External"/><Relationship Id="rId1216" Type="http://schemas.openxmlformats.org/officeDocument/2006/relationships/hyperlink" Target="https://twitter.com/Manta_Diving/status/803649241696575488" TargetMode="External"/><Relationship Id="rId2547" Type="http://schemas.openxmlformats.org/officeDocument/2006/relationships/hyperlink" Target="https://twitter.com/bermaxo09" TargetMode="External"/><Relationship Id="rId3877" Type="http://schemas.openxmlformats.org/officeDocument/2006/relationships/hyperlink" Target="https://twitter.com/JAGreenhill" TargetMode="External"/><Relationship Id="rId1217" Type="http://schemas.openxmlformats.org/officeDocument/2006/relationships/hyperlink" Target="https://pbs.twimg.com/profile_images/608258224861683713/3tZDEUxD_normal.jpg" TargetMode="External"/><Relationship Id="rId2548" Type="http://schemas.openxmlformats.org/officeDocument/2006/relationships/hyperlink" Target="https://twitter.com/bermaxo09/status/804562856415035392" TargetMode="External"/><Relationship Id="rId1218" Type="http://schemas.openxmlformats.org/officeDocument/2006/relationships/hyperlink" Target="https://twitter.com/holyber" TargetMode="External"/><Relationship Id="rId2549" Type="http://schemas.openxmlformats.org/officeDocument/2006/relationships/hyperlink" Target="https://pbs.twimg.com/profile_images/798476790478073856/iOD0HIRa_normal.jpg" TargetMode="External"/><Relationship Id="rId3879" Type="http://schemas.openxmlformats.org/officeDocument/2006/relationships/hyperlink" Target="https://pbs.twimg.com/profile_images/805052311466897409/zHKEhdG9_normal.jpg" TargetMode="External"/><Relationship Id="rId1219" Type="http://schemas.openxmlformats.org/officeDocument/2006/relationships/hyperlink" Target="https://twitter.com/holyber/status/803652128132562944" TargetMode="External"/><Relationship Id="rId3870" Type="http://schemas.openxmlformats.org/officeDocument/2006/relationships/hyperlink" Target="https://pbs.twimg.com/profile_images/805052311466897409/zHKEhdG9_normal.jpg" TargetMode="External"/><Relationship Id="rId2540" Type="http://schemas.openxmlformats.org/officeDocument/2006/relationships/hyperlink" Target="https://pbs.twimg.com/profile_images/798476790478073856/iOD0HIRa_normal.jpg" TargetMode="External"/><Relationship Id="rId3872" Type="http://schemas.openxmlformats.org/officeDocument/2006/relationships/hyperlink" Target="https://twitter.com/Citta_Cat/status/805406200716267521" TargetMode="External"/><Relationship Id="rId1210" Type="http://schemas.openxmlformats.org/officeDocument/2006/relationships/hyperlink" Target="https://twitter.com/MokaGonzalez_/status/803640949993775105" TargetMode="External"/><Relationship Id="rId2541" Type="http://schemas.openxmlformats.org/officeDocument/2006/relationships/hyperlink" Target="https://twitter.com/bermaxo09" TargetMode="External"/><Relationship Id="rId3871" Type="http://schemas.openxmlformats.org/officeDocument/2006/relationships/hyperlink" Target="https://twitter.com/Citta_Cat" TargetMode="External"/><Relationship Id="rId1211" Type="http://schemas.openxmlformats.org/officeDocument/2006/relationships/hyperlink" Target="https://pbs.twimg.com/profile_images/805759744292122624/GVNyopcr_normal.jpg" TargetMode="External"/><Relationship Id="rId2542" Type="http://schemas.openxmlformats.org/officeDocument/2006/relationships/hyperlink" Target="https://twitter.com/bermaxo09/status/804561986746982400" TargetMode="External"/><Relationship Id="rId3874" Type="http://schemas.openxmlformats.org/officeDocument/2006/relationships/hyperlink" Target="https://twitter.com/JAGreenhill" TargetMode="External"/><Relationship Id="rId1212" Type="http://schemas.openxmlformats.org/officeDocument/2006/relationships/hyperlink" Target="https://twitter.com/GranCanLocal" TargetMode="External"/><Relationship Id="rId2543" Type="http://schemas.openxmlformats.org/officeDocument/2006/relationships/hyperlink" Target="https://pbs.twimg.com/profile_images/798476790478073856/iOD0HIRa_normal.jpg" TargetMode="External"/><Relationship Id="rId3873" Type="http://schemas.openxmlformats.org/officeDocument/2006/relationships/hyperlink" Target="https://pbs.twimg.com/profile_images/800851298887331840/9-jlggu8_normal.jpg" TargetMode="External"/><Relationship Id="rId1202" Type="http://schemas.openxmlformats.org/officeDocument/2006/relationships/hyperlink" Target="https://pbs.twimg.com/profile_images/779785036996415489/a2nilB1d_normal.jpg" TargetMode="External"/><Relationship Id="rId2533" Type="http://schemas.openxmlformats.org/officeDocument/2006/relationships/hyperlink" Target="https://twitter.com/bermaxo09/status/804559473918480384" TargetMode="External"/><Relationship Id="rId3865" Type="http://schemas.openxmlformats.org/officeDocument/2006/relationships/hyperlink" Target="https://twitter.com/JAGreenhill" TargetMode="External"/><Relationship Id="rId1203" Type="http://schemas.openxmlformats.org/officeDocument/2006/relationships/hyperlink" Target="https://twitter.com/elastword" TargetMode="External"/><Relationship Id="rId2534" Type="http://schemas.openxmlformats.org/officeDocument/2006/relationships/hyperlink" Target="https://pbs.twimg.com/profile_images/798476790478073856/iOD0HIRa_normal.jpg" TargetMode="External"/><Relationship Id="rId3864" Type="http://schemas.openxmlformats.org/officeDocument/2006/relationships/hyperlink" Target="https://pbs.twimg.com/profile_images/805052311466897409/zHKEhdG9_normal.jpg" TargetMode="External"/><Relationship Id="rId1204" Type="http://schemas.openxmlformats.org/officeDocument/2006/relationships/hyperlink" Target="https://twitter.com/elastword/status/803633188585213952" TargetMode="External"/><Relationship Id="rId2535" Type="http://schemas.openxmlformats.org/officeDocument/2006/relationships/hyperlink" Target="https://twitter.com/bermaxo09" TargetMode="External"/><Relationship Id="rId3867" Type="http://schemas.openxmlformats.org/officeDocument/2006/relationships/hyperlink" Target="https://pbs.twimg.com/profile_images/805052311466897409/zHKEhdG9_normal.jpg" TargetMode="External"/><Relationship Id="rId1205" Type="http://schemas.openxmlformats.org/officeDocument/2006/relationships/hyperlink" Target="https://pbs.twimg.com/profile_images/779785036996415489/a2nilB1d_normal.jpg" TargetMode="External"/><Relationship Id="rId2536" Type="http://schemas.openxmlformats.org/officeDocument/2006/relationships/hyperlink" Target="https://twitter.com/bermaxo09/status/804560585237155840" TargetMode="External"/><Relationship Id="rId3866" Type="http://schemas.openxmlformats.org/officeDocument/2006/relationships/hyperlink" Target="https://twitter.com/JAGreenhill/status/805405941302788096" TargetMode="External"/><Relationship Id="rId1206" Type="http://schemas.openxmlformats.org/officeDocument/2006/relationships/hyperlink" Target="https://twitter.com/elastword" TargetMode="External"/><Relationship Id="rId2537" Type="http://schemas.openxmlformats.org/officeDocument/2006/relationships/hyperlink" Target="https://pbs.twimg.com/profile_images/798476790478073856/iOD0HIRa_normal.jpg" TargetMode="External"/><Relationship Id="rId3869" Type="http://schemas.openxmlformats.org/officeDocument/2006/relationships/hyperlink" Target="https://twitter.com/JAGreenhill/status/805406160417423360" TargetMode="External"/><Relationship Id="rId1207" Type="http://schemas.openxmlformats.org/officeDocument/2006/relationships/hyperlink" Target="https://twitter.com/elastword/status/803634576501383172" TargetMode="External"/><Relationship Id="rId2538" Type="http://schemas.openxmlformats.org/officeDocument/2006/relationships/hyperlink" Target="https://twitter.com/bermaxo09" TargetMode="External"/><Relationship Id="rId3868" Type="http://schemas.openxmlformats.org/officeDocument/2006/relationships/hyperlink" Target="https://twitter.com/JAGreenhill" TargetMode="External"/><Relationship Id="rId1208" Type="http://schemas.openxmlformats.org/officeDocument/2006/relationships/hyperlink" Target="https://pbs.twimg.com/profile_images/779785036996415489/a2nilB1d_normal.jpg" TargetMode="External"/><Relationship Id="rId2539" Type="http://schemas.openxmlformats.org/officeDocument/2006/relationships/hyperlink" Target="https://twitter.com/bermaxo09/status/804561563692711936" TargetMode="External"/><Relationship Id="rId1209" Type="http://schemas.openxmlformats.org/officeDocument/2006/relationships/hyperlink" Target="https://twitter.com/MokaGonzalez_" TargetMode="External"/><Relationship Id="rId3861" Type="http://schemas.openxmlformats.org/officeDocument/2006/relationships/hyperlink" Target="https://pbs.twimg.com/profile_images/805052311466897409/zHKEhdG9_normal.jpg" TargetMode="External"/><Relationship Id="rId2530" Type="http://schemas.openxmlformats.org/officeDocument/2006/relationships/hyperlink" Target="https://twitter.com/bermaxo09/status/804558701227024384" TargetMode="External"/><Relationship Id="rId3860" Type="http://schemas.openxmlformats.org/officeDocument/2006/relationships/hyperlink" Target="https://twitter.com/JAGreenhill/status/805405736176156672" TargetMode="External"/><Relationship Id="rId1200" Type="http://schemas.openxmlformats.org/officeDocument/2006/relationships/hyperlink" Target="https://twitter.com/elastword" TargetMode="External"/><Relationship Id="rId2531" Type="http://schemas.openxmlformats.org/officeDocument/2006/relationships/hyperlink" Target="https://pbs.twimg.com/profile_images/798476790478073856/iOD0HIRa_normal.jpg" TargetMode="External"/><Relationship Id="rId3863" Type="http://schemas.openxmlformats.org/officeDocument/2006/relationships/hyperlink" Target="https://twitter.com/JAGreenhill/status/805405852870000640" TargetMode="External"/><Relationship Id="rId1201" Type="http://schemas.openxmlformats.org/officeDocument/2006/relationships/hyperlink" Target="https://twitter.com/elastword/status/803632386013544448" TargetMode="External"/><Relationship Id="rId2532" Type="http://schemas.openxmlformats.org/officeDocument/2006/relationships/hyperlink" Target="https://twitter.com/bermaxo09" TargetMode="External"/><Relationship Id="rId3862" Type="http://schemas.openxmlformats.org/officeDocument/2006/relationships/hyperlink" Target="https://twitter.com/JAGreenhill" TargetMode="External"/><Relationship Id="rId1235" Type="http://schemas.openxmlformats.org/officeDocument/2006/relationships/hyperlink" Target="https://pbs.twimg.com/profile_images/1281914135/Imagenes_Pepe_023_normal.jpg" TargetMode="External"/><Relationship Id="rId2566" Type="http://schemas.openxmlformats.org/officeDocument/2006/relationships/hyperlink" Target="https://twitter.com/MedCruiseGuide/status/804584923155886080" TargetMode="External"/><Relationship Id="rId3898" Type="http://schemas.openxmlformats.org/officeDocument/2006/relationships/hyperlink" Target="https://twitter.com/JAGreenhill" TargetMode="External"/><Relationship Id="rId1236" Type="http://schemas.openxmlformats.org/officeDocument/2006/relationships/hyperlink" Target="https://twitter.com/diveniki" TargetMode="External"/><Relationship Id="rId2567" Type="http://schemas.openxmlformats.org/officeDocument/2006/relationships/hyperlink" Target="https://pbs.twimg.com/profile_images/805484536301780992/2tho24Rf_normal.jpg" TargetMode="External"/><Relationship Id="rId3897" Type="http://schemas.openxmlformats.org/officeDocument/2006/relationships/hyperlink" Target="https://pbs.twimg.com/profile_images/805052311466897409/zHKEhdG9_normal.jpg" TargetMode="External"/><Relationship Id="rId1237" Type="http://schemas.openxmlformats.org/officeDocument/2006/relationships/hyperlink" Target="https://twitter.com/diveniki/status/803663283320451072" TargetMode="External"/><Relationship Id="rId2568" Type="http://schemas.openxmlformats.org/officeDocument/2006/relationships/hyperlink" Target="https://twitter.com/_TenDive" TargetMode="External"/><Relationship Id="rId1238" Type="http://schemas.openxmlformats.org/officeDocument/2006/relationships/hyperlink" Target="https://pbs.twimg.com/profile_images/764390664142454785/QRDRzILj_normal.jpg" TargetMode="External"/><Relationship Id="rId2569" Type="http://schemas.openxmlformats.org/officeDocument/2006/relationships/hyperlink" Target="https://twitter.com/_TenDive/status/804585243797848064" TargetMode="External"/><Relationship Id="rId3899" Type="http://schemas.openxmlformats.org/officeDocument/2006/relationships/hyperlink" Target="https://twitter.com/JAGreenhill/status/805407543916896256" TargetMode="External"/><Relationship Id="rId1239" Type="http://schemas.openxmlformats.org/officeDocument/2006/relationships/hyperlink" Target="https://twitter.com/JosCarlosGmez7" TargetMode="External"/><Relationship Id="rId409" Type="http://schemas.openxmlformats.org/officeDocument/2006/relationships/hyperlink" Target="https://twitter.com/holyber" TargetMode="External"/><Relationship Id="rId404" Type="http://schemas.openxmlformats.org/officeDocument/2006/relationships/hyperlink" Target="https://twitter.com/swisshop4uEs/status/803026922494103556" TargetMode="External"/><Relationship Id="rId403" Type="http://schemas.openxmlformats.org/officeDocument/2006/relationships/hyperlink" Target="https://twitter.com/swisshop4uEs" TargetMode="External"/><Relationship Id="rId402" Type="http://schemas.openxmlformats.org/officeDocument/2006/relationships/hyperlink" Target="https://pbs.twimg.com/profile_images/1508754713/Logos_Perfiles_EECC_-_Sin_borde_y_sin_texto_normal.jpg" TargetMode="External"/><Relationship Id="rId401" Type="http://schemas.openxmlformats.org/officeDocument/2006/relationships/hyperlink" Target="https://twitter.com/EmocionesCan/status/803026614942568448" TargetMode="External"/><Relationship Id="rId408" Type="http://schemas.openxmlformats.org/officeDocument/2006/relationships/hyperlink" Target="https://pbs.twimg.com/profile_images/3198137873/a6a62ca591734d8cf8d4a40ef5a4507b_normal.jpeg" TargetMode="External"/><Relationship Id="rId407" Type="http://schemas.openxmlformats.org/officeDocument/2006/relationships/hyperlink" Target="https://twitter.com/joseman52/status/803032534820917248" TargetMode="External"/><Relationship Id="rId406" Type="http://schemas.openxmlformats.org/officeDocument/2006/relationships/hyperlink" Target="https://twitter.com/joseman52" TargetMode="External"/><Relationship Id="rId405" Type="http://schemas.openxmlformats.org/officeDocument/2006/relationships/hyperlink" Target="https://pbs.twimg.com/profile_images/378800000213382003/4f562b59f92995b884d2d440f71fc5ce_normal.png" TargetMode="External"/><Relationship Id="rId3890" Type="http://schemas.openxmlformats.org/officeDocument/2006/relationships/hyperlink" Target="https://twitter.com/JAGreenhill/status/805407058304634880" TargetMode="External"/><Relationship Id="rId2560" Type="http://schemas.openxmlformats.org/officeDocument/2006/relationships/hyperlink" Target="https://twitter.com/asierbaquero/status/804580537474150400" TargetMode="External"/><Relationship Id="rId3892" Type="http://schemas.openxmlformats.org/officeDocument/2006/relationships/hyperlink" Target="https://twitter.com/JAGreenhill" TargetMode="External"/><Relationship Id="rId1230" Type="http://schemas.openxmlformats.org/officeDocument/2006/relationships/hyperlink" Target="https://twitter.com/JawiMooken" TargetMode="External"/><Relationship Id="rId2561" Type="http://schemas.openxmlformats.org/officeDocument/2006/relationships/hyperlink" Target="https://pbs.twimg.com/profile_images/3497575836/b2ae6be61f3184c86257069654bfa8d6_normal.jpeg" TargetMode="External"/><Relationship Id="rId3891" Type="http://schemas.openxmlformats.org/officeDocument/2006/relationships/hyperlink" Target="https://pbs.twimg.com/profile_images/805052311466897409/zHKEhdG9_normal.jpg" TargetMode="External"/><Relationship Id="rId400" Type="http://schemas.openxmlformats.org/officeDocument/2006/relationships/hyperlink" Target="https://twitter.com/EmocionesCan" TargetMode="External"/><Relationship Id="rId1231" Type="http://schemas.openxmlformats.org/officeDocument/2006/relationships/hyperlink" Target="https://twitter.com/JawiMooken/status/803654164920139776" TargetMode="External"/><Relationship Id="rId2562" Type="http://schemas.openxmlformats.org/officeDocument/2006/relationships/hyperlink" Target="https://twitter.com/asierbaquero" TargetMode="External"/><Relationship Id="rId3894" Type="http://schemas.openxmlformats.org/officeDocument/2006/relationships/hyperlink" Target="https://pbs.twimg.com/profile_images/805052311466897409/zHKEhdG9_normal.jpg" TargetMode="External"/><Relationship Id="rId1232" Type="http://schemas.openxmlformats.org/officeDocument/2006/relationships/hyperlink" Target="https://pbs.twimg.com/profile_images/778034960435384321/9o6hBEcb_normal.jpg" TargetMode="External"/><Relationship Id="rId2563" Type="http://schemas.openxmlformats.org/officeDocument/2006/relationships/hyperlink" Target="https://twitter.com/asierbaquero/status/804581571617505280" TargetMode="External"/><Relationship Id="rId3893" Type="http://schemas.openxmlformats.org/officeDocument/2006/relationships/hyperlink" Target="https://twitter.com/JAGreenhill/status/805407182812512256" TargetMode="External"/><Relationship Id="rId1233" Type="http://schemas.openxmlformats.org/officeDocument/2006/relationships/hyperlink" Target="https://twitter.com/Perkui" TargetMode="External"/><Relationship Id="rId2564" Type="http://schemas.openxmlformats.org/officeDocument/2006/relationships/hyperlink" Target="https://pbs.twimg.com/profile_images/3497575836/b2ae6be61f3184c86257069654bfa8d6_normal.jpeg" TargetMode="External"/><Relationship Id="rId3896" Type="http://schemas.openxmlformats.org/officeDocument/2006/relationships/hyperlink" Target="https://twitter.com/JAGreenhill/status/805407367781371905" TargetMode="External"/><Relationship Id="rId1234" Type="http://schemas.openxmlformats.org/officeDocument/2006/relationships/hyperlink" Target="https://twitter.com/Perkui/status/803657661204013056" TargetMode="External"/><Relationship Id="rId2565" Type="http://schemas.openxmlformats.org/officeDocument/2006/relationships/hyperlink" Target="https://twitter.com/MedCruiseGuide" TargetMode="External"/><Relationship Id="rId3895" Type="http://schemas.openxmlformats.org/officeDocument/2006/relationships/hyperlink" Target="https://twitter.com/JAGreenhill" TargetMode="External"/><Relationship Id="rId1224" Type="http://schemas.openxmlformats.org/officeDocument/2006/relationships/hyperlink" Target="https://twitter.com/MadameGargantua" TargetMode="External"/><Relationship Id="rId2555" Type="http://schemas.openxmlformats.org/officeDocument/2006/relationships/hyperlink" Target="https://pbs.twimg.com/profile_images/767621754898579456/rs-lOg2T_normal.jpg" TargetMode="External"/><Relationship Id="rId3887" Type="http://schemas.openxmlformats.org/officeDocument/2006/relationships/hyperlink" Target="https://twitter.com/JAGreenhill/status/805406899394985984" TargetMode="External"/><Relationship Id="rId1225" Type="http://schemas.openxmlformats.org/officeDocument/2006/relationships/hyperlink" Target="https://twitter.com/MadameGargantua/status/803653276013133824" TargetMode="External"/><Relationship Id="rId2556" Type="http://schemas.openxmlformats.org/officeDocument/2006/relationships/hyperlink" Target="https://twitter.com/mrgaryhollywood" TargetMode="External"/><Relationship Id="rId3886" Type="http://schemas.openxmlformats.org/officeDocument/2006/relationships/hyperlink" Target="https://twitter.com/JAGreenhill" TargetMode="External"/><Relationship Id="rId1226" Type="http://schemas.openxmlformats.org/officeDocument/2006/relationships/hyperlink" Target="https://pbs.twimg.com/profile_images/729246446856372224/ZaFGH2qT_normal.jpg" TargetMode="External"/><Relationship Id="rId2557" Type="http://schemas.openxmlformats.org/officeDocument/2006/relationships/hyperlink" Target="https://twitter.com/mrgaryhollywood/status/804580164952854528" TargetMode="External"/><Relationship Id="rId3889" Type="http://schemas.openxmlformats.org/officeDocument/2006/relationships/hyperlink" Target="https://twitter.com/JAGreenhill" TargetMode="External"/><Relationship Id="rId1227" Type="http://schemas.openxmlformats.org/officeDocument/2006/relationships/hyperlink" Target="https://twitter.com/Euthumia" TargetMode="External"/><Relationship Id="rId2558" Type="http://schemas.openxmlformats.org/officeDocument/2006/relationships/hyperlink" Target="https://pbs.twimg.com/profile_images/768044411976646656/on8rcxYg_normal.jpg" TargetMode="External"/><Relationship Id="rId3888" Type="http://schemas.openxmlformats.org/officeDocument/2006/relationships/hyperlink" Target="https://pbs.twimg.com/profile_images/805052311466897409/zHKEhdG9_normal.jpg" TargetMode="External"/><Relationship Id="rId1228" Type="http://schemas.openxmlformats.org/officeDocument/2006/relationships/hyperlink" Target="https://twitter.com/Euthumia/status/803653417138724868" TargetMode="External"/><Relationship Id="rId2559" Type="http://schemas.openxmlformats.org/officeDocument/2006/relationships/hyperlink" Target="https://twitter.com/asierbaquero" TargetMode="External"/><Relationship Id="rId1229" Type="http://schemas.openxmlformats.org/officeDocument/2006/relationships/hyperlink" Target="https://pbs.twimg.com/profile_images/3112307630/63df6e9c1fcd943acbbe4c226bbcc785_normal.jpeg" TargetMode="External"/><Relationship Id="rId3881" Type="http://schemas.openxmlformats.org/officeDocument/2006/relationships/hyperlink" Target="https://twitter.com/JAGreenhill/status/805406523669286912" TargetMode="External"/><Relationship Id="rId2550" Type="http://schemas.openxmlformats.org/officeDocument/2006/relationships/hyperlink" Target="https://twitter.com/somoslavlav" TargetMode="External"/><Relationship Id="rId3880" Type="http://schemas.openxmlformats.org/officeDocument/2006/relationships/hyperlink" Target="https://twitter.com/JAGreenhill" TargetMode="External"/><Relationship Id="rId1220" Type="http://schemas.openxmlformats.org/officeDocument/2006/relationships/hyperlink" Target="https://pbs.twimg.com/profile_images/475644614448123904/FiCl2pX4_normal.jpeg" TargetMode="External"/><Relationship Id="rId2551" Type="http://schemas.openxmlformats.org/officeDocument/2006/relationships/hyperlink" Target="https://twitter.com/somoslavlav/status/804574983439663104" TargetMode="External"/><Relationship Id="rId3883" Type="http://schemas.openxmlformats.org/officeDocument/2006/relationships/hyperlink" Target="https://twitter.com/JAGreenhill" TargetMode="External"/><Relationship Id="rId1221" Type="http://schemas.openxmlformats.org/officeDocument/2006/relationships/hyperlink" Target="https://twitter.com/Euthumia" TargetMode="External"/><Relationship Id="rId2552" Type="http://schemas.openxmlformats.org/officeDocument/2006/relationships/hyperlink" Target="https://pbs.twimg.com/profile_images/786985359024553984/o5mbTns9_normal.jpg" TargetMode="External"/><Relationship Id="rId3882" Type="http://schemas.openxmlformats.org/officeDocument/2006/relationships/hyperlink" Target="https://pbs.twimg.com/profile_images/805052311466897409/zHKEhdG9_normal.jpg" TargetMode="External"/><Relationship Id="rId1222" Type="http://schemas.openxmlformats.org/officeDocument/2006/relationships/hyperlink" Target="https://twitter.com/Euthumia/status/803652544044023808" TargetMode="External"/><Relationship Id="rId2553" Type="http://schemas.openxmlformats.org/officeDocument/2006/relationships/hyperlink" Target="https://twitter.com/Micoo7" TargetMode="External"/><Relationship Id="rId3885" Type="http://schemas.openxmlformats.org/officeDocument/2006/relationships/hyperlink" Target="https://pbs.twimg.com/profile_images/805052311466897409/zHKEhdG9_normal.jpg" TargetMode="External"/><Relationship Id="rId1223" Type="http://schemas.openxmlformats.org/officeDocument/2006/relationships/hyperlink" Target="https://pbs.twimg.com/profile_images/3112307630/63df6e9c1fcd943acbbe4c226bbcc785_normal.jpeg" TargetMode="External"/><Relationship Id="rId2554" Type="http://schemas.openxmlformats.org/officeDocument/2006/relationships/hyperlink" Target="https://twitter.com/Micoo7/status/804579166574231552" TargetMode="External"/><Relationship Id="rId3884" Type="http://schemas.openxmlformats.org/officeDocument/2006/relationships/hyperlink" Target="https://twitter.com/JAGreenhill/status/805406706666770432" TargetMode="External"/><Relationship Id="rId2500" Type="http://schemas.openxmlformats.org/officeDocument/2006/relationships/hyperlink" Target="https://twitter.com/asierbaquero/status/804507537244561408" TargetMode="External"/><Relationship Id="rId3832" Type="http://schemas.openxmlformats.org/officeDocument/2006/relationships/hyperlink" Target="https://twitter.com/JAGreenhill" TargetMode="External"/><Relationship Id="rId2501" Type="http://schemas.openxmlformats.org/officeDocument/2006/relationships/hyperlink" Target="https://pbs.twimg.com/profile_images/3497575836/b2ae6be61f3184c86257069654bfa8d6_normal.jpeg" TargetMode="External"/><Relationship Id="rId3831" Type="http://schemas.openxmlformats.org/officeDocument/2006/relationships/hyperlink" Target="https://pbs.twimg.com/profile_images/555063734196912128/QoVPQgo__normal.jpeg" TargetMode="External"/><Relationship Id="rId2502" Type="http://schemas.openxmlformats.org/officeDocument/2006/relationships/hyperlink" Target="https://twitter.com/Gus_texeda" TargetMode="External"/><Relationship Id="rId3834" Type="http://schemas.openxmlformats.org/officeDocument/2006/relationships/hyperlink" Target="https://pbs.twimg.com/profile_images/805052311466897409/zHKEhdG9_normal.jpg" TargetMode="External"/><Relationship Id="rId2503" Type="http://schemas.openxmlformats.org/officeDocument/2006/relationships/hyperlink" Target="https://twitter.com/Gus_texeda/status/804517508342489088" TargetMode="External"/><Relationship Id="rId3833" Type="http://schemas.openxmlformats.org/officeDocument/2006/relationships/hyperlink" Target="https://twitter.com/JAGreenhill/status/805404582838931456" TargetMode="External"/><Relationship Id="rId2504" Type="http://schemas.openxmlformats.org/officeDocument/2006/relationships/hyperlink" Target="https://pbs.twimg.com/profile_images/778948558615699456/WR4Gti1j_normal.jpg" TargetMode="External"/><Relationship Id="rId3836" Type="http://schemas.openxmlformats.org/officeDocument/2006/relationships/hyperlink" Target="https://twitter.com/JAGreenhill/status/805404740729376769" TargetMode="External"/><Relationship Id="rId2505" Type="http://schemas.openxmlformats.org/officeDocument/2006/relationships/hyperlink" Target="https://twitter.com/sonal_2" TargetMode="External"/><Relationship Id="rId3835" Type="http://schemas.openxmlformats.org/officeDocument/2006/relationships/hyperlink" Target="https://twitter.com/JAGreenhill" TargetMode="External"/><Relationship Id="rId2506" Type="http://schemas.openxmlformats.org/officeDocument/2006/relationships/hyperlink" Target="https://twitter.com/sonal_2/status/804530673197326338" TargetMode="External"/><Relationship Id="rId3838" Type="http://schemas.openxmlformats.org/officeDocument/2006/relationships/hyperlink" Target="https://twitter.com/JAGreenhill" TargetMode="External"/><Relationship Id="rId2507" Type="http://schemas.openxmlformats.org/officeDocument/2006/relationships/hyperlink" Target="https://pbs.twimg.com/profile_images/805490160414527488/BhaBtFH-_normal.jpg" TargetMode="External"/><Relationship Id="rId3837" Type="http://schemas.openxmlformats.org/officeDocument/2006/relationships/hyperlink" Target="https://pbs.twimg.com/profile_images/805052311466897409/zHKEhdG9_normal.jpg" TargetMode="External"/><Relationship Id="rId2508" Type="http://schemas.openxmlformats.org/officeDocument/2006/relationships/hyperlink" Target="https://twitter.com/beststarsofporn" TargetMode="External"/><Relationship Id="rId2509" Type="http://schemas.openxmlformats.org/officeDocument/2006/relationships/hyperlink" Target="https://twitter.com/beststarsofporn/status/804531573651451904" TargetMode="External"/><Relationship Id="rId3839" Type="http://schemas.openxmlformats.org/officeDocument/2006/relationships/hyperlink" Target="https://twitter.com/JAGreenhill/status/805404882383544321" TargetMode="External"/><Relationship Id="rId3830" Type="http://schemas.openxmlformats.org/officeDocument/2006/relationships/hyperlink" Target="https://twitter.com/thealoelady01/status/805404444116578305" TargetMode="External"/><Relationship Id="rId3821" Type="http://schemas.openxmlformats.org/officeDocument/2006/relationships/hyperlink" Target="https://twitter.com/JAGreenhill/status/805403868544856065" TargetMode="External"/><Relationship Id="rId3820" Type="http://schemas.openxmlformats.org/officeDocument/2006/relationships/hyperlink" Target="https://twitter.com/JAGreenhill" TargetMode="External"/><Relationship Id="rId3823" Type="http://schemas.openxmlformats.org/officeDocument/2006/relationships/hyperlink" Target="https://twitter.com/JAGreenhill" TargetMode="External"/><Relationship Id="rId3822" Type="http://schemas.openxmlformats.org/officeDocument/2006/relationships/hyperlink" Target="https://pbs.twimg.com/profile_images/805052311466897409/zHKEhdG9_normal.jpg" TargetMode="External"/><Relationship Id="rId3825" Type="http://schemas.openxmlformats.org/officeDocument/2006/relationships/hyperlink" Target="https://pbs.twimg.com/profile_images/805052311466897409/zHKEhdG9_normal.jpg" TargetMode="External"/><Relationship Id="rId3824" Type="http://schemas.openxmlformats.org/officeDocument/2006/relationships/hyperlink" Target="https://twitter.com/JAGreenhill/status/805404215376015361" TargetMode="External"/><Relationship Id="rId3827" Type="http://schemas.openxmlformats.org/officeDocument/2006/relationships/hyperlink" Target="https://twitter.com/JAGreenhill/status/805404438051618816" TargetMode="External"/><Relationship Id="rId3826" Type="http://schemas.openxmlformats.org/officeDocument/2006/relationships/hyperlink" Target="https://twitter.com/JAGreenhill" TargetMode="External"/><Relationship Id="rId3829" Type="http://schemas.openxmlformats.org/officeDocument/2006/relationships/hyperlink" Target="https://twitter.com/thealoelady01" TargetMode="External"/><Relationship Id="rId3828" Type="http://schemas.openxmlformats.org/officeDocument/2006/relationships/hyperlink" Target="https://pbs.twimg.com/profile_images/805052311466897409/zHKEhdG9_normal.jpg" TargetMode="External"/><Relationship Id="rId2522" Type="http://schemas.openxmlformats.org/officeDocument/2006/relationships/hyperlink" Target="https://pbs.twimg.com/profile_images/664118244702310400/CgCkt2Uu_normal.jpg" TargetMode="External"/><Relationship Id="rId3854" Type="http://schemas.openxmlformats.org/officeDocument/2006/relationships/hyperlink" Target="https://twitter.com/JAGreenhill/status/805405492390543360" TargetMode="External"/><Relationship Id="rId2523" Type="http://schemas.openxmlformats.org/officeDocument/2006/relationships/hyperlink" Target="https://twitter.com/pedivoet" TargetMode="External"/><Relationship Id="rId3853" Type="http://schemas.openxmlformats.org/officeDocument/2006/relationships/hyperlink" Target="https://twitter.com/JAGreenhill" TargetMode="External"/><Relationship Id="rId2524" Type="http://schemas.openxmlformats.org/officeDocument/2006/relationships/hyperlink" Target="https://twitter.com/pedivoet/status/804555499836506112" TargetMode="External"/><Relationship Id="rId3856" Type="http://schemas.openxmlformats.org/officeDocument/2006/relationships/hyperlink" Target="https://twitter.com/JAGreenhill" TargetMode="External"/><Relationship Id="rId2525" Type="http://schemas.openxmlformats.org/officeDocument/2006/relationships/hyperlink" Target="https://pbs.twimg.com/profile_images/717234265713352704/SpyGMAuJ_normal.jpg" TargetMode="External"/><Relationship Id="rId3855" Type="http://schemas.openxmlformats.org/officeDocument/2006/relationships/hyperlink" Target="https://pbs.twimg.com/profile_images/805052311466897409/zHKEhdG9_normal.jpg" TargetMode="External"/><Relationship Id="rId2526" Type="http://schemas.openxmlformats.org/officeDocument/2006/relationships/hyperlink" Target="https://twitter.com/Arte8Pop" TargetMode="External"/><Relationship Id="rId3858" Type="http://schemas.openxmlformats.org/officeDocument/2006/relationships/hyperlink" Target="https://pbs.twimg.com/profile_images/805052311466897409/zHKEhdG9_normal.jpg" TargetMode="External"/><Relationship Id="rId2527" Type="http://schemas.openxmlformats.org/officeDocument/2006/relationships/hyperlink" Target="https://twitter.com/Arte8Pop/status/804557019588005889" TargetMode="External"/><Relationship Id="rId3857" Type="http://schemas.openxmlformats.org/officeDocument/2006/relationships/hyperlink" Target="https://twitter.com/JAGreenhill/status/805405644845158400" TargetMode="External"/><Relationship Id="rId2528" Type="http://schemas.openxmlformats.org/officeDocument/2006/relationships/hyperlink" Target="https://pbs.twimg.com/profile_images/664416561084686336/4IvWuK-e_normal.jpg" TargetMode="External"/><Relationship Id="rId2529" Type="http://schemas.openxmlformats.org/officeDocument/2006/relationships/hyperlink" Target="https://twitter.com/bermaxo09" TargetMode="External"/><Relationship Id="rId3859" Type="http://schemas.openxmlformats.org/officeDocument/2006/relationships/hyperlink" Target="https://twitter.com/JAGreenhill" TargetMode="External"/><Relationship Id="rId3850" Type="http://schemas.openxmlformats.org/officeDocument/2006/relationships/hyperlink" Target="https://twitter.com/Teclemdz" TargetMode="External"/><Relationship Id="rId2520" Type="http://schemas.openxmlformats.org/officeDocument/2006/relationships/hyperlink" Target="https://twitter.com/SandraDanby" TargetMode="External"/><Relationship Id="rId3852" Type="http://schemas.openxmlformats.org/officeDocument/2006/relationships/hyperlink" Target="https://pbs.twimg.com/profile_images/488434731617230848/VVpFBnBi_normal.jpeg" TargetMode="External"/><Relationship Id="rId2521" Type="http://schemas.openxmlformats.org/officeDocument/2006/relationships/hyperlink" Target="https://twitter.com/SandraDanby/status/804536380663758850" TargetMode="External"/><Relationship Id="rId3851" Type="http://schemas.openxmlformats.org/officeDocument/2006/relationships/hyperlink" Target="https://twitter.com/Teclemdz/status/805405365902905345" TargetMode="External"/><Relationship Id="rId2511" Type="http://schemas.openxmlformats.org/officeDocument/2006/relationships/hyperlink" Target="https://twitter.com/RitoVieira" TargetMode="External"/><Relationship Id="rId3843" Type="http://schemas.openxmlformats.org/officeDocument/2006/relationships/hyperlink" Target="https://pbs.twimg.com/profile_images/805052311466897409/zHKEhdG9_normal.jpg" TargetMode="External"/><Relationship Id="rId2512" Type="http://schemas.openxmlformats.org/officeDocument/2006/relationships/hyperlink" Target="https://twitter.com/RitoVieira/status/804533750684151808" TargetMode="External"/><Relationship Id="rId3842" Type="http://schemas.openxmlformats.org/officeDocument/2006/relationships/hyperlink" Target="https://twitter.com/JAGreenhill/status/805405079121575940" TargetMode="External"/><Relationship Id="rId2513" Type="http://schemas.openxmlformats.org/officeDocument/2006/relationships/hyperlink" Target="https://pbs.twimg.com/profile_images/411975980937269248/DC66o80U_normal.jpeg" TargetMode="External"/><Relationship Id="rId3845" Type="http://schemas.openxmlformats.org/officeDocument/2006/relationships/hyperlink" Target="https://twitter.com/JAGreenhill/status/805405196524388352" TargetMode="External"/><Relationship Id="rId2514" Type="http://schemas.openxmlformats.org/officeDocument/2006/relationships/hyperlink" Target="https://twitter.com/reveroncheche" TargetMode="External"/><Relationship Id="rId3844" Type="http://schemas.openxmlformats.org/officeDocument/2006/relationships/hyperlink" Target="https://twitter.com/JAGreenhill" TargetMode="External"/><Relationship Id="rId2515" Type="http://schemas.openxmlformats.org/officeDocument/2006/relationships/hyperlink" Target="https://twitter.com/reveroncheche/status/804534893506101248" TargetMode="External"/><Relationship Id="rId3847" Type="http://schemas.openxmlformats.org/officeDocument/2006/relationships/hyperlink" Target="https://twitter.com/JAGreenhill" TargetMode="External"/><Relationship Id="rId2516" Type="http://schemas.openxmlformats.org/officeDocument/2006/relationships/hyperlink" Target="https://pbs.twimg.com/profile_images/635895484595478528/XJad-ZxV_normal.jpg" TargetMode="External"/><Relationship Id="rId3846" Type="http://schemas.openxmlformats.org/officeDocument/2006/relationships/hyperlink" Target="https://pbs.twimg.com/profile_images/805052311466897409/zHKEhdG9_normal.jpg" TargetMode="External"/><Relationship Id="rId2517" Type="http://schemas.openxmlformats.org/officeDocument/2006/relationships/hyperlink" Target="https://twitter.com/firehot841" TargetMode="External"/><Relationship Id="rId3849" Type="http://schemas.openxmlformats.org/officeDocument/2006/relationships/hyperlink" Target="https://pbs.twimg.com/profile_images/805052311466897409/zHKEhdG9_normal.jpg" TargetMode="External"/><Relationship Id="rId2518" Type="http://schemas.openxmlformats.org/officeDocument/2006/relationships/hyperlink" Target="https://twitter.com/firehot841/status/804535381131726850" TargetMode="External"/><Relationship Id="rId3848" Type="http://schemas.openxmlformats.org/officeDocument/2006/relationships/hyperlink" Target="https://twitter.com/JAGreenhill/status/805405356977483776" TargetMode="External"/><Relationship Id="rId2519" Type="http://schemas.openxmlformats.org/officeDocument/2006/relationships/hyperlink" Target="https://pbs.twimg.com/profile_images/554159262981967872/8lvKm50B_normal.jpeg" TargetMode="External"/><Relationship Id="rId3841" Type="http://schemas.openxmlformats.org/officeDocument/2006/relationships/hyperlink" Target="https://twitter.com/JAGreenhill" TargetMode="External"/><Relationship Id="rId2510" Type="http://schemas.openxmlformats.org/officeDocument/2006/relationships/hyperlink" Target="https://pbs.twimg.com/profile_images/644589060376395776/Z28AH7rc_normal.jpg" TargetMode="External"/><Relationship Id="rId3840" Type="http://schemas.openxmlformats.org/officeDocument/2006/relationships/hyperlink" Target="https://pbs.twimg.com/profile_images/805052311466897409/zHKEhdG9_normal.jpg" TargetMode="External"/><Relationship Id="rId4327" Type="http://schemas.openxmlformats.org/officeDocument/2006/relationships/hyperlink" Target="https://twitter.com/auto_reisen" TargetMode="External"/><Relationship Id="rId4326" Type="http://schemas.openxmlformats.org/officeDocument/2006/relationships/hyperlink" Target="https://pbs.twimg.com/profile_images/733803166702129152/c8zIDGw4_normal.jpg" TargetMode="External"/><Relationship Id="rId4329" Type="http://schemas.openxmlformats.org/officeDocument/2006/relationships/hyperlink" Target="https://pbs.twimg.com/profile_images/753537830752845824/CAcHgdYu_normal.jpg" TargetMode="External"/><Relationship Id="rId4328" Type="http://schemas.openxmlformats.org/officeDocument/2006/relationships/hyperlink" Target="https://twitter.com/auto_reisen/status/805731469935185921" TargetMode="External"/><Relationship Id="rId469" Type="http://schemas.openxmlformats.org/officeDocument/2006/relationships/hyperlink" Target="https://twitter.com/DorisVisitsUK" TargetMode="External"/><Relationship Id="rId468" Type="http://schemas.openxmlformats.org/officeDocument/2006/relationships/hyperlink" Target="https://pbs.twimg.com/profile_images/769621211911450624/O-JLlK5O_normal.jpg" TargetMode="External"/><Relationship Id="rId467" Type="http://schemas.openxmlformats.org/officeDocument/2006/relationships/hyperlink" Target="https://twitter.com/Doris_Blog/status/803144910551609344" TargetMode="External"/><Relationship Id="rId1290" Type="http://schemas.openxmlformats.org/officeDocument/2006/relationships/hyperlink" Target="https://twitter.com/miguejs98" TargetMode="External"/><Relationship Id="rId1291" Type="http://schemas.openxmlformats.org/officeDocument/2006/relationships/hyperlink" Target="https://twitter.com/miguejs98/status/803689053426216961" TargetMode="External"/><Relationship Id="rId1292" Type="http://schemas.openxmlformats.org/officeDocument/2006/relationships/hyperlink" Target="https://pbs.twimg.com/profile_images/795335416144596992/ecGEM-dC_normal.jpg" TargetMode="External"/><Relationship Id="rId462" Type="http://schemas.openxmlformats.org/officeDocument/2006/relationships/hyperlink" Target="https://pbs.twimg.com/profile_images/739756655391481857/1iOj5jcg_normal.jpg" TargetMode="External"/><Relationship Id="rId1293" Type="http://schemas.openxmlformats.org/officeDocument/2006/relationships/hyperlink" Target="https://twitter.com/bermaxo09" TargetMode="External"/><Relationship Id="rId461" Type="http://schemas.openxmlformats.org/officeDocument/2006/relationships/hyperlink" Target="https://twitter.com/travelsupport7/status/803142831015530496" TargetMode="External"/><Relationship Id="rId1294" Type="http://schemas.openxmlformats.org/officeDocument/2006/relationships/hyperlink" Target="https://twitter.com/bermaxo09/status/803689339939078144" TargetMode="External"/><Relationship Id="rId460" Type="http://schemas.openxmlformats.org/officeDocument/2006/relationships/hyperlink" Target="https://twitter.com/travelsupport7" TargetMode="External"/><Relationship Id="rId1295" Type="http://schemas.openxmlformats.org/officeDocument/2006/relationships/hyperlink" Target="https://pbs.twimg.com/profile_images/798476790478073856/iOD0HIRa_normal.jpg" TargetMode="External"/><Relationship Id="rId4321" Type="http://schemas.openxmlformats.org/officeDocument/2006/relationships/hyperlink" Target="https://twitter.com/enduriaholidays" TargetMode="External"/><Relationship Id="rId1296" Type="http://schemas.openxmlformats.org/officeDocument/2006/relationships/hyperlink" Target="https://twitter.com/swisshop4uEs" TargetMode="External"/><Relationship Id="rId4320" Type="http://schemas.openxmlformats.org/officeDocument/2006/relationships/hyperlink" Target="https://pbs.twimg.com/profile_images/506732081079013377/VmrRkhPe_normal.jpeg" TargetMode="External"/><Relationship Id="rId466" Type="http://schemas.openxmlformats.org/officeDocument/2006/relationships/hyperlink" Target="https://twitter.com/Doris_Blog" TargetMode="External"/><Relationship Id="rId1297" Type="http://schemas.openxmlformats.org/officeDocument/2006/relationships/hyperlink" Target="https://twitter.com/swisshop4uEs/status/803691098577207296" TargetMode="External"/><Relationship Id="rId4323" Type="http://schemas.openxmlformats.org/officeDocument/2006/relationships/hyperlink" Target="https://pbs.twimg.com/profile_images/726026649356128258/xCSaP1IW_normal.jpg" TargetMode="External"/><Relationship Id="rId465" Type="http://schemas.openxmlformats.org/officeDocument/2006/relationships/hyperlink" Target="https://pbs.twimg.com/profile_images/777456052094791681/oTN7NDTr_normal.jpg" TargetMode="External"/><Relationship Id="rId1298" Type="http://schemas.openxmlformats.org/officeDocument/2006/relationships/hyperlink" Target="https://pbs.twimg.com/profile_images/378800000213382003/4f562b59f92995b884d2d440f71fc5ce_normal.png" TargetMode="External"/><Relationship Id="rId4322" Type="http://schemas.openxmlformats.org/officeDocument/2006/relationships/hyperlink" Target="https://twitter.com/enduriaholidays/status/805729895955435520" TargetMode="External"/><Relationship Id="rId464" Type="http://schemas.openxmlformats.org/officeDocument/2006/relationships/hyperlink" Target="https://twitter.com/DorisShades/status/803144903328792576" TargetMode="External"/><Relationship Id="rId1299" Type="http://schemas.openxmlformats.org/officeDocument/2006/relationships/hyperlink" Target="https://twitter.com/de1969" TargetMode="External"/><Relationship Id="rId4325" Type="http://schemas.openxmlformats.org/officeDocument/2006/relationships/hyperlink" Target="https://twitter.com/annadrozd1111/status/805730551097331712" TargetMode="External"/><Relationship Id="rId463" Type="http://schemas.openxmlformats.org/officeDocument/2006/relationships/hyperlink" Target="https://twitter.com/DorisShades" TargetMode="External"/><Relationship Id="rId4324" Type="http://schemas.openxmlformats.org/officeDocument/2006/relationships/hyperlink" Target="https://twitter.com/annadrozd1111" TargetMode="External"/><Relationship Id="rId4316" Type="http://schemas.openxmlformats.org/officeDocument/2006/relationships/hyperlink" Target="https://twitter.com/6ersonDiaz/status/805729399756718080" TargetMode="External"/><Relationship Id="rId4315" Type="http://schemas.openxmlformats.org/officeDocument/2006/relationships/hyperlink" Target="https://twitter.com/6ersonDiaz" TargetMode="External"/><Relationship Id="rId4318" Type="http://schemas.openxmlformats.org/officeDocument/2006/relationships/hyperlink" Target="https://twitter.com/ebook_travel" TargetMode="External"/><Relationship Id="rId4317" Type="http://schemas.openxmlformats.org/officeDocument/2006/relationships/hyperlink" Target="https://pbs.twimg.com/profile_images/378800000666218595/7831c17c37763bedcc1718183f686028_normal.jpeg" TargetMode="External"/><Relationship Id="rId4319" Type="http://schemas.openxmlformats.org/officeDocument/2006/relationships/hyperlink" Target="https://twitter.com/ebook_travel/status/805729780805013504" TargetMode="External"/><Relationship Id="rId459" Type="http://schemas.openxmlformats.org/officeDocument/2006/relationships/hyperlink" Target="https://pbs.twimg.com/profile_images/804106127843753985/GH3JeqWf_normal.jpg" TargetMode="External"/><Relationship Id="rId458" Type="http://schemas.openxmlformats.org/officeDocument/2006/relationships/hyperlink" Target="https://twitter.com/owl_girl/status/803142662123491328" TargetMode="External"/><Relationship Id="rId457" Type="http://schemas.openxmlformats.org/officeDocument/2006/relationships/hyperlink" Target="https://twitter.com/owl_girl" TargetMode="External"/><Relationship Id="rId456" Type="http://schemas.openxmlformats.org/officeDocument/2006/relationships/hyperlink" Target="https://pbs.twimg.com/profile_images/789364630850240512/Mw90qAlM_normal.jpg" TargetMode="External"/><Relationship Id="rId1280" Type="http://schemas.openxmlformats.org/officeDocument/2006/relationships/hyperlink" Target="https://pbs.twimg.com/profile_images/804428508319584256/N64SDGdU_normal.jpg" TargetMode="External"/><Relationship Id="rId1281" Type="http://schemas.openxmlformats.org/officeDocument/2006/relationships/hyperlink" Target="https://twitter.com/bermaxo09" TargetMode="External"/><Relationship Id="rId451" Type="http://schemas.openxmlformats.org/officeDocument/2006/relationships/hyperlink" Target="https://twitter.com/fotostoff" TargetMode="External"/><Relationship Id="rId1282" Type="http://schemas.openxmlformats.org/officeDocument/2006/relationships/hyperlink" Target="https://twitter.com/bermaxo09/status/803687834695725056" TargetMode="External"/><Relationship Id="rId450" Type="http://schemas.openxmlformats.org/officeDocument/2006/relationships/hyperlink" Target="https://pbs.twimg.com/profile_images/805052311466897409/zHKEhdG9_normal.jpg" TargetMode="External"/><Relationship Id="rId1283" Type="http://schemas.openxmlformats.org/officeDocument/2006/relationships/hyperlink" Target="https://pbs.twimg.com/profile_images/798476790478073856/iOD0HIRa_normal.jpg" TargetMode="External"/><Relationship Id="rId1284" Type="http://schemas.openxmlformats.org/officeDocument/2006/relationships/hyperlink" Target="https://twitter.com/bermaxo09" TargetMode="External"/><Relationship Id="rId4310" Type="http://schemas.openxmlformats.org/officeDocument/2006/relationships/hyperlink" Target="https://twitter.com/LocationGuide/status/805728633549705217" TargetMode="External"/><Relationship Id="rId1285" Type="http://schemas.openxmlformats.org/officeDocument/2006/relationships/hyperlink" Target="https://twitter.com/bermaxo09/status/803688635908362240" TargetMode="External"/><Relationship Id="rId455" Type="http://schemas.openxmlformats.org/officeDocument/2006/relationships/hyperlink" Target="https://twitter.com/paisajecanario/status/803140221533646848" TargetMode="External"/><Relationship Id="rId1286" Type="http://schemas.openxmlformats.org/officeDocument/2006/relationships/hyperlink" Target="https://pbs.twimg.com/profile_images/798476790478073856/iOD0HIRa_normal.jpg" TargetMode="External"/><Relationship Id="rId4312" Type="http://schemas.openxmlformats.org/officeDocument/2006/relationships/hyperlink" Target="https://twitter.com/CanaryIslandsEN" TargetMode="External"/><Relationship Id="rId454" Type="http://schemas.openxmlformats.org/officeDocument/2006/relationships/hyperlink" Target="https://twitter.com/paisajecanario" TargetMode="External"/><Relationship Id="rId1287" Type="http://schemas.openxmlformats.org/officeDocument/2006/relationships/hyperlink" Target="https://twitter.com/HotelEscuelaSB" TargetMode="External"/><Relationship Id="rId4311" Type="http://schemas.openxmlformats.org/officeDocument/2006/relationships/hyperlink" Target="https://pbs.twimg.com/profile_images/1893813751/tlg_icon_normal.jpg" TargetMode="External"/><Relationship Id="rId453" Type="http://schemas.openxmlformats.org/officeDocument/2006/relationships/hyperlink" Target="https://pbs.twimg.com/profile_images/3727261726/1843799b46a5fa62ad6b30af95da897b_normal.jpeg" TargetMode="External"/><Relationship Id="rId1288" Type="http://schemas.openxmlformats.org/officeDocument/2006/relationships/hyperlink" Target="https://twitter.com/HotelEscuelaSB/status/803688781706428416" TargetMode="External"/><Relationship Id="rId4314" Type="http://schemas.openxmlformats.org/officeDocument/2006/relationships/hyperlink" Target="https://pbs.twimg.com/profile_images/754960714704584704/14dQxsF8_normal.jpg" TargetMode="External"/><Relationship Id="rId452" Type="http://schemas.openxmlformats.org/officeDocument/2006/relationships/hyperlink" Target="https://twitter.com/fotostoff/status/803136923141373952" TargetMode="External"/><Relationship Id="rId1289" Type="http://schemas.openxmlformats.org/officeDocument/2006/relationships/hyperlink" Target="https://pbs.twimg.com/profile_images/792036201695940608/ZYEcPM7L_normal.jpg" TargetMode="External"/><Relationship Id="rId4313" Type="http://schemas.openxmlformats.org/officeDocument/2006/relationships/hyperlink" Target="https://twitter.com/CanaryIslandsEN/status/805728734326231040" TargetMode="External"/><Relationship Id="rId3018" Type="http://schemas.openxmlformats.org/officeDocument/2006/relationships/hyperlink" Target="https://pbs.twimg.com/profile_images/682260719514071041/v3-G3ocH_normal.jpg" TargetMode="External"/><Relationship Id="rId4349" Type="http://schemas.openxmlformats.org/officeDocument/2006/relationships/hyperlink" Target="https://twitter.com/Luis11surferf/status/805742655586136064" TargetMode="External"/><Relationship Id="rId3017" Type="http://schemas.openxmlformats.org/officeDocument/2006/relationships/hyperlink" Target="https://twitter.com/GuizeGalvan/status/804757408887275526" TargetMode="External"/><Relationship Id="rId4348" Type="http://schemas.openxmlformats.org/officeDocument/2006/relationships/hyperlink" Target="https://twitter.com/Luis11surferf" TargetMode="External"/><Relationship Id="rId3019" Type="http://schemas.openxmlformats.org/officeDocument/2006/relationships/hyperlink" Target="https://twitter.com/controladores" TargetMode="External"/><Relationship Id="rId491" Type="http://schemas.openxmlformats.org/officeDocument/2006/relationships/hyperlink" Target="https://twitter.com/KeyserSoSo/status/803154065463058434" TargetMode="External"/><Relationship Id="rId490" Type="http://schemas.openxmlformats.org/officeDocument/2006/relationships/hyperlink" Target="https://twitter.com/KeyserSoSo" TargetMode="External"/><Relationship Id="rId489" Type="http://schemas.openxmlformats.org/officeDocument/2006/relationships/hyperlink" Target="https://pbs.twimg.com/profile_images/768816974147227648/vJ_HBErH_normal.jpg" TargetMode="External"/><Relationship Id="rId484" Type="http://schemas.openxmlformats.org/officeDocument/2006/relationships/hyperlink" Target="https://twitter.com/SuneHolidays" TargetMode="External"/><Relationship Id="rId3010" Type="http://schemas.openxmlformats.org/officeDocument/2006/relationships/hyperlink" Target="https://twitter.com/ja_almarza" TargetMode="External"/><Relationship Id="rId4341" Type="http://schemas.openxmlformats.org/officeDocument/2006/relationships/hyperlink" Target="https://pbs.twimg.com/profile_images/618421912981471232/8brpd7fy_normal.jpg" TargetMode="External"/><Relationship Id="rId483" Type="http://schemas.openxmlformats.org/officeDocument/2006/relationships/hyperlink" Target="https://pbs.twimg.com/profile_images/668416648211222529/-2knYf0__normal.jpg" TargetMode="External"/><Relationship Id="rId4340" Type="http://schemas.openxmlformats.org/officeDocument/2006/relationships/hyperlink" Target="https://twitter.com/OmowaleBaba/status/805738912328990720" TargetMode="External"/><Relationship Id="rId482" Type="http://schemas.openxmlformats.org/officeDocument/2006/relationships/hyperlink" Target="https://twitter.com/DorisVisits/status/803144945267675136" TargetMode="External"/><Relationship Id="rId3012" Type="http://schemas.openxmlformats.org/officeDocument/2006/relationships/hyperlink" Target="https://pbs.twimg.com/profile_images/665811926233030656/gmvAScLs_normal.jpg" TargetMode="External"/><Relationship Id="rId4343" Type="http://schemas.openxmlformats.org/officeDocument/2006/relationships/hyperlink" Target="https://twitter.com/TenerifeBonjour/status/805740346869170176" TargetMode="External"/><Relationship Id="rId481" Type="http://schemas.openxmlformats.org/officeDocument/2006/relationships/hyperlink" Target="https://twitter.com/DorisVisits" TargetMode="External"/><Relationship Id="rId3011" Type="http://schemas.openxmlformats.org/officeDocument/2006/relationships/hyperlink" Target="https://twitter.com/ja_almarza/status/804754107659599872" TargetMode="External"/><Relationship Id="rId4342" Type="http://schemas.openxmlformats.org/officeDocument/2006/relationships/hyperlink" Target="https://twitter.com/TenerifeBonjour" TargetMode="External"/><Relationship Id="rId488" Type="http://schemas.openxmlformats.org/officeDocument/2006/relationships/hyperlink" Target="https://twitter.com/Wekitempel/status/803154055321292801" TargetMode="External"/><Relationship Id="rId3014" Type="http://schemas.openxmlformats.org/officeDocument/2006/relationships/hyperlink" Target="https://twitter.com/fincasbaratas/status/804754303688839169" TargetMode="External"/><Relationship Id="rId4345" Type="http://schemas.openxmlformats.org/officeDocument/2006/relationships/hyperlink" Target="https://twitter.com/TenerifeBonjour" TargetMode="External"/><Relationship Id="rId487" Type="http://schemas.openxmlformats.org/officeDocument/2006/relationships/hyperlink" Target="https://twitter.com/Wekitempel" TargetMode="External"/><Relationship Id="rId3013" Type="http://schemas.openxmlformats.org/officeDocument/2006/relationships/hyperlink" Target="https://twitter.com/fincasbaratas" TargetMode="External"/><Relationship Id="rId4344" Type="http://schemas.openxmlformats.org/officeDocument/2006/relationships/hyperlink" Target="https://pbs.twimg.com/profile_images/570942627195068416/kiZSWpnz_normal.jpeg" TargetMode="External"/><Relationship Id="rId486" Type="http://schemas.openxmlformats.org/officeDocument/2006/relationships/hyperlink" Target="https://pbs.twimg.com/profile_images/686922727480029184/9ztyb32p_normal.jpg" TargetMode="External"/><Relationship Id="rId3016" Type="http://schemas.openxmlformats.org/officeDocument/2006/relationships/hyperlink" Target="https://twitter.com/GuizeGalvan" TargetMode="External"/><Relationship Id="rId4347" Type="http://schemas.openxmlformats.org/officeDocument/2006/relationships/hyperlink" Target="https://pbs.twimg.com/profile_images/570942627195068416/kiZSWpnz_normal.jpeg" TargetMode="External"/><Relationship Id="rId485" Type="http://schemas.openxmlformats.org/officeDocument/2006/relationships/hyperlink" Target="https://twitter.com/SuneHolidays/status/803153964455735297" TargetMode="External"/><Relationship Id="rId3015" Type="http://schemas.openxmlformats.org/officeDocument/2006/relationships/hyperlink" Target="https://pbs.twimg.com/profile_images/740396455165321219/JxEGsTBa_normal.jpg" TargetMode="External"/><Relationship Id="rId4346" Type="http://schemas.openxmlformats.org/officeDocument/2006/relationships/hyperlink" Target="https://twitter.com/TenerifeBonjour/status/805740485725851648" TargetMode="External"/><Relationship Id="rId3007" Type="http://schemas.openxmlformats.org/officeDocument/2006/relationships/hyperlink" Target="https://twitter.com/CorralejoLive" TargetMode="External"/><Relationship Id="rId4338" Type="http://schemas.openxmlformats.org/officeDocument/2006/relationships/hyperlink" Target="https://pbs.twimg.com/profile_images/795287889051525121/lnv-LO1p_normal.jpg" TargetMode="External"/><Relationship Id="rId3006" Type="http://schemas.openxmlformats.org/officeDocument/2006/relationships/hyperlink" Target="https://pbs.twimg.com/profile_images/805052311466897409/zHKEhdG9_normal.jpg" TargetMode="External"/><Relationship Id="rId4337" Type="http://schemas.openxmlformats.org/officeDocument/2006/relationships/hyperlink" Target="https://twitter.com/pabloexcursions/status/805738011782684673" TargetMode="External"/><Relationship Id="rId3009" Type="http://schemas.openxmlformats.org/officeDocument/2006/relationships/hyperlink" Target="https://pbs.twimg.com/profile_images/514897634113228800/Pne1BN2P_normal.jpeg" TargetMode="External"/><Relationship Id="rId3008" Type="http://schemas.openxmlformats.org/officeDocument/2006/relationships/hyperlink" Target="https://twitter.com/CorralejoLive/status/804753767300235264" TargetMode="External"/><Relationship Id="rId4339" Type="http://schemas.openxmlformats.org/officeDocument/2006/relationships/hyperlink" Target="https://twitter.com/OmowaleBaba" TargetMode="External"/><Relationship Id="rId480" Type="http://schemas.openxmlformats.org/officeDocument/2006/relationships/hyperlink" Target="https://pbs.twimg.com/profile_images/769622463344959489/FhJxVtM2_normal.jpg" TargetMode="External"/><Relationship Id="rId479" Type="http://schemas.openxmlformats.org/officeDocument/2006/relationships/hyperlink" Target="https://twitter.com/ShadesDirector/status/803144939269918720" TargetMode="External"/><Relationship Id="rId478" Type="http://schemas.openxmlformats.org/officeDocument/2006/relationships/hyperlink" Target="https://twitter.com/ShadesDirector" TargetMode="External"/><Relationship Id="rId473" Type="http://schemas.openxmlformats.org/officeDocument/2006/relationships/hyperlink" Target="https://twitter.com/ComposerShades/status/803144927521755137" TargetMode="External"/><Relationship Id="rId4330" Type="http://schemas.openxmlformats.org/officeDocument/2006/relationships/hyperlink" Target="https://twitter.com/LpaVisit" TargetMode="External"/><Relationship Id="rId472" Type="http://schemas.openxmlformats.org/officeDocument/2006/relationships/hyperlink" Target="https://twitter.com/ComposerShades" TargetMode="External"/><Relationship Id="rId471" Type="http://schemas.openxmlformats.org/officeDocument/2006/relationships/hyperlink" Target="https://pbs.twimg.com/profile_images/777545822254825472/0-x9uu3s_normal.jpg" TargetMode="External"/><Relationship Id="rId3001" Type="http://schemas.openxmlformats.org/officeDocument/2006/relationships/hyperlink" Target="https://twitter.com/fijimedic" TargetMode="External"/><Relationship Id="rId4332" Type="http://schemas.openxmlformats.org/officeDocument/2006/relationships/hyperlink" Target="https://pbs.twimg.com/profile_images/656385242819907584/6_e-4aUc_normal.jpg" TargetMode="External"/><Relationship Id="rId470" Type="http://schemas.openxmlformats.org/officeDocument/2006/relationships/hyperlink" Target="https://twitter.com/DorisVisitsUK/status/803144919233757184" TargetMode="External"/><Relationship Id="rId3000" Type="http://schemas.openxmlformats.org/officeDocument/2006/relationships/hyperlink" Target="https://pbs.twimg.com/profile_images/769966667321540608/sSmWwdqJ_normal.jpg" TargetMode="External"/><Relationship Id="rId4331" Type="http://schemas.openxmlformats.org/officeDocument/2006/relationships/hyperlink" Target="https://twitter.com/LpaVisit/status/805732801450573824" TargetMode="External"/><Relationship Id="rId477" Type="http://schemas.openxmlformats.org/officeDocument/2006/relationships/hyperlink" Target="https://pbs.twimg.com/profile_images/777552444800765952/Vo7e7swC_normal.jpg" TargetMode="External"/><Relationship Id="rId3003" Type="http://schemas.openxmlformats.org/officeDocument/2006/relationships/hyperlink" Target="https://pbs.twimg.com/profile_images/427379163180175361/zyTG7Uqd_normal.jpeg" TargetMode="External"/><Relationship Id="rId4334" Type="http://schemas.openxmlformats.org/officeDocument/2006/relationships/hyperlink" Target="https://twitter.com/847dinosaur/status/805736121284038660" TargetMode="External"/><Relationship Id="rId476" Type="http://schemas.openxmlformats.org/officeDocument/2006/relationships/hyperlink" Target="https://twitter.com/GuestActorShade/status/803144933003657216" TargetMode="External"/><Relationship Id="rId3002" Type="http://schemas.openxmlformats.org/officeDocument/2006/relationships/hyperlink" Target="https://twitter.com/fijimedic/status/804750301060177920" TargetMode="External"/><Relationship Id="rId4333" Type="http://schemas.openxmlformats.org/officeDocument/2006/relationships/hyperlink" Target="https://twitter.com/847dinosaur" TargetMode="External"/><Relationship Id="rId475" Type="http://schemas.openxmlformats.org/officeDocument/2006/relationships/hyperlink" Target="https://twitter.com/GuestActorShade" TargetMode="External"/><Relationship Id="rId3005" Type="http://schemas.openxmlformats.org/officeDocument/2006/relationships/hyperlink" Target="https://twitter.com/JAGreenhill/status/804753149017853953" TargetMode="External"/><Relationship Id="rId4336" Type="http://schemas.openxmlformats.org/officeDocument/2006/relationships/hyperlink" Target="https://twitter.com/pabloexcursions" TargetMode="External"/><Relationship Id="rId474" Type="http://schemas.openxmlformats.org/officeDocument/2006/relationships/hyperlink" Target="https://pbs.twimg.com/profile_images/783382917640781824/AqM_zAOY_normal.jpg" TargetMode="External"/><Relationship Id="rId3004" Type="http://schemas.openxmlformats.org/officeDocument/2006/relationships/hyperlink" Target="https://twitter.com/JAGreenhill" TargetMode="External"/><Relationship Id="rId4335" Type="http://schemas.openxmlformats.org/officeDocument/2006/relationships/hyperlink" Target="https://pbs.twimg.com/profile_images/791548280991776768/tUgNj9ms_normal.jpg" TargetMode="External"/><Relationship Id="rId1257" Type="http://schemas.openxmlformats.org/officeDocument/2006/relationships/hyperlink" Target="https://twitter.com/bethgarrotxa" TargetMode="External"/><Relationship Id="rId2588" Type="http://schemas.openxmlformats.org/officeDocument/2006/relationships/hyperlink" Target="https://pbs.twimg.com/profile_images/713310925701427200/i_WxL0Us_normal.jpg" TargetMode="External"/><Relationship Id="rId1258" Type="http://schemas.openxmlformats.org/officeDocument/2006/relationships/hyperlink" Target="https://twitter.com/bethgarrotxa/status/803669496246325248" TargetMode="External"/><Relationship Id="rId2589" Type="http://schemas.openxmlformats.org/officeDocument/2006/relationships/hyperlink" Target="https://twitter.com/figbarton" TargetMode="External"/><Relationship Id="rId1259" Type="http://schemas.openxmlformats.org/officeDocument/2006/relationships/hyperlink" Target="https://pbs.twimg.com/profile_images/2784461956/37b6d95f5bcac37b93611f81029dd365_normal.jpeg" TargetMode="External"/><Relationship Id="rId426" Type="http://schemas.openxmlformats.org/officeDocument/2006/relationships/hyperlink" Target="https://pbs.twimg.com/profile_images/725068129924091904/I0y0LS4c_normal.jpg" TargetMode="External"/><Relationship Id="rId425" Type="http://schemas.openxmlformats.org/officeDocument/2006/relationships/hyperlink" Target="https://twitter.com/Oceanpreneur/status/803062959241129985" TargetMode="External"/><Relationship Id="rId424" Type="http://schemas.openxmlformats.org/officeDocument/2006/relationships/hyperlink" Target="https://twitter.com/Oceanpreneur" TargetMode="External"/><Relationship Id="rId423" Type="http://schemas.openxmlformats.org/officeDocument/2006/relationships/hyperlink" Target="https://pbs.twimg.com/profile_images/722276690668314624/DVEMR4Mc_normal.jpg" TargetMode="External"/><Relationship Id="rId429" Type="http://schemas.openxmlformats.org/officeDocument/2006/relationships/hyperlink" Target="https://pbs.twimg.com/profile_images/733369791248007169/EnfXk5ci_normal.jpg" TargetMode="External"/><Relationship Id="rId428" Type="http://schemas.openxmlformats.org/officeDocument/2006/relationships/hyperlink" Target="https://twitter.com/cokeaddict/status/803074780505194496" TargetMode="External"/><Relationship Id="rId427" Type="http://schemas.openxmlformats.org/officeDocument/2006/relationships/hyperlink" Target="https://twitter.com/cokeaddict" TargetMode="External"/><Relationship Id="rId2580" Type="http://schemas.openxmlformats.org/officeDocument/2006/relationships/hyperlink" Target="https://twitter.com/DunasHoteles" TargetMode="External"/><Relationship Id="rId1250" Type="http://schemas.openxmlformats.org/officeDocument/2006/relationships/hyperlink" Target="https://pbs.twimg.com/profile_images/486152080852537345/VYETXSc__normal.jpeg" TargetMode="External"/><Relationship Id="rId2581" Type="http://schemas.openxmlformats.org/officeDocument/2006/relationships/hyperlink" Target="https://twitter.com/DunasHoteles/status/804601057045336064" TargetMode="External"/><Relationship Id="rId1251" Type="http://schemas.openxmlformats.org/officeDocument/2006/relationships/hyperlink" Target="https://twitter.com/Tenerifelicidad" TargetMode="External"/><Relationship Id="rId2582" Type="http://schemas.openxmlformats.org/officeDocument/2006/relationships/hyperlink" Target="https://pbs.twimg.com/profile_images/461470205227454465/4u4KGofw_normal.jpeg" TargetMode="External"/><Relationship Id="rId1252" Type="http://schemas.openxmlformats.org/officeDocument/2006/relationships/hyperlink" Target="https://twitter.com/Tenerifelicidad/status/803668573474332672" TargetMode="External"/><Relationship Id="rId2583" Type="http://schemas.openxmlformats.org/officeDocument/2006/relationships/hyperlink" Target="https://twitter.com/SuneHolidays" TargetMode="External"/><Relationship Id="rId422" Type="http://schemas.openxmlformats.org/officeDocument/2006/relationships/hyperlink" Target="https://twitter.com/TripsMax/status/803060886533447680" TargetMode="External"/><Relationship Id="rId1253" Type="http://schemas.openxmlformats.org/officeDocument/2006/relationships/hyperlink" Target="https://pbs.twimg.com/profile_images/776911721281781760/pyZR1pJ3_normal.jpg" TargetMode="External"/><Relationship Id="rId2584" Type="http://schemas.openxmlformats.org/officeDocument/2006/relationships/hyperlink" Target="https://twitter.com/SuneHolidays/status/804603514211049472" TargetMode="External"/><Relationship Id="rId421" Type="http://schemas.openxmlformats.org/officeDocument/2006/relationships/hyperlink" Target="https://twitter.com/TripsMax" TargetMode="External"/><Relationship Id="rId1254" Type="http://schemas.openxmlformats.org/officeDocument/2006/relationships/hyperlink" Target="https://twitter.com/topVISE" TargetMode="External"/><Relationship Id="rId2585" Type="http://schemas.openxmlformats.org/officeDocument/2006/relationships/hyperlink" Target="https://pbs.twimg.com/profile_images/686922727480029184/9ztyb32p_normal.jpg" TargetMode="External"/><Relationship Id="rId420" Type="http://schemas.openxmlformats.org/officeDocument/2006/relationships/hyperlink" Target="https://pbs.twimg.com/profile_images/803050109021863936/f3FOGbN3_normal.jpg" TargetMode="External"/><Relationship Id="rId1255" Type="http://schemas.openxmlformats.org/officeDocument/2006/relationships/hyperlink" Target="https://twitter.com/topVISE/status/803669052308811776" TargetMode="External"/><Relationship Id="rId2586" Type="http://schemas.openxmlformats.org/officeDocument/2006/relationships/hyperlink" Target="https://twitter.com/UCAmIIWAAL" TargetMode="External"/><Relationship Id="rId1256" Type="http://schemas.openxmlformats.org/officeDocument/2006/relationships/hyperlink" Target="https://pbs.twimg.com/profile_images/378800000683567982/600990dc1da1acde4f9aaf7241cc97aa_normal.jpeg" TargetMode="External"/><Relationship Id="rId2587" Type="http://schemas.openxmlformats.org/officeDocument/2006/relationships/hyperlink" Target="https://twitter.com/UCAmIIWAAL/status/804604278635634689" TargetMode="External"/><Relationship Id="rId1246" Type="http://schemas.openxmlformats.org/officeDocument/2006/relationships/hyperlink" Target="https://twitter.com/trinidoesfly/status/803665610316062720" TargetMode="External"/><Relationship Id="rId2577" Type="http://schemas.openxmlformats.org/officeDocument/2006/relationships/hyperlink" Target="https://twitter.com/UCAmIIWAAL" TargetMode="External"/><Relationship Id="rId1247" Type="http://schemas.openxmlformats.org/officeDocument/2006/relationships/hyperlink" Target="https://pbs.twimg.com/profile_images/804471994645413888/qvoaG8E-_normal.jpg" TargetMode="External"/><Relationship Id="rId2578" Type="http://schemas.openxmlformats.org/officeDocument/2006/relationships/hyperlink" Target="https://twitter.com/UCAmIIWAAL/status/804596371869368320" TargetMode="External"/><Relationship Id="rId1248" Type="http://schemas.openxmlformats.org/officeDocument/2006/relationships/hyperlink" Target="https://twitter.com/AlexeevKyrill" TargetMode="External"/><Relationship Id="rId2579" Type="http://schemas.openxmlformats.org/officeDocument/2006/relationships/hyperlink" Target="https://pbs.twimg.com/profile_images/713310925701427200/i_WxL0Us_normal.jpg" TargetMode="External"/><Relationship Id="rId1249" Type="http://schemas.openxmlformats.org/officeDocument/2006/relationships/hyperlink" Target="https://twitter.com/AlexeevKyrill/status/803665877375782913" TargetMode="External"/><Relationship Id="rId415" Type="http://schemas.openxmlformats.org/officeDocument/2006/relationships/hyperlink" Target="https://twitter.com/sunnawint" TargetMode="External"/><Relationship Id="rId414" Type="http://schemas.openxmlformats.org/officeDocument/2006/relationships/hyperlink" Target="https://pbs.twimg.com/profile_images/721987658449305600/1WmSYuM-_normal.jpg" TargetMode="External"/><Relationship Id="rId413" Type="http://schemas.openxmlformats.org/officeDocument/2006/relationships/hyperlink" Target="https://twitter.com/Johnalanpick/status/803040740414631936" TargetMode="External"/><Relationship Id="rId412" Type="http://schemas.openxmlformats.org/officeDocument/2006/relationships/hyperlink" Target="https://twitter.com/Johnalanpick" TargetMode="External"/><Relationship Id="rId419" Type="http://schemas.openxmlformats.org/officeDocument/2006/relationships/hyperlink" Target="https://twitter.com/IVIagazine/status/803059359777492992" TargetMode="External"/><Relationship Id="rId418" Type="http://schemas.openxmlformats.org/officeDocument/2006/relationships/hyperlink" Target="https://twitter.com/IVIagazine" TargetMode="External"/><Relationship Id="rId417" Type="http://schemas.openxmlformats.org/officeDocument/2006/relationships/hyperlink" Target="https://pbs.twimg.com/profile_images/771641650003058688/16k3vSNt_normal.jpg" TargetMode="External"/><Relationship Id="rId416" Type="http://schemas.openxmlformats.org/officeDocument/2006/relationships/hyperlink" Target="https://twitter.com/sunnawint/status/803050849849245696" TargetMode="External"/><Relationship Id="rId2570" Type="http://schemas.openxmlformats.org/officeDocument/2006/relationships/hyperlink" Target="https://pbs.twimg.com/profile_images/694439157893107712/KkG57Zcq_normal.jpg" TargetMode="External"/><Relationship Id="rId1240" Type="http://schemas.openxmlformats.org/officeDocument/2006/relationships/hyperlink" Target="https://twitter.com/JosCarlosGmez7/status/803663708337688576" TargetMode="External"/><Relationship Id="rId2571" Type="http://schemas.openxmlformats.org/officeDocument/2006/relationships/hyperlink" Target="https://twitter.com/ScubaFlorida" TargetMode="External"/><Relationship Id="rId1241" Type="http://schemas.openxmlformats.org/officeDocument/2006/relationships/hyperlink" Target="https://pbs.twimg.com/profile_images/492033314966892546/N4sMvZWu_normal.jpeg" TargetMode="External"/><Relationship Id="rId2572" Type="http://schemas.openxmlformats.org/officeDocument/2006/relationships/hyperlink" Target="https://twitter.com/ScubaFlorida/status/804586134370140160" TargetMode="External"/><Relationship Id="rId411" Type="http://schemas.openxmlformats.org/officeDocument/2006/relationships/hyperlink" Target="https://pbs.twimg.com/profile_images/475644614448123904/FiCl2pX4_normal.jpeg" TargetMode="External"/><Relationship Id="rId1242" Type="http://schemas.openxmlformats.org/officeDocument/2006/relationships/hyperlink" Target="https://twitter.com/travelfree_info" TargetMode="External"/><Relationship Id="rId2573" Type="http://schemas.openxmlformats.org/officeDocument/2006/relationships/hyperlink" Target="https://pbs.twimg.com/profile_images/560310747914199040/HR4MGmME_normal.jpeg" TargetMode="External"/><Relationship Id="rId410" Type="http://schemas.openxmlformats.org/officeDocument/2006/relationships/hyperlink" Target="https://twitter.com/holyber/status/803037849243119616" TargetMode="External"/><Relationship Id="rId1243" Type="http://schemas.openxmlformats.org/officeDocument/2006/relationships/hyperlink" Target="https://twitter.com/travelfree_info/status/803664574323032065" TargetMode="External"/><Relationship Id="rId2574" Type="http://schemas.openxmlformats.org/officeDocument/2006/relationships/hyperlink" Target="https://twitter.com/aprilwilliams68" TargetMode="External"/><Relationship Id="rId1244" Type="http://schemas.openxmlformats.org/officeDocument/2006/relationships/hyperlink" Target="https://pbs.twimg.com/profile_images/707460356315156482/anFthTiX_normal.jpg" TargetMode="External"/><Relationship Id="rId2575" Type="http://schemas.openxmlformats.org/officeDocument/2006/relationships/hyperlink" Target="https://twitter.com/aprilwilliams68/status/804593500985683968" TargetMode="External"/><Relationship Id="rId1245" Type="http://schemas.openxmlformats.org/officeDocument/2006/relationships/hyperlink" Target="https://twitter.com/trinidoesfly" TargetMode="External"/><Relationship Id="rId2576" Type="http://schemas.openxmlformats.org/officeDocument/2006/relationships/hyperlink" Target="https://pbs.twimg.com/profile_images/804566392041304064/rJ_mjnIh_normal.jpg" TargetMode="External"/><Relationship Id="rId1279" Type="http://schemas.openxmlformats.org/officeDocument/2006/relationships/hyperlink" Target="https://twitter.com/jennitundis/status/803687653686341632" TargetMode="External"/><Relationship Id="rId4305" Type="http://schemas.openxmlformats.org/officeDocument/2006/relationships/hyperlink" Target="https://pbs.twimg.com/profile_images/2292101801/yvlsbgo4g2iz2p7et4mq_normal.jpeg" TargetMode="External"/><Relationship Id="rId4304" Type="http://schemas.openxmlformats.org/officeDocument/2006/relationships/hyperlink" Target="https://twitter.com/Tenerife_Ocio/status/805726410392346624" TargetMode="External"/><Relationship Id="rId4307" Type="http://schemas.openxmlformats.org/officeDocument/2006/relationships/hyperlink" Target="https://twitter.com/Ziggyleebop/status/805727030738178050" TargetMode="External"/><Relationship Id="rId4306" Type="http://schemas.openxmlformats.org/officeDocument/2006/relationships/hyperlink" Target="https://twitter.com/Ziggyleebop" TargetMode="External"/><Relationship Id="rId4309" Type="http://schemas.openxmlformats.org/officeDocument/2006/relationships/hyperlink" Target="https://twitter.com/LocationGuide" TargetMode="External"/><Relationship Id="rId4308" Type="http://schemas.openxmlformats.org/officeDocument/2006/relationships/hyperlink" Target="https://pbs.twimg.com/profile_images/801889334160814080/N-sMG3ZW_normal.jpg" TargetMode="External"/><Relationship Id="rId448" Type="http://schemas.openxmlformats.org/officeDocument/2006/relationships/hyperlink" Target="https://twitter.com/JAGreenhill" TargetMode="External"/><Relationship Id="rId447" Type="http://schemas.openxmlformats.org/officeDocument/2006/relationships/hyperlink" Target="https://pbs.twimg.com/profile_images/805052311466897409/zHKEhdG9_normal.jpg" TargetMode="External"/><Relationship Id="rId446" Type="http://schemas.openxmlformats.org/officeDocument/2006/relationships/hyperlink" Target="https://twitter.com/JAGreenhill/status/803125795828875264" TargetMode="External"/><Relationship Id="rId445" Type="http://schemas.openxmlformats.org/officeDocument/2006/relationships/hyperlink" Target="https://twitter.com/JAGreenhill" TargetMode="External"/><Relationship Id="rId449" Type="http://schemas.openxmlformats.org/officeDocument/2006/relationships/hyperlink" Target="https://twitter.com/JAGreenhill/status/803126135630548992" TargetMode="External"/><Relationship Id="rId1270" Type="http://schemas.openxmlformats.org/officeDocument/2006/relationships/hyperlink" Target="https://twitter.com/bermaxo09/status/803686519600922624" TargetMode="External"/><Relationship Id="rId440" Type="http://schemas.openxmlformats.org/officeDocument/2006/relationships/hyperlink" Target="https://twitter.com/cokeaddict/status/803095384440483840" TargetMode="External"/><Relationship Id="rId1271" Type="http://schemas.openxmlformats.org/officeDocument/2006/relationships/hyperlink" Target="https://pbs.twimg.com/profile_images/798476790478073856/iOD0HIRa_normal.jpg" TargetMode="External"/><Relationship Id="rId1272" Type="http://schemas.openxmlformats.org/officeDocument/2006/relationships/hyperlink" Target="https://twitter.com/bermaxo09" TargetMode="External"/><Relationship Id="rId1273" Type="http://schemas.openxmlformats.org/officeDocument/2006/relationships/hyperlink" Target="https://twitter.com/bermaxo09/status/803687090831527936" TargetMode="External"/><Relationship Id="rId1274" Type="http://schemas.openxmlformats.org/officeDocument/2006/relationships/hyperlink" Target="https://pbs.twimg.com/profile_images/798476790478073856/iOD0HIRa_normal.jpg" TargetMode="External"/><Relationship Id="rId444" Type="http://schemas.openxmlformats.org/officeDocument/2006/relationships/hyperlink" Target="https://pbs.twimg.com/profile_images/613078542872481792/WyiGAf0y_normal.jpg" TargetMode="External"/><Relationship Id="rId1275" Type="http://schemas.openxmlformats.org/officeDocument/2006/relationships/hyperlink" Target="https://twitter.com/Tenerifelicidad" TargetMode="External"/><Relationship Id="rId4301" Type="http://schemas.openxmlformats.org/officeDocument/2006/relationships/hyperlink" Target="https://twitter.com/webwanderer2/status/805722006503223296" TargetMode="External"/><Relationship Id="rId443" Type="http://schemas.openxmlformats.org/officeDocument/2006/relationships/hyperlink" Target="https://twitter.com/worldwanderista/status/803118832164356096" TargetMode="External"/><Relationship Id="rId1276" Type="http://schemas.openxmlformats.org/officeDocument/2006/relationships/hyperlink" Target="https://twitter.com/Tenerifelicidad/status/803687397653446656" TargetMode="External"/><Relationship Id="rId4300" Type="http://schemas.openxmlformats.org/officeDocument/2006/relationships/hyperlink" Target="https://twitter.com/webwanderer2" TargetMode="External"/><Relationship Id="rId442" Type="http://schemas.openxmlformats.org/officeDocument/2006/relationships/hyperlink" Target="https://twitter.com/worldwanderista" TargetMode="External"/><Relationship Id="rId1277" Type="http://schemas.openxmlformats.org/officeDocument/2006/relationships/hyperlink" Target="https://pbs.twimg.com/profile_images/776911721281781760/pyZR1pJ3_normal.jpg" TargetMode="External"/><Relationship Id="rId4303" Type="http://schemas.openxmlformats.org/officeDocument/2006/relationships/hyperlink" Target="https://twitter.com/Tenerife_Ocio" TargetMode="External"/><Relationship Id="rId441" Type="http://schemas.openxmlformats.org/officeDocument/2006/relationships/hyperlink" Target="https://pbs.twimg.com/profile_images/733369791248007169/EnfXk5ci_normal.jpg" TargetMode="External"/><Relationship Id="rId1278" Type="http://schemas.openxmlformats.org/officeDocument/2006/relationships/hyperlink" Target="https://twitter.com/jennitundis" TargetMode="External"/><Relationship Id="rId4302" Type="http://schemas.openxmlformats.org/officeDocument/2006/relationships/hyperlink" Target="https://pbs.twimg.com/profile_images/463722183483592704/Arrz_wkR_normal.jpeg" TargetMode="External"/><Relationship Id="rId1268" Type="http://schemas.openxmlformats.org/officeDocument/2006/relationships/hyperlink" Target="https://pbs.twimg.com/profile_images/798476790478073856/iOD0HIRa_normal.jpg" TargetMode="External"/><Relationship Id="rId2599" Type="http://schemas.openxmlformats.org/officeDocument/2006/relationships/hyperlink" Target="https://twitter.com/LpaVisit/status/804613483346219008" TargetMode="External"/><Relationship Id="rId1269" Type="http://schemas.openxmlformats.org/officeDocument/2006/relationships/hyperlink" Target="https://twitter.com/bermaxo09" TargetMode="External"/><Relationship Id="rId437" Type="http://schemas.openxmlformats.org/officeDocument/2006/relationships/hyperlink" Target="https://twitter.com/SandraDanby/status/803086862806118400" TargetMode="External"/><Relationship Id="rId436" Type="http://schemas.openxmlformats.org/officeDocument/2006/relationships/hyperlink" Target="https://twitter.com/SandraDanby" TargetMode="External"/><Relationship Id="rId435" Type="http://schemas.openxmlformats.org/officeDocument/2006/relationships/hyperlink" Target="https://pbs.twimg.com/profile_images/733369791248007169/EnfXk5ci_normal.jpg" TargetMode="External"/><Relationship Id="rId434" Type="http://schemas.openxmlformats.org/officeDocument/2006/relationships/hyperlink" Target="https://twitter.com/cokeaddict/status/803075454257217536" TargetMode="External"/><Relationship Id="rId439" Type="http://schemas.openxmlformats.org/officeDocument/2006/relationships/hyperlink" Target="https://twitter.com/cokeaddict" TargetMode="External"/><Relationship Id="rId438" Type="http://schemas.openxmlformats.org/officeDocument/2006/relationships/hyperlink" Target="https://pbs.twimg.com/profile_images/664118244702310400/CgCkt2Uu_normal.jpg" TargetMode="External"/><Relationship Id="rId2590" Type="http://schemas.openxmlformats.org/officeDocument/2006/relationships/hyperlink" Target="https://twitter.com/figbarton/status/804606893884899328" TargetMode="External"/><Relationship Id="rId1260" Type="http://schemas.openxmlformats.org/officeDocument/2006/relationships/hyperlink" Target="https://twitter.com/VicPCazorla" TargetMode="External"/><Relationship Id="rId2591" Type="http://schemas.openxmlformats.org/officeDocument/2006/relationships/hyperlink" Target="https://pbs.twimg.com/profile_images/622772755490930688/ZM_kU0Pk_normal.jpg" TargetMode="External"/><Relationship Id="rId1261" Type="http://schemas.openxmlformats.org/officeDocument/2006/relationships/hyperlink" Target="https://twitter.com/VicPCazorla/status/803680730970669056" TargetMode="External"/><Relationship Id="rId2592" Type="http://schemas.openxmlformats.org/officeDocument/2006/relationships/hyperlink" Target="https://twitter.com/CoCoLingua_" TargetMode="External"/><Relationship Id="rId1262" Type="http://schemas.openxmlformats.org/officeDocument/2006/relationships/hyperlink" Target="https://pbs.twimg.com/profile_images/460507578829897728/1LKW9I3O_normal.jpeg" TargetMode="External"/><Relationship Id="rId2593" Type="http://schemas.openxmlformats.org/officeDocument/2006/relationships/hyperlink" Target="https://twitter.com/CoCoLingua_/status/804609632685670400" TargetMode="External"/><Relationship Id="rId1263" Type="http://schemas.openxmlformats.org/officeDocument/2006/relationships/hyperlink" Target="https://twitter.com/gookrr5" TargetMode="External"/><Relationship Id="rId2594" Type="http://schemas.openxmlformats.org/officeDocument/2006/relationships/hyperlink" Target="https://pbs.twimg.com/profile_images/580786474833948672/7Y9OJHj2_normal.jpg" TargetMode="External"/><Relationship Id="rId433" Type="http://schemas.openxmlformats.org/officeDocument/2006/relationships/hyperlink" Target="https://twitter.com/cokeaddict" TargetMode="External"/><Relationship Id="rId1264" Type="http://schemas.openxmlformats.org/officeDocument/2006/relationships/hyperlink" Target="https://twitter.com/gookrr5/status/803682640079503361" TargetMode="External"/><Relationship Id="rId2595" Type="http://schemas.openxmlformats.org/officeDocument/2006/relationships/hyperlink" Target="https://twitter.com/karakule7711" TargetMode="External"/><Relationship Id="rId432" Type="http://schemas.openxmlformats.org/officeDocument/2006/relationships/hyperlink" Target="https://pbs.twimg.com/profile_images/733369791248007169/EnfXk5ci_normal.jpg" TargetMode="External"/><Relationship Id="rId1265" Type="http://schemas.openxmlformats.org/officeDocument/2006/relationships/hyperlink" Target="https://pbs.twimg.com/profile_images/690926021663682561/NwajsmWz_normal.jpg" TargetMode="External"/><Relationship Id="rId2596" Type="http://schemas.openxmlformats.org/officeDocument/2006/relationships/hyperlink" Target="https://twitter.com/karakule7711/status/804611835882250240" TargetMode="External"/><Relationship Id="rId431" Type="http://schemas.openxmlformats.org/officeDocument/2006/relationships/hyperlink" Target="https://twitter.com/cokeaddict/status/803075111284854788" TargetMode="External"/><Relationship Id="rId1266" Type="http://schemas.openxmlformats.org/officeDocument/2006/relationships/hyperlink" Target="https://twitter.com/bermaxo09" TargetMode="External"/><Relationship Id="rId2597" Type="http://schemas.openxmlformats.org/officeDocument/2006/relationships/hyperlink" Target="https://pbs.twimg.com/profile_images/653911720864403456/WPvTVK2-_normal.jpg" TargetMode="External"/><Relationship Id="rId430" Type="http://schemas.openxmlformats.org/officeDocument/2006/relationships/hyperlink" Target="https://twitter.com/cokeaddict" TargetMode="External"/><Relationship Id="rId1267" Type="http://schemas.openxmlformats.org/officeDocument/2006/relationships/hyperlink" Target="https://twitter.com/bermaxo09/status/803685939851632640" TargetMode="External"/><Relationship Id="rId2598" Type="http://schemas.openxmlformats.org/officeDocument/2006/relationships/hyperlink" Target="https://twitter.com/LpaVisit" TargetMode="External"/><Relationship Id="rId3070" Type="http://schemas.openxmlformats.org/officeDocument/2006/relationships/hyperlink" Target="https://twitter.com/clubyachting" TargetMode="External"/><Relationship Id="rId3072" Type="http://schemas.openxmlformats.org/officeDocument/2006/relationships/hyperlink" Target="https://pbs.twimg.com/profile_images/1129626844/8788SquareLogo_2.5cm_normal.jpg" TargetMode="External"/><Relationship Id="rId3071" Type="http://schemas.openxmlformats.org/officeDocument/2006/relationships/hyperlink" Target="https://twitter.com/clubyachting/status/804777764893167621" TargetMode="External"/><Relationship Id="rId3074" Type="http://schemas.openxmlformats.org/officeDocument/2006/relationships/hyperlink" Target="https://twitter.com/ropi86/status/804779873541570560" TargetMode="External"/><Relationship Id="rId3073" Type="http://schemas.openxmlformats.org/officeDocument/2006/relationships/hyperlink" Target="https://twitter.com/ropi86" TargetMode="External"/><Relationship Id="rId3076" Type="http://schemas.openxmlformats.org/officeDocument/2006/relationships/hyperlink" Target="https://twitter.com/swisshop4uEs" TargetMode="External"/><Relationship Id="rId3075" Type="http://schemas.openxmlformats.org/officeDocument/2006/relationships/hyperlink" Target="https://pbs.twimg.com/profile_images/805182384878612481/ZEnK6mVo_normal.jpg" TargetMode="External"/><Relationship Id="rId3078" Type="http://schemas.openxmlformats.org/officeDocument/2006/relationships/hyperlink" Target="https://pbs.twimg.com/profile_images/378800000213382003/4f562b59f92995b884d2d440f71fc5ce_normal.png" TargetMode="External"/><Relationship Id="rId3077" Type="http://schemas.openxmlformats.org/officeDocument/2006/relationships/hyperlink" Target="https://twitter.com/swisshop4uEs/status/804785237150601217" TargetMode="External"/><Relationship Id="rId3079" Type="http://schemas.openxmlformats.org/officeDocument/2006/relationships/hyperlink" Target="https://twitter.com/rawbirds" TargetMode="External"/><Relationship Id="rId4390" Type="http://schemas.openxmlformats.org/officeDocument/2006/relationships/hyperlink" Target="https://twitter.com/Sink_or_Swim_" TargetMode="External"/><Relationship Id="rId3061" Type="http://schemas.openxmlformats.org/officeDocument/2006/relationships/hyperlink" Target="https://twitter.com/CanaryIslandsEN" TargetMode="External"/><Relationship Id="rId4392" Type="http://schemas.openxmlformats.org/officeDocument/2006/relationships/hyperlink" Target="https://pbs.twimg.com/profile_images/730687096550268928/J-Ee_sln_normal.jpg" TargetMode="External"/><Relationship Id="rId3060" Type="http://schemas.openxmlformats.org/officeDocument/2006/relationships/hyperlink" Target="https://pbs.twimg.com/profile_images/665918060604342272/rlTnwnCz_normal.jpg" TargetMode="External"/><Relationship Id="rId4391" Type="http://schemas.openxmlformats.org/officeDocument/2006/relationships/hyperlink" Target="https://twitter.com/Sink_or_Swim_/status/805767799385690112" TargetMode="External"/><Relationship Id="rId3063" Type="http://schemas.openxmlformats.org/officeDocument/2006/relationships/hyperlink" Target="https://pbs.twimg.com/profile_images/754960714704584704/14dQxsF8_normal.jpg" TargetMode="External"/><Relationship Id="rId4394" Type="http://schemas.openxmlformats.org/officeDocument/2006/relationships/hyperlink" Target="https://twitter.com/ebook_travel/status/805768835840274432" TargetMode="External"/><Relationship Id="rId3062" Type="http://schemas.openxmlformats.org/officeDocument/2006/relationships/hyperlink" Target="https://twitter.com/CanaryIslandsEN/status/804776656963567616" TargetMode="External"/><Relationship Id="rId4393" Type="http://schemas.openxmlformats.org/officeDocument/2006/relationships/hyperlink" Target="https://twitter.com/ebook_travel" TargetMode="External"/><Relationship Id="rId3065" Type="http://schemas.openxmlformats.org/officeDocument/2006/relationships/hyperlink" Target="https://twitter.com/enduriaholidays/status/804776719412555776" TargetMode="External"/><Relationship Id="rId4396" Type="http://schemas.openxmlformats.org/officeDocument/2006/relationships/hyperlink" Target="https://twitter.com/sellmytshare" TargetMode="External"/><Relationship Id="rId3064" Type="http://schemas.openxmlformats.org/officeDocument/2006/relationships/hyperlink" Target="https://twitter.com/enduriaholidays" TargetMode="External"/><Relationship Id="rId4395" Type="http://schemas.openxmlformats.org/officeDocument/2006/relationships/hyperlink" Target="https://pbs.twimg.com/profile_images/506732081079013377/VmrRkhPe_normal.jpeg" TargetMode="External"/><Relationship Id="rId3067" Type="http://schemas.openxmlformats.org/officeDocument/2006/relationships/hyperlink" Target="https://twitter.com/LesRandosdeCaco" TargetMode="External"/><Relationship Id="rId4398" Type="http://schemas.openxmlformats.org/officeDocument/2006/relationships/hyperlink" Target="https://pbs.twimg.com/profile_images/661939380370726912/YsXXMKwm_normal.png" TargetMode="External"/><Relationship Id="rId3066" Type="http://schemas.openxmlformats.org/officeDocument/2006/relationships/hyperlink" Target="https://pbs.twimg.com/profile_images/726026649356128258/xCSaP1IW_normal.jpg" TargetMode="External"/><Relationship Id="rId4397" Type="http://schemas.openxmlformats.org/officeDocument/2006/relationships/hyperlink" Target="https://twitter.com/sellmytshare/status/805772300381487104" TargetMode="External"/><Relationship Id="rId3069" Type="http://schemas.openxmlformats.org/officeDocument/2006/relationships/hyperlink" Target="https://pbs.twimg.com/profile_images/802073872866705408/wMHnHYch_normal.jpg" TargetMode="External"/><Relationship Id="rId3068" Type="http://schemas.openxmlformats.org/officeDocument/2006/relationships/hyperlink" Target="https://twitter.com/LesRandosdeCaco/status/804777312910721024" TargetMode="External"/><Relationship Id="rId4399" Type="http://schemas.openxmlformats.org/officeDocument/2006/relationships/hyperlink" Target="https://twitter.com/ELEYTECLOTHING" TargetMode="External"/><Relationship Id="rId3090" Type="http://schemas.openxmlformats.org/officeDocument/2006/relationships/hyperlink" Target="https://twitter.com/TheBrandAnalyst/status/804791229024235524" TargetMode="External"/><Relationship Id="rId3092" Type="http://schemas.openxmlformats.org/officeDocument/2006/relationships/hyperlink" Target="https://twitter.com/bermaxo09" TargetMode="External"/><Relationship Id="rId3091" Type="http://schemas.openxmlformats.org/officeDocument/2006/relationships/hyperlink" Target="https://pbs.twimg.com/profile_images/657095542678396928/AMTcv_N8_normal.jpg" TargetMode="External"/><Relationship Id="rId3094" Type="http://schemas.openxmlformats.org/officeDocument/2006/relationships/hyperlink" Target="https://pbs.twimg.com/profile_images/798476790478073856/iOD0HIRa_normal.jpg" TargetMode="External"/><Relationship Id="rId3093" Type="http://schemas.openxmlformats.org/officeDocument/2006/relationships/hyperlink" Target="https://twitter.com/bermaxo09/status/804792445531787264" TargetMode="External"/><Relationship Id="rId3096" Type="http://schemas.openxmlformats.org/officeDocument/2006/relationships/hyperlink" Target="https://twitter.com/Manta_Diving/status/804793226553131008" TargetMode="External"/><Relationship Id="rId3095" Type="http://schemas.openxmlformats.org/officeDocument/2006/relationships/hyperlink" Target="https://twitter.com/Manta_Diving" TargetMode="External"/><Relationship Id="rId3098" Type="http://schemas.openxmlformats.org/officeDocument/2006/relationships/hyperlink" Target="https://twitter.com/bermaxo09" TargetMode="External"/><Relationship Id="rId3097" Type="http://schemas.openxmlformats.org/officeDocument/2006/relationships/hyperlink" Target="https://pbs.twimg.com/profile_images/608258224861683713/3tZDEUxD_normal.jpg" TargetMode="External"/><Relationship Id="rId3099" Type="http://schemas.openxmlformats.org/officeDocument/2006/relationships/hyperlink" Target="https://twitter.com/bermaxo09/status/804794374580305924" TargetMode="External"/><Relationship Id="rId3081" Type="http://schemas.openxmlformats.org/officeDocument/2006/relationships/hyperlink" Target="https://twitter.com/rawbirds/status/804788723217006593" TargetMode="External"/><Relationship Id="rId3080" Type="http://schemas.openxmlformats.org/officeDocument/2006/relationships/hyperlink" Target="http://Rawbirds.com" TargetMode="External"/><Relationship Id="rId3083" Type="http://schemas.openxmlformats.org/officeDocument/2006/relationships/hyperlink" Target="https://twitter.com/BlogDeviaje" TargetMode="External"/><Relationship Id="rId3082" Type="http://schemas.openxmlformats.org/officeDocument/2006/relationships/hyperlink" Target="https://pbs.twimg.com/profile_images/780122634772250624/a4hzkndO_normal.jpg" TargetMode="External"/><Relationship Id="rId3085" Type="http://schemas.openxmlformats.org/officeDocument/2006/relationships/hyperlink" Target="https://pbs.twimg.com/profile_images/797394731005251584/H9fz3MfB_normal.jpg" TargetMode="External"/><Relationship Id="rId3084" Type="http://schemas.openxmlformats.org/officeDocument/2006/relationships/hyperlink" Target="https://twitter.com/BlogDeviaje/status/804789257126678528" TargetMode="External"/><Relationship Id="rId3087" Type="http://schemas.openxmlformats.org/officeDocument/2006/relationships/hyperlink" Target="https://twitter.com/MyGolfWay/status/804790054459768833" TargetMode="External"/><Relationship Id="rId3086" Type="http://schemas.openxmlformats.org/officeDocument/2006/relationships/hyperlink" Target="https://twitter.com/MyGolfWay" TargetMode="External"/><Relationship Id="rId3089" Type="http://schemas.openxmlformats.org/officeDocument/2006/relationships/hyperlink" Target="https://twitter.com/TheBrandAnalyst" TargetMode="External"/><Relationship Id="rId3088" Type="http://schemas.openxmlformats.org/officeDocument/2006/relationships/hyperlink" Target="https://pbs.twimg.com/profile_images/1874262108/mgw_new_normal.png" TargetMode="External"/><Relationship Id="rId3039" Type="http://schemas.openxmlformats.org/officeDocument/2006/relationships/hyperlink" Target="https://pbs.twimg.com/profile_images/722353442321260544/juVRAeF1_normal.jpg" TargetMode="External"/><Relationship Id="rId1" Type="http://schemas.openxmlformats.org/officeDocument/2006/relationships/hyperlink" Target="https://twitter.com/vyv111" TargetMode="External"/><Relationship Id="rId2" Type="http://schemas.openxmlformats.org/officeDocument/2006/relationships/hyperlink" Target="https://twitter.com/vyv111/status/802759361475084288" TargetMode="External"/><Relationship Id="rId3" Type="http://schemas.openxmlformats.org/officeDocument/2006/relationships/hyperlink" Target="https://pbs.twimg.com/profile_images/719304457784131588/5s-_4kRi_normal.jpg" TargetMode="External"/><Relationship Id="rId4" Type="http://schemas.openxmlformats.org/officeDocument/2006/relationships/hyperlink" Target="https://twitter.com/Johnalanpick" TargetMode="External"/><Relationship Id="rId3030" Type="http://schemas.openxmlformats.org/officeDocument/2006/relationships/hyperlink" Target="https://pbs.twimg.com/profile_images/661255402412199936/Rl5jjxWT_normal.jpg" TargetMode="External"/><Relationship Id="rId4361" Type="http://schemas.openxmlformats.org/officeDocument/2006/relationships/hyperlink" Target="https://twitter.com/Selhso/status/805753731149131776" TargetMode="External"/><Relationship Id="rId4360" Type="http://schemas.openxmlformats.org/officeDocument/2006/relationships/hyperlink" Target="https://twitter.com/Selhso" TargetMode="External"/><Relationship Id="rId9" Type="http://schemas.openxmlformats.org/officeDocument/2006/relationships/hyperlink" Target="https://pbs.twimg.com/profile_images/585820497629356033/fzh14Fyz_normal.jpg" TargetMode="External"/><Relationship Id="rId3032" Type="http://schemas.openxmlformats.org/officeDocument/2006/relationships/hyperlink" Target="https://twitter.com/RakheeV/status/804763288386945025" TargetMode="External"/><Relationship Id="rId4363" Type="http://schemas.openxmlformats.org/officeDocument/2006/relationships/hyperlink" Target="https://twitter.com/paisajecanario" TargetMode="External"/><Relationship Id="rId3031" Type="http://schemas.openxmlformats.org/officeDocument/2006/relationships/hyperlink" Target="https://twitter.com/RakheeV" TargetMode="External"/><Relationship Id="rId4362" Type="http://schemas.openxmlformats.org/officeDocument/2006/relationships/hyperlink" Target="https://pbs.twimg.com/profile_images/800845512836579328/cKh_5hB2_normal.jpg" TargetMode="External"/><Relationship Id="rId3034" Type="http://schemas.openxmlformats.org/officeDocument/2006/relationships/hyperlink" Target="https://twitter.com/raul_heredia_9" TargetMode="External"/><Relationship Id="rId4365" Type="http://schemas.openxmlformats.org/officeDocument/2006/relationships/hyperlink" Target="https://pbs.twimg.com/profile_images/789364630850240512/Mw90qAlM_normal.jpg" TargetMode="External"/><Relationship Id="rId3033" Type="http://schemas.openxmlformats.org/officeDocument/2006/relationships/hyperlink" Target="https://pbs.twimg.com/profile_images/742026136801161217/evJgSUlG_normal.jpg" TargetMode="External"/><Relationship Id="rId4364" Type="http://schemas.openxmlformats.org/officeDocument/2006/relationships/hyperlink" Target="https://twitter.com/paisajecanario/status/805753857288577024" TargetMode="External"/><Relationship Id="rId5" Type="http://schemas.openxmlformats.org/officeDocument/2006/relationships/hyperlink" Target="https://twitter.com/Johnalanpick/status/802769004309803010" TargetMode="External"/><Relationship Id="rId3036" Type="http://schemas.openxmlformats.org/officeDocument/2006/relationships/hyperlink" Target="https://pbs.twimg.com/profile_images/634355181463949312/rJ0aZ201_normal.jpg" TargetMode="External"/><Relationship Id="rId4367" Type="http://schemas.openxmlformats.org/officeDocument/2006/relationships/hyperlink" Target="https://twitter.com/islaspromo/status/805754276878450688" TargetMode="External"/><Relationship Id="rId6" Type="http://schemas.openxmlformats.org/officeDocument/2006/relationships/hyperlink" Target="https://pbs.twimg.com/profile_images/721987658449305600/1WmSYuM-_normal.jpg" TargetMode="External"/><Relationship Id="rId3035" Type="http://schemas.openxmlformats.org/officeDocument/2006/relationships/hyperlink" Target="https://twitter.com/raul_heredia_9/status/804764776350027776" TargetMode="External"/><Relationship Id="rId4366" Type="http://schemas.openxmlformats.org/officeDocument/2006/relationships/hyperlink" Target="https://twitter.com/islaspromo" TargetMode="External"/><Relationship Id="rId7" Type="http://schemas.openxmlformats.org/officeDocument/2006/relationships/hyperlink" Target="https://twitter.com/fatdogsfrance" TargetMode="External"/><Relationship Id="rId3038" Type="http://schemas.openxmlformats.org/officeDocument/2006/relationships/hyperlink" Target="https://twitter.com/CositasCanarias/status/804769462348054529" TargetMode="External"/><Relationship Id="rId4369" Type="http://schemas.openxmlformats.org/officeDocument/2006/relationships/hyperlink" Target="https://twitter.com/holyber" TargetMode="External"/><Relationship Id="rId8" Type="http://schemas.openxmlformats.org/officeDocument/2006/relationships/hyperlink" Target="https://twitter.com/fatdogsfrance/status/802774560718422016" TargetMode="External"/><Relationship Id="rId3037" Type="http://schemas.openxmlformats.org/officeDocument/2006/relationships/hyperlink" Target="https://twitter.com/CositasCanarias" TargetMode="External"/><Relationship Id="rId4368" Type="http://schemas.openxmlformats.org/officeDocument/2006/relationships/hyperlink" Target="https://pbs.twimg.com/profile_images/570644453866483712/dvbC2x8W_normal.jpeg" TargetMode="External"/><Relationship Id="rId3029" Type="http://schemas.openxmlformats.org/officeDocument/2006/relationships/hyperlink" Target="https://twitter.com/aglaetalia/status/804762043685498881" TargetMode="External"/><Relationship Id="rId3028" Type="http://schemas.openxmlformats.org/officeDocument/2006/relationships/hyperlink" Target="https://twitter.com/aglaetalia" TargetMode="External"/><Relationship Id="rId4359" Type="http://schemas.openxmlformats.org/officeDocument/2006/relationships/hyperlink" Target="https://pbs.twimg.com/profile_images/633043283883786241/zwu8EWCX_normal.jpg" TargetMode="External"/><Relationship Id="rId4350" Type="http://schemas.openxmlformats.org/officeDocument/2006/relationships/hyperlink" Target="https://pbs.twimg.com/profile_images/733261268195414016/1j_HFMtH_normal.jpg" TargetMode="External"/><Relationship Id="rId3021" Type="http://schemas.openxmlformats.org/officeDocument/2006/relationships/hyperlink" Target="https://pbs.twimg.com/profile_images/662173882003116032/omP1YN1X_normal.jpg" TargetMode="External"/><Relationship Id="rId4352" Type="http://schemas.openxmlformats.org/officeDocument/2006/relationships/hyperlink" Target="https://twitter.com/carmelomayorv/status/805744086837764096" TargetMode="External"/><Relationship Id="rId3020" Type="http://schemas.openxmlformats.org/officeDocument/2006/relationships/hyperlink" Target="https://twitter.com/controladores/status/804759107643252736" TargetMode="External"/><Relationship Id="rId4351" Type="http://schemas.openxmlformats.org/officeDocument/2006/relationships/hyperlink" Target="https://twitter.com/carmelomayorv" TargetMode="External"/><Relationship Id="rId3023" Type="http://schemas.openxmlformats.org/officeDocument/2006/relationships/hyperlink" Target="https://twitter.com/teohiguero/status/804759295032180736" TargetMode="External"/><Relationship Id="rId4354" Type="http://schemas.openxmlformats.org/officeDocument/2006/relationships/hyperlink" Target="https://twitter.com/Sunbonoo" TargetMode="External"/><Relationship Id="rId3022" Type="http://schemas.openxmlformats.org/officeDocument/2006/relationships/hyperlink" Target="https://twitter.com/teohiguero" TargetMode="External"/><Relationship Id="rId4353" Type="http://schemas.openxmlformats.org/officeDocument/2006/relationships/hyperlink" Target="https://pbs.twimg.com/profile_images/798507492607217664/xkH7j70H_normal.jpg" TargetMode="External"/><Relationship Id="rId3025" Type="http://schemas.openxmlformats.org/officeDocument/2006/relationships/hyperlink" Target="https://twitter.com/Aviojets" TargetMode="External"/><Relationship Id="rId4356" Type="http://schemas.openxmlformats.org/officeDocument/2006/relationships/hyperlink" Target="https://pbs.twimg.com/profile_images/2120421138/logo_normal.jpg" TargetMode="External"/><Relationship Id="rId3024" Type="http://schemas.openxmlformats.org/officeDocument/2006/relationships/hyperlink" Target="https://pbs.twimg.com/profile_images/484996944809299968/kpjynwWR_normal.jpeg" TargetMode="External"/><Relationship Id="rId4355" Type="http://schemas.openxmlformats.org/officeDocument/2006/relationships/hyperlink" Target="https://twitter.com/Sunbonoo/status/805752185950707712" TargetMode="External"/><Relationship Id="rId3027" Type="http://schemas.openxmlformats.org/officeDocument/2006/relationships/hyperlink" Target="https://pbs.twimg.com/profile_images/715103361146744832/QUttG0CU_normal.jpg" TargetMode="External"/><Relationship Id="rId4358" Type="http://schemas.openxmlformats.org/officeDocument/2006/relationships/hyperlink" Target="https://twitter.com/misszoeshaw/status/805752591158099969" TargetMode="External"/><Relationship Id="rId3026" Type="http://schemas.openxmlformats.org/officeDocument/2006/relationships/hyperlink" Target="https://twitter.com/Aviojets/status/804760611259383808" TargetMode="External"/><Relationship Id="rId4357" Type="http://schemas.openxmlformats.org/officeDocument/2006/relationships/hyperlink" Target="https://twitter.com/misszoeshaw" TargetMode="External"/><Relationship Id="rId3050" Type="http://schemas.openxmlformats.org/officeDocument/2006/relationships/hyperlink" Target="https://twitter.com/CarineMaunier/status/804772150536179712" TargetMode="External"/><Relationship Id="rId4381" Type="http://schemas.openxmlformats.org/officeDocument/2006/relationships/hyperlink" Target="https://twitter.com/Salamanca_SSV" TargetMode="External"/><Relationship Id="rId4380" Type="http://schemas.openxmlformats.org/officeDocument/2006/relationships/hyperlink" Target="https://abs.twimg.com/sticky/default_profile_images/default_profile_3_normal.png" TargetMode="External"/><Relationship Id="rId3052" Type="http://schemas.openxmlformats.org/officeDocument/2006/relationships/hyperlink" Target="https://twitter.com/pazgcmara" TargetMode="External"/><Relationship Id="rId4383" Type="http://schemas.openxmlformats.org/officeDocument/2006/relationships/hyperlink" Target="https://pbs.twimg.com/profile_images/3461850627/70f1c6c744e939681691ad3a09d64375_normal.png" TargetMode="External"/><Relationship Id="rId3051" Type="http://schemas.openxmlformats.org/officeDocument/2006/relationships/hyperlink" Target="https://pbs.twimg.com/profile_images/694606091313889280/jVE1tZZk_normal.jpg" TargetMode="External"/><Relationship Id="rId4382" Type="http://schemas.openxmlformats.org/officeDocument/2006/relationships/hyperlink" Target="https://twitter.com/Salamanca_SSV/status/805761725085650945" TargetMode="External"/><Relationship Id="rId3054" Type="http://schemas.openxmlformats.org/officeDocument/2006/relationships/hyperlink" Target="https://pbs.twimg.com/profile_images/774629921771626496/5phwvhV0_normal.jpg" TargetMode="External"/><Relationship Id="rId4385" Type="http://schemas.openxmlformats.org/officeDocument/2006/relationships/hyperlink" Target="https://twitter.com/javier_e_br/status/805762317132713984" TargetMode="External"/><Relationship Id="rId3053" Type="http://schemas.openxmlformats.org/officeDocument/2006/relationships/hyperlink" Target="https://twitter.com/pazgcmara/status/804772368795181057" TargetMode="External"/><Relationship Id="rId4384" Type="http://schemas.openxmlformats.org/officeDocument/2006/relationships/hyperlink" Target="https://twitter.com/javier_e_br" TargetMode="External"/><Relationship Id="rId3056" Type="http://schemas.openxmlformats.org/officeDocument/2006/relationships/hyperlink" Target="https://twitter.com/FranBrito9/status/804773884343898112" TargetMode="External"/><Relationship Id="rId4387" Type="http://schemas.openxmlformats.org/officeDocument/2006/relationships/hyperlink" Target="https://twitter.com/javier_e_br" TargetMode="External"/><Relationship Id="rId3055" Type="http://schemas.openxmlformats.org/officeDocument/2006/relationships/hyperlink" Target="https://twitter.com/FranBrito9" TargetMode="External"/><Relationship Id="rId4386" Type="http://schemas.openxmlformats.org/officeDocument/2006/relationships/hyperlink" Target="https://pbs.twimg.com/profile_images/782870651996692480/6jjashki_normal.jpg" TargetMode="External"/><Relationship Id="rId3058" Type="http://schemas.openxmlformats.org/officeDocument/2006/relationships/hyperlink" Target="https://twitter.com/SteveSeg" TargetMode="External"/><Relationship Id="rId4389" Type="http://schemas.openxmlformats.org/officeDocument/2006/relationships/hyperlink" Target="https://pbs.twimg.com/profile_images/782870651996692480/6jjashki_normal.jpg" TargetMode="External"/><Relationship Id="rId3057" Type="http://schemas.openxmlformats.org/officeDocument/2006/relationships/hyperlink" Target="https://pbs.twimg.com/profile_images/427590622875119616/HgOAup-j_normal.jpeg" TargetMode="External"/><Relationship Id="rId4388" Type="http://schemas.openxmlformats.org/officeDocument/2006/relationships/hyperlink" Target="https://twitter.com/javier_e_br/status/805763180400177152" TargetMode="External"/><Relationship Id="rId3059" Type="http://schemas.openxmlformats.org/officeDocument/2006/relationships/hyperlink" Target="https://twitter.com/SteveSeg/status/804774299928236032" TargetMode="External"/><Relationship Id="rId4370" Type="http://schemas.openxmlformats.org/officeDocument/2006/relationships/hyperlink" Target="https://twitter.com/holyber/status/805754352518524928" TargetMode="External"/><Relationship Id="rId3041" Type="http://schemas.openxmlformats.org/officeDocument/2006/relationships/hyperlink" Target="https://twitter.com/SafranHCEngines/status/804769785963827200" TargetMode="External"/><Relationship Id="rId4372" Type="http://schemas.openxmlformats.org/officeDocument/2006/relationships/hyperlink" Target="https://twitter.com/RakheeV" TargetMode="External"/><Relationship Id="rId3040" Type="http://schemas.openxmlformats.org/officeDocument/2006/relationships/hyperlink" Target="https://twitter.com/SafranHCEngines" TargetMode="External"/><Relationship Id="rId4371" Type="http://schemas.openxmlformats.org/officeDocument/2006/relationships/hyperlink" Target="https://pbs.twimg.com/profile_images/475644614448123904/FiCl2pX4_normal.jpeg" TargetMode="External"/><Relationship Id="rId3043" Type="http://schemas.openxmlformats.org/officeDocument/2006/relationships/hyperlink" Target="https://twitter.com/Selhso" TargetMode="External"/><Relationship Id="rId4374" Type="http://schemas.openxmlformats.org/officeDocument/2006/relationships/hyperlink" Target="https://pbs.twimg.com/profile_images/742026136801161217/evJgSUlG_normal.jpg" TargetMode="External"/><Relationship Id="rId3042" Type="http://schemas.openxmlformats.org/officeDocument/2006/relationships/hyperlink" Target="https://pbs.twimg.com/profile_images/733241098336886784/7MLiHgHI_normal.jpg" TargetMode="External"/><Relationship Id="rId4373" Type="http://schemas.openxmlformats.org/officeDocument/2006/relationships/hyperlink" Target="https://twitter.com/RakheeV/status/805754536774094849" TargetMode="External"/><Relationship Id="rId3045" Type="http://schemas.openxmlformats.org/officeDocument/2006/relationships/hyperlink" Target="https://pbs.twimg.com/profile_images/800845512836579328/cKh_5hB2_normal.jpg" TargetMode="External"/><Relationship Id="rId4376" Type="http://schemas.openxmlformats.org/officeDocument/2006/relationships/hyperlink" Target="https://twitter.com/CoJanet26/status/805758973068591104" TargetMode="External"/><Relationship Id="rId3044" Type="http://schemas.openxmlformats.org/officeDocument/2006/relationships/hyperlink" Target="https://twitter.com/Selhso/status/804770864948449280" TargetMode="External"/><Relationship Id="rId4375" Type="http://schemas.openxmlformats.org/officeDocument/2006/relationships/hyperlink" Target="https://twitter.com/CoJanet26" TargetMode="External"/><Relationship Id="rId3047" Type="http://schemas.openxmlformats.org/officeDocument/2006/relationships/hyperlink" Target="https://twitter.com/MariolaTNFGC84/status/804772112368107520" TargetMode="External"/><Relationship Id="rId4378" Type="http://schemas.openxmlformats.org/officeDocument/2006/relationships/hyperlink" Target="https://twitter.com/MaciakNikiforv" TargetMode="External"/><Relationship Id="rId3046" Type="http://schemas.openxmlformats.org/officeDocument/2006/relationships/hyperlink" Target="https://twitter.com/MariolaTNFGC84" TargetMode="External"/><Relationship Id="rId4377" Type="http://schemas.openxmlformats.org/officeDocument/2006/relationships/hyperlink" Target="https://pbs.twimg.com/profile_images/651892044152090625/DhTOaukp_normal.jpg" TargetMode="External"/><Relationship Id="rId3049" Type="http://schemas.openxmlformats.org/officeDocument/2006/relationships/hyperlink" Target="https://twitter.com/CarineMaunier" TargetMode="External"/><Relationship Id="rId3048" Type="http://schemas.openxmlformats.org/officeDocument/2006/relationships/hyperlink" Target="https://pbs.twimg.com/profile_images/765266327804190720/3kytWWcC_normal.jpg" TargetMode="External"/><Relationship Id="rId4379" Type="http://schemas.openxmlformats.org/officeDocument/2006/relationships/hyperlink" Target="https://twitter.com/MaciakNikiforv/status/805759368725667840" TargetMode="External"/><Relationship Id="rId3911" Type="http://schemas.openxmlformats.org/officeDocument/2006/relationships/hyperlink" Target="https://twitter.com/TenerifeExplore/status/805411640254533637" TargetMode="External"/><Relationship Id="rId3910" Type="http://schemas.openxmlformats.org/officeDocument/2006/relationships/hyperlink" Target="https://twitter.com/TenerifeExplore" TargetMode="External"/><Relationship Id="rId3913" Type="http://schemas.openxmlformats.org/officeDocument/2006/relationships/hyperlink" Target="https://twitter.com/HJardinTropical" TargetMode="External"/><Relationship Id="rId3912" Type="http://schemas.openxmlformats.org/officeDocument/2006/relationships/hyperlink" Target="https://pbs.twimg.com/profile_images/900403561/567_normal.jpg" TargetMode="External"/><Relationship Id="rId3915" Type="http://schemas.openxmlformats.org/officeDocument/2006/relationships/hyperlink" Target="https://pbs.twimg.com/profile_images/740530029243817984/J5ujzFIw_normal.jpg" TargetMode="External"/><Relationship Id="rId3914" Type="http://schemas.openxmlformats.org/officeDocument/2006/relationships/hyperlink" Target="https://twitter.com/HJardinTropical/status/805411731065466880" TargetMode="External"/><Relationship Id="rId3917" Type="http://schemas.openxmlformats.org/officeDocument/2006/relationships/hyperlink" Target="https://twitter.com/JohnPatterson99/status/805411744881508353" TargetMode="External"/><Relationship Id="rId3916" Type="http://schemas.openxmlformats.org/officeDocument/2006/relationships/hyperlink" Target="https://twitter.com/JohnPatterson99" TargetMode="External"/><Relationship Id="rId3919" Type="http://schemas.openxmlformats.org/officeDocument/2006/relationships/hyperlink" Target="https://twitter.com/jasodowd" TargetMode="External"/><Relationship Id="rId3918" Type="http://schemas.openxmlformats.org/officeDocument/2006/relationships/hyperlink" Target="https://pbs.twimg.com/profile_images/688964918079430656/8l5FZ8wt_normal.jpg" TargetMode="External"/><Relationship Id="rId3900" Type="http://schemas.openxmlformats.org/officeDocument/2006/relationships/hyperlink" Target="https://pbs.twimg.com/profile_images/805052311466897409/zHKEhdG9_normal.jpg" TargetMode="External"/><Relationship Id="rId3902" Type="http://schemas.openxmlformats.org/officeDocument/2006/relationships/hyperlink" Target="https://twitter.com/JAGreenhill/status/805407823421116417" TargetMode="External"/><Relationship Id="rId3901" Type="http://schemas.openxmlformats.org/officeDocument/2006/relationships/hyperlink" Target="https://twitter.com/JAGreenhill" TargetMode="External"/><Relationship Id="rId3904" Type="http://schemas.openxmlformats.org/officeDocument/2006/relationships/hyperlink" Target="https://twitter.com/JAGreenhill" TargetMode="External"/><Relationship Id="rId3903" Type="http://schemas.openxmlformats.org/officeDocument/2006/relationships/hyperlink" Target="https://pbs.twimg.com/profile_images/805052311466897409/zHKEhdG9_normal.jpg" TargetMode="External"/><Relationship Id="rId3906" Type="http://schemas.openxmlformats.org/officeDocument/2006/relationships/hyperlink" Target="https://pbs.twimg.com/profile_images/805052311466897409/zHKEhdG9_normal.jpg" TargetMode="External"/><Relationship Id="rId3905" Type="http://schemas.openxmlformats.org/officeDocument/2006/relationships/hyperlink" Target="https://twitter.com/JAGreenhill/status/805408000190148608" TargetMode="External"/><Relationship Id="rId3908" Type="http://schemas.openxmlformats.org/officeDocument/2006/relationships/hyperlink" Target="https://twitter.com/VIBRASMAG/status/805408872580182016" TargetMode="External"/><Relationship Id="rId3907" Type="http://schemas.openxmlformats.org/officeDocument/2006/relationships/hyperlink" Target="https://twitter.com/VIBRASMAG" TargetMode="External"/><Relationship Id="rId3909" Type="http://schemas.openxmlformats.org/officeDocument/2006/relationships/hyperlink" Target="https://pbs.twimg.com/profile_images/672171390770941952/siVcaP1s_normal.jpg" TargetMode="External"/><Relationship Id="rId3931" Type="http://schemas.openxmlformats.org/officeDocument/2006/relationships/hyperlink" Target="https://twitter.com/alej_iglesias" TargetMode="External"/><Relationship Id="rId2600" Type="http://schemas.openxmlformats.org/officeDocument/2006/relationships/hyperlink" Target="https://pbs.twimg.com/profile_images/656385242819907584/6_e-4aUc_normal.jpg" TargetMode="External"/><Relationship Id="rId3930" Type="http://schemas.openxmlformats.org/officeDocument/2006/relationships/hyperlink" Target="https://pbs.twimg.com/profile_images/804650290771357700/bbd3se1j_normal.jpg" TargetMode="External"/><Relationship Id="rId2601" Type="http://schemas.openxmlformats.org/officeDocument/2006/relationships/hyperlink" Target="https://twitter.com/Lanzaroteba" TargetMode="External"/><Relationship Id="rId3933" Type="http://schemas.openxmlformats.org/officeDocument/2006/relationships/hyperlink" Target="https://pbs.twimg.com/profile_images/800473828589797376/DYDGByMg_normal.jpg" TargetMode="External"/><Relationship Id="rId2602" Type="http://schemas.openxmlformats.org/officeDocument/2006/relationships/hyperlink" Target="https://twitter.com/Lanzaroteba/status/804613949719277568" TargetMode="External"/><Relationship Id="rId3932" Type="http://schemas.openxmlformats.org/officeDocument/2006/relationships/hyperlink" Target="https://twitter.com/alej_iglesias/status/805423796152913920" TargetMode="External"/><Relationship Id="rId2603" Type="http://schemas.openxmlformats.org/officeDocument/2006/relationships/hyperlink" Target="https://pbs.twimg.com/profile_images/711838698464268288/wRTBEDbG_normal.jpg" TargetMode="External"/><Relationship Id="rId3935" Type="http://schemas.openxmlformats.org/officeDocument/2006/relationships/hyperlink" Target="https://twitter.com/mtglobaleventos/status/805434870310797313" TargetMode="External"/><Relationship Id="rId2604" Type="http://schemas.openxmlformats.org/officeDocument/2006/relationships/hyperlink" Target="https://twitter.com/CanaryIslandsEN" TargetMode="External"/><Relationship Id="rId3934" Type="http://schemas.openxmlformats.org/officeDocument/2006/relationships/hyperlink" Target="https://twitter.com/mtglobaleventos" TargetMode="External"/><Relationship Id="rId2605" Type="http://schemas.openxmlformats.org/officeDocument/2006/relationships/hyperlink" Target="https://twitter.com/CanaryIslandsEN/status/804616130472148992" TargetMode="External"/><Relationship Id="rId3937" Type="http://schemas.openxmlformats.org/officeDocument/2006/relationships/hyperlink" Target="https://twitter.com/YYZemily" TargetMode="External"/><Relationship Id="rId2606" Type="http://schemas.openxmlformats.org/officeDocument/2006/relationships/hyperlink" Target="https://pbs.twimg.com/profile_images/754960714704584704/14dQxsF8_normal.jpg" TargetMode="External"/><Relationship Id="rId3936" Type="http://schemas.openxmlformats.org/officeDocument/2006/relationships/hyperlink" Target="https://pbs.twimg.com/profile_images/689777556522807296/N4P7UsBq_normal.jpg" TargetMode="External"/><Relationship Id="rId808" Type="http://schemas.openxmlformats.org/officeDocument/2006/relationships/hyperlink" Target="https://twitter.com/maartenvangeest" TargetMode="External"/><Relationship Id="rId2607" Type="http://schemas.openxmlformats.org/officeDocument/2006/relationships/hyperlink" Target="https://twitter.com/Salamanca_SSV" TargetMode="External"/><Relationship Id="rId3939" Type="http://schemas.openxmlformats.org/officeDocument/2006/relationships/hyperlink" Target="https://pbs.twimg.com/profile_images/496655034483216385/u5_DwnWF_normal.jpeg" TargetMode="External"/><Relationship Id="rId807" Type="http://schemas.openxmlformats.org/officeDocument/2006/relationships/hyperlink" Target="https://pbs.twimg.com/profile_images/737393637311537152/WD0G8tgn_normal.jpg" TargetMode="External"/><Relationship Id="rId2608" Type="http://schemas.openxmlformats.org/officeDocument/2006/relationships/hyperlink" Target="https://twitter.com/Salamanca_SSV/status/804616824432316416" TargetMode="External"/><Relationship Id="rId3938" Type="http://schemas.openxmlformats.org/officeDocument/2006/relationships/hyperlink" Target="https://twitter.com/YYZemily/status/805436560858550274" TargetMode="External"/><Relationship Id="rId806" Type="http://schemas.openxmlformats.org/officeDocument/2006/relationships/hyperlink" Target="https://twitter.com/TheWildSide10/status/803300681192906752" TargetMode="External"/><Relationship Id="rId2609" Type="http://schemas.openxmlformats.org/officeDocument/2006/relationships/hyperlink" Target="https://pbs.twimg.com/profile_images/3461850627/70f1c6c744e939681691ad3a09d64375_normal.png" TargetMode="External"/><Relationship Id="rId805" Type="http://schemas.openxmlformats.org/officeDocument/2006/relationships/hyperlink" Target="https://twitter.com/TheWildSide10" TargetMode="External"/><Relationship Id="rId809" Type="http://schemas.openxmlformats.org/officeDocument/2006/relationships/hyperlink" Target="https://twitter.com/maartenvangeest/status/803301198690455553" TargetMode="External"/><Relationship Id="rId800" Type="http://schemas.openxmlformats.org/officeDocument/2006/relationships/hyperlink" Target="https://twitter.com/airports_hotels/status/803295399557660673" TargetMode="External"/><Relationship Id="rId804" Type="http://schemas.openxmlformats.org/officeDocument/2006/relationships/hyperlink" Target="https://pbs.twimg.com/profile_images/693709692636258304/yn-_xBGM_normal.png" TargetMode="External"/><Relationship Id="rId803" Type="http://schemas.openxmlformats.org/officeDocument/2006/relationships/hyperlink" Target="https://twitter.com/surferpulse/status/803300139418980353" TargetMode="External"/><Relationship Id="rId802" Type="http://schemas.openxmlformats.org/officeDocument/2006/relationships/hyperlink" Target="https://twitter.com/surferpulse" TargetMode="External"/><Relationship Id="rId801" Type="http://schemas.openxmlformats.org/officeDocument/2006/relationships/hyperlink" Target="https://pbs.twimg.com/profile_images/789169766342627332/b_eAAMe7_normal.jpg" TargetMode="External"/><Relationship Id="rId3920" Type="http://schemas.openxmlformats.org/officeDocument/2006/relationships/hyperlink" Target="https://twitter.com/jasodowd/status/805411943058116608" TargetMode="External"/><Relationship Id="rId3922" Type="http://schemas.openxmlformats.org/officeDocument/2006/relationships/hyperlink" Target="https://twitter.com/primeindusa" TargetMode="External"/><Relationship Id="rId3921" Type="http://schemas.openxmlformats.org/officeDocument/2006/relationships/hyperlink" Target="https://pbs.twimg.com/profile_images/796841784013967361/zT9yPVqi_normal.jpg" TargetMode="External"/><Relationship Id="rId3924" Type="http://schemas.openxmlformats.org/officeDocument/2006/relationships/hyperlink" Target="https://pbs.twimg.com/profile_images/578293692420608001/pDygS6K3_normal.png" TargetMode="External"/><Relationship Id="rId3923" Type="http://schemas.openxmlformats.org/officeDocument/2006/relationships/hyperlink" Target="https://twitter.com/primeindusa/status/805414956128673792" TargetMode="External"/><Relationship Id="rId3926" Type="http://schemas.openxmlformats.org/officeDocument/2006/relationships/hyperlink" Target="https://twitter.com/mrgaryhollywood/status/805415946752000000" TargetMode="External"/><Relationship Id="rId3925" Type="http://schemas.openxmlformats.org/officeDocument/2006/relationships/hyperlink" Target="https://twitter.com/mrgaryhollywood" TargetMode="External"/><Relationship Id="rId3928" Type="http://schemas.openxmlformats.org/officeDocument/2006/relationships/hyperlink" Target="https://twitter.com/jbboats" TargetMode="External"/><Relationship Id="rId3927" Type="http://schemas.openxmlformats.org/officeDocument/2006/relationships/hyperlink" Target="https://pbs.twimg.com/profile_images/768044411976646656/on8rcxYg_normal.jpg" TargetMode="External"/><Relationship Id="rId3929" Type="http://schemas.openxmlformats.org/officeDocument/2006/relationships/hyperlink" Target="https://twitter.com/jbboats/status/805416130022088704" TargetMode="External"/><Relationship Id="rId1334" Type="http://schemas.openxmlformats.org/officeDocument/2006/relationships/hyperlink" Target="https://pbs.twimg.com/profile_images/658032570182053891/ojmbF1Rw_normal.jpg" TargetMode="External"/><Relationship Id="rId2665" Type="http://schemas.openxmlformats.org/officeDocument/2006/relationships/hyperlink" Target="https://twitter.com/swisshop4uEs/status/804641484628697088" TargetMode="External"/><Relationship Id="rId3997" Type="http://schemas.openxmlformats.org/officeDocument/2006/relationships/hyperlink" Target="https://twitter.com/SmarkApps" TargetMode="External"/><Relationship Id="rId1335" Type="http://schemas.openxmlformats.org/officeDocument/2006/relationships/hyperlink" Target="https://twitter.com/Selhso" TargetMode="External"/><Relationship Id="rId2666" Type="http://schemas.openxmlformats.org/officeDocument/2006/relationships/hyperlink" Target="https://pbs.twimg.com/profile_images/378800000213382003/4f562b59f92995b884d2d440f71fc5ce_normal.png" TargetMode="External"/><Relationship Id="rId3996" Type="http://schemas.openxmlformats.org/officeDocument/2006/relationships/hyperlink" Target="https://pbs.twimg.com/profile_images/2483491820/Fotosiamo_Green_Dress_Style_At_30_normal.jpg" TargetMode="External"/><Relationship Id="rId1336" Type="http://schemas.openxmlformats.org/officeDocument/2006/relationships/hyperlink" Target="https://twitter.com/Selhso/status/803707738765328386" TargetMode="External"/><Relationship Id="rId2667" Type="http://schemas.openxmlformats.org/officeDocument/2006/relationships/hyperlink" Target="https://twitter.com/AirbusHC" TargetMode="External"/><Relationship Id="rId3999" Type="http://schemas.openxmlformats.org/officeDocument/2006/relationships/hyperlink" Target="https://pbs.twimg.com/profile_images/1185913189/logo_smark_normal.png" TargetMode="External"/><Relationship Id="rId1337" Type="http://schemas.openxmlformats.org/officeDocument/2006/relationships/hyperlink" Target="https://pbs.twimg.com/profile_images/800845512836579328/cKh_5hB2_normal.jpg" TargetMode="External"/><Relationship Id="rId2668" Type="http://schemas.openxmlformats.org/officeDocument/2006/relationships/hyperlink" Target="https://twitter.com/AirbusHC/status/804641945465274371" TargetMode="External"/><Relationship Id="rId3998" Type="http://schemas.openxmlformats.org/officeDocument/2006/relationships/hyperlink" Target="https://twitter.com/SmarkApps/status/805501123788423168" TargetMode="External"/><Relationship Id="rId1338" Type="http://schemas.openxmlformats.org/officeDocument/2006/relationships/hyperlink" Target="https://twitter.com/staysure" TargetMode="External"/><Relationship Id="rId2669" Type="http://schemas.openxmlformats.org/officeDocument/2006/relationships/hyperlink" Target="https://pbs.twimg.com/profile_images/755307814944464896/YJZXLHva_normal.jpg" TargetMode="External"/><Relationship Id="rId1339" Type="http://schemas.openxmlformats.org/officeDocument/2006/relationships/hyperlink" Target="https://twitter.com/staysure/status/803710206584688640" TargetMode="External"/><Relationship Id="rId745" Type="http://schemas.openxmlformats.org/officeDocument/2006/relationships/hyperlink" Target="https://twitter.com/bermaxo09" TargetMode="External"/><Relationship Id="rId744" Type="http://schemas.openxmlformats.org/officeDocument/2006/relationships/hyperlink" Target="https://pbs.twimg.com/profile_images/2784461956/37b6d95f5bcac37b93611f81029dd365_normal.jpeg" TargetMode="External"/><Relationship Id="rId743" Type="http://schemas.openxmlformats.org/officeDocument/2006/relationships/hyperlink" Target="https://twitter.com/bethgarrotxa/status/803267105869033472" TargetMode="External"/><Relationship Id="rId742" Type="http://schemas.openxmlformats.org/officeDocument/2006/relationships/hyperlink" Target="https://twitter.com/bethgarrotxa" TargetMode="External"/><Relationship Id="rId749" Type="http://schemas.openxmlformats.org/officeDocument/2006/relationships/hyperlink" Target="https://twitter.com/bethgarrotxa/status/803267745366167554" TargetMode="External"/><Relationship Id="rId748" Type="http://schemas.openxmlformats.org/officeDocument/2006/relationships/hyperlink" Target="https://twitter.com/bethgarrotxa" TargetMode="External"/><Relationship Id="rId747" Type="http://schemas.openxmlformats.org/officeDocument/2006/relationships/hyperlink" Target="https://pbs.twimg.com/profile_images/798476790478073856/iOD0HIRa_normal.jpg" TargetMode="External"/><Relationship Id="rId746" Type="http://schemas.openxmlformats.org/officeDocument/2006/relationships/hyperlink" Target="https://twitter.com/bermaxo09/status/803267712919207936" TargetMode="External"/><Relationship Id="rId3991" Type="http://schemas.openxmlformats.org/officeDocument/2006/relationships/hyperlink" Target="https://twitter.com/AlexeevKyrill" TargetMode="External"/><Relationship Id="rId2660" Type="http://schemas.openxmlformats.org/officeDocument/2006/relationships/hyperlink" Target="https://pbs.twimg.com/profile_images/684372808869240832/muxt3lOJ_normal.jpg" TargetMode="External"/><Relationship Id="rId3990" Type="http://schemas.openxmlformats.org/officeDocument/2006/relationships/hyperlink" Target="https://pbs.twimg.com/profile_images/657142929920794624/Z8UQpOEp_normal.jpg" TargetMode="External"/><Relationship Id="rId741" Type="http://schemas.openxmlformats.org/officeDocument/2006/relationships/hyperlink" Target="https://pbs.twimg.com/profile_images/779785036996415489/a2nilB1d_normal.jpg" TargetMode="External"/><Relationship Id="rId1330" Type="http://schemas.openxmlformats.org/officeDocument/2006/relationships/hyperlink" Target="https://twitter.com/islaspromo/status/803701500451098624" TargetMode="External"/><Relationship Id="rId2661" Type="http://schemas.openxmlformats.org/officeDocument/2006/relationships/hyperlink" Target="https://twitter.com/wallacearnold22" TargetMode="External"/><Relationship Id="rId3993" Type="http://schemas.openxmlformats.org/officeDocument/2006/relationships/hyperlink" Target="https://pbs.twimg.com/profile_images/486152080852537345/VYETXSc__normal.jpeg" TargetMode="External"/><Relationship Id="rId740" Type="http://schemas.openxmlformats.org/officeDocument/2006/relationships/hyperlink" Target="https://twitter.com/elastword/status/803266716478439424" TargetMode="External"/><Relationship Id="rId1331" Type="http://schemas.openxmlformats.org/officeDocument/2006/relationships/hyperlink" Target="https://pbs.twimg.com/profile_images/570644453866483712/dvbC2x8W_normal.jpeg" TargetMode="External"/><Relationship Id="rId2662" Type="http://schemas.openxmlformats.org/officeDocument/2006/relationships/hyperlink" Target="https://twitter.com/wallacearnold22/status/804640332776439808" TargetMode="External"/><Relationship Id="rId3992" Type="http://schemas.openxmlformats.org/officeDocument/2006/relationships/hyperlink" Target="https://twitter.com/AlexeevKyrill/status/805483717825363970" TargetMode="External"/><Relationship Id="rId1332" Type="http://schemas.openxmlformats.org/officeDocument/2006/relationships/hyperlink" Target="https://twitter.com/candediselo" TargetMode="External"/><Relationship Id="rId2663" Type="http://schemas.openxmlformats.org/officeDocument/2006/relationships/hyperlink" Target="https://pbs.twimg.com/profile_images/660112238225842176/M94GADEz_normal.jpg" TargetMode="External"/><Relationship Id="rId3995" Type="http://schemas.openxmlformats.org/officeDocument/2006/relationships/hyperlink" Target="https://twitter.com/StyleAt30/status/805494722345238528" TargetMode="External"/><Relationship Id="rId1333" Type="http://schemas.openxmlformats.org/officeDocument/2006/relationships/hyperlink" Target="https://twitter.com/candediselo/status/803702496938037249" TargetMode="External"/><Relationship Id="rId2664" Type="http://schemas.openxmlformats.org/officeDocument/2006/relationships/hyperlink" Target="https://twitter.com/swisshop4uEs" TargetMode="External"/><Relationship Id="rId3994" Type="http://schemas.openxmlformats.org/officeDocument/2006/relationships/hyperlink" Target="https://twitter.com/StyleAt30" TargetMode="External"/><Relationship Id="rId1323" Type="http://schemas.openxmlformats.org/officeDocument/2006/relationships/hyperlink" Target="https://twitter.com/comdebra2006" TargetMode="External"/><Relationship Id="rId2654" Type="http://schemas.openxmlformats.org/officeDocument/2006/relationships/hyperlink" Target="https://pbs.twimg.com/profile_images/698918327251390464/PrG5YIDa_normal.jpg" TargetMode="External"/><Relationship Id="rId3986" Type="http://schemas.openxmlformats.org/officeDocument/2006/relationships/hyperlink" Target="https://twitter.com/snookie66/status/805482687142182912" TargetMode="External"/><Relationship Id="rId1324" Type="http://schemas.openxmlformats.org/officeDocument/2006/relationships/hyperlink" Target="https://twitter.com/comdebra2006/status/803700644322283520" TargetMode="External"/><Relationship Id="rId2655" Type="http://schemas.openxmlformats.org/officeDocument/2006/relationships/hyperlink" Target="https://twitter.com/Perkui" TargetMode="External"/><Relationship Id="rId3985" Type="http://schemas.openxmlformats.org/officeDocument/2006/relationships/hyperlink" Target="https://twitter.com/snookie66" TargetMode="External"/><Relationship Id="rId1325" Type="http://schemas.openxmlformats.org/officeDocument/2006/relationships/hyperlink" Target="https://pbs.twimg.com/profile_images/743414692287242240/J-jCpJUy_normal.jpg" TargetMode="External"/><Relationship Id="rId2656" Type="http://schemas.openxmlformats.org/officeDocument/2006/relationships/hyperlink" Target="https://twitter.com/Perkui/status/804638813226225664" TargetMode="External"/><Relationship Id="rId3988" Type="http://schemas.openxmlformats.org/officeDocument/2006/relationships/hyperlink" Target="https://twitter.com/AlexBramwellGC" TargetMode="External"/><Relationship Id="rId1326" Type="http://schemas.openxmlformats.org/officeDocument/2006/relationships/hyperlink" Target="https://twitter.com/islaspromo" TargetMode="External"/><Relationship Id="rId2657" Type="http://schemas.openxmlformats.org/officeDocument/2006/relationships/hyperlink" Target="https://pbs.twimg.com/profile_images/1281914135/Imagenes_Pepe_023_normal.jpg" TargetMode="External"/><Relationship Id="rId3987" Type="http://schemas.openxmlformats.org/officeDocument/2006/relationships/hyperlink" Target="https://abs.twimg.com/sticky/default_profile_images/default_profile_5_normal.png" TargetMode="External"/><Relationship Id="rId1327" Type="http://schemas.openxmlformats.org/officeDocument/2006/relationships/hyperlink" Target="https://twitter.com/islaspromo/status/803700983767429121" TargetMode="External"/><Relationship Id="rId2658" Type="http://schemas.openxmlformats.org/officeDocument/2006/relationships/hyperlink" Target="https://twitter.com/AlmunecarInfo" TargetMode="External"/><Relationship Id="rId1328" Type="http://schemas.openxmlformats.org/officeDocument/2006/relationships/hyperlink" Target="https://pbs.twimg.com/profile_images/570644453866483712/dvbC2x8W_normal.jpeg" TargetMode="External"/><Relationship Id="rId2659" Type="http://schemas.openxmlformats.org/officeDocument/2006/relationships/hyperlink" Target="https://twitter.com/AlmunecarInfo/status/804639456057638912" TargetMode="External"/><Relationship Id="rId3989" Type="http://schemas.openxmlformats.org/officeDocument/2006/relationships/hyperlink" Target="https://twitter.com/AlexBramwellGC/status/805483142031228928" TargetMode="External"/><Relationship Id="rId1329" Type="http://schemas.openxmlformats.org/officeDocument/2006/relationships/hyperlink" Target="https://twitter.com/islaspromo" TargetMode="External"/><Relationship Id="rId739" Type="http://schemas.openxmlformats.org/officeDocument/2006/relationships/hyperlink" Target="https://twitter.com/elastword" TargetMode="External"/><Relationship Id="rId734" Type="http://schemas.openxmlformats.org/officeDocument/2006/relationships/hyperlink" Target="https://twitter.com/elastword/status/803265091219099652" TargetMode="External"/><Relationship Id="rId733" Type="http://schemas.openxmlformats.org/officeDocument/2006/relationships/hyperlink" Target="https://twitter.com/elastword" TargetMode="External"/><Relationship Id="rId732" Type="http://schemas.openxmlformats.org/officeDocument/2006/relationships/hyperlink" Target="https://pbs.twimg.com/profile_images/594849217207783424/B0s_fVfD_normal.png" TargetMode="External"/><Relationship Id="rId731" Type="http://schemas.openxmlformats.org/officeDocument/2006/relationships/hyperlink" Target="https://twitter.com/ChicodeHojalata/status/803263563850620928" TargetMode="External"/><Relationship Id="rId738" Type="http://schemas.openxmlformats.org/officeDocument/2006/relationships/hyperlink" Target="https://pbs.twimg.com/profile_images/779785036996415489/a2nilB1d_normal.jpg" TargetMode="External"/><Relationship Id="rId737" Type="http://schemas.openxmlformats.org/officeDocument/2006/relationships/hyperlink" Target="https://twitter.com/elastword/status/803266227326033920" TargetMode="External"/><Relationship Id="rId736" Type="http://schemas.openxmlformats.org/officeDocument/2006/relationships/hyperlink" Target="https://twitter.com/elastword" TargetMode="External"/><Relationship Id="rId735" Type="http://schemas.openxmlformats.org/officeDocument/2006/relationships/hyperlink" Target="https://pbs.twimg.com/profile_images/779785036996415489/a2nilB1d_normal.jpg" TargetMode="External"/><Relationship Id="rId3980" Type="http://schemas.openxmlformats.org/officeDocument/2006/relationships/hyperlink" Target="https://twitter.com/HineMathieu/status/805465590957740032" TargetMode="External"/><Relationship Id="rId730" Type="http://schemas.openxmlformats.org/officeDocument/2006/relationships/hyperlink" Target="https://twitter.com/ChicodeHojalata" TargetMode="External"/><Relationship Id="rId2650" Type="http://schemas.openxmlformats.org/officeDocument/2006/relationships/hyperlink" Target="https://twitter.com/TheCanaryNews/status/804635993416597508" TargetMode="External"/><Relationship Id="rId3982" Type="http://schemas.openxmlformats.org/officeDocument/2006/relationships/hyperlink" Target="https://twitter.com/wineblogman" TargetMode="External"/><Relationship Id="rId1320" Type="http://schemas.openxmlformats.org/officeDocument/2006/relationships/hyperlink" Target="https://twitter.com/GeoCanaries7" TargetMode="External"/><Relationship Id="rId2651" Type="http://schemas.openxmlformats.org/officeDocument/2006/relationships/hyperlink" Target="https://pbs.twimg.com/profile_images/422427750876463104/qmjyKloM_normal.png" TargetMode="External"/><Relationship Id="rId3981" Type="http://schemas.openxmlformats.org/officeDocument/2006/relationships/hyperlink" Target="https://pbs.twimg.com/profile_images/686294757140770818/FcZn6ACh_normal.jpg" TargetMode="External"/><Relationship Id="rId1321" Type="http://schemas.openxmlformats.org/officeDocument/2006/relationships/hyperlink" Target="https://twitter.com/GeoCanaries7/status/803700442404454400" TargetMode="External"/><Relationship Id="rId2652" Type="http://schemas.openxmlformats.org/officeDocument/2006/relationships/hyperlink" Target="https://twitter.com/JamesRossBooks" TargetMode="External"/><Relationship Id="rId3984" Type="http://schemas.openxmlformats.org/officeDocument/2006/relationships/hyperlink" Target="https://pbs.twimg.com/profile_images/1193582720/W_cellar_inside.Twit_normal.jpg" TargetMode="External"/><Relationship Id="rId1322" Type="http://schemas.openxmlformats.org/officeDocument/2006/relationships/hyperlink" Target="https://pbs.twimg.com/profile_images/590070926273810432/Bly2LJQV_normal.jpg" TargetMode="External"/><Relationship Id="rId2653" Type="http://schemas.openxmlformats.org/officeDocument/2006/relationships/hyperlink" Target="https://twitter.com/JamesRossBooks/status/804636822622130176" TargetMode="External"/><Relationship Id="rId3983" Type="http://schemas.openxmlformats.org/officeDocument/2006/relationships/hyperlink" Target="https://twitter.com/wineblogman/status/805471816093343744" TargetMode="External"/><Relationship Id="rId1356" Type="http://schemas.openxmlformats.org/officeDocument/2006/relationships/hyperlink" Target="https://twitter.com/holyber" TargetMode="External"/><Relationship Id="rId2687" Type="http://schemas.openxmlformats.org/officeDocument/2006/relationships/hyperlink" Target="https://pbs.twimg.com/profile_images/668772894286217216/duOcinvQ_normal.jpg" TargetMode="External"/><Relationship Id="rId1357" Type="http://schemas.openxmlformats.org/officeDocument/2006/relationships/hyperlink" Target="https://twitter.com/holyber/status/803724302738718720" TargetMode="External"/><Relationship Id="rId2688" Type="http://schemas.openxmlformats.org/officeDocument/2006/relationships/hyperlink" Target="https://twitter.com/kcs39194" TargetMode="External"/><Relationship Id="rId1358" Type="http://schemas.openxmlformats.org/officeDocument/2006/relationships/hyperlink" Target="https://pbs.twimg.com/profile_images/475644614448123904/FiCl2pX4_normal.jpeg" TargetMode="External"/><Relationship Id="rId2689" Type="http://schemas.openxmlformats.org/officeDocument/2006/relationships/hyperlink" Target="https://twitter.com/kcs39194/status/804644149341192192" TargetMode="External"/><Relationship Id="rId1359" Type="http://schemas.openxmlformats.org/officeDocument/2006/relationships/hyperlink" Target="https://twitter.com/manuelcarranco" TargetMode="External"/><Relationship Id="rId767" Type="http://schemas.openxmlformats.org/officeDocument/2006/relationships/hyperlink" Target="https://twitter.com/elastword/status/803269489685106688" TargetMode="External"/><Relationship Id="rId766" Type="http://schemas.openxmlformats.org/officeDocument/2006/relationships/hyperlink" Target="https://twitter.com/elastword" TargetMode="External"/><Relationship Id="rId765" Type="http://schemas.openxmlformats.org/officeDocument/2006/relationships/hyperlink" Target="https://pbs.twimg.com/profile_images/798476790478073856/iOD0HIRa_normal.jpg" TargetMode="External"/><Relationship Id="rId764" Type="http://schemas.openxmlformats.org/officeDocument/2006/relationships/hyperlink" Target="https://twitter.com/bermaxo09/status/803269086251810820" TargetMode="External"/><Relationship Id="rId769" Type="http://schemas.openxmlformats.org/officeDocument/2006/relationships/hyperlink" Target="https://twitter.com/bermaxo09" TargetMode="External"/><Relationship Id="rId768" Type="http://schemas.openxmlformats.org/officeDocument/2006/relationships/hyperlink" Target="https://pbs.twimg.com/profile_images/779785036996415489/a2nilB1d_normal.jpg" TargetMode="External"/><Relationship Id="rId2680" Type="http://schemas.openxmlformats.org/officeDocument/2006/relationships/hyperlink" Target="https://twitter.com/lapalma24/status/804643053197754368" TargetMode="External"/><Relationship Id="rId1350" Type="http://schemas.openxmlformats.org/officeDocument/2006/relationships/hyperlink" Target="https://twitter.com/bsaraccini" TargetMode="External"/><Relationship Id="rId2681" Type="http://schemas.openxmlformats.org/officeDocument/2006/relationships/hyperlink" Target="https://pbs.twimg.com/profile_images/3722341784/fa39d69a57bac26ec686d40f2bbf96ad_normal.jpeg" TargetMode="External"/><Relationship Id="rId1351" Type="http://schemas.openxmlformats.org/officeDocument/2006/relationships/hyperlink" Target="https://twitter.com/bsaraccini/status/803716483826257922" TargetMode="External"/><Relationship Id="rId2682" Type="http://schemas.openxmlformats.org/officeDocument/2006/relationships/hyperlink" Target="https://twitter.com/KayakBak" TargetMode="External"/><Relationship Id="rId763" Type="http://schemas.openxmlformats.org/officeDocument/2006/relationships/hyperlink" Target="https://twitter.com/bermaxo09" TargetMode="External"/><Relationship Id="rId1352" Type="http://schemas.openxmlformats.org/officeDocument/2006/relationships/hyperlink" Target="https://pbs.twimg.com/profile_images/1795111589/DSCN2942_normal.JPG" TargetMode="External"/><Relationship Id="rId2683" Type="http://schemas.openxmlformats.org/officeDocument/2006/relationships/hyperlink" Target="https://twitter.com/KayakBak/status/804643774160916480" TargetMode="External"/><Relationship Id="rId762" Type="http://schemas.openxmlformats.org/officeDocument/2006/relationships/hyperlink" Target="https://pbs.twimg.com/profile_images/779785036996415489/a2nilB1d_normal.jpg" TargetMode="External"/><Relationship Id="rId1353" Type="http://schemas.openxmlformats.org/officeDocument/2006/relationships/hyperlink" Target="https://twitter.com/PCHTENERIFE" TargetMode="External"/><Relationship Id="rId2684" Type="http://schemas.openxmlformats.org/officeDocument/2006/relationships/hyperlink" Target="https://pbs.twimg.com/profile_images/694242395123236864/1Shv44NL_normal.jpg" TargetMode="External"/><Relationship Id="rId761" Type="http://schemas.openxmlformats.org/officeDocument/2006/relationships/hyperlink" Target="https://twitter.com/elastword/status/803268968278593536" TargetMode="External"/><Relationship Id="rId1354" Type="http://schemas.openxmlformats.org/officeDocument/2006/relationships/hyperlink" Target="https://twitter.com/PCHTENERIFE/status/803724180021768192" TargetMode="External"/><Relationship Id="rId2685" Type="http://schemas.openxmlformats.org/officeDocument/2006/relationships/hyperlink" Target="https://twitter.com/AirbusDS" TargetMode="External"/><Relationship Id="rId760" Type="http://schemas.openxmlformats.org/officeDocument/2006/relationships/hyperlink" Target="https://twitter.com/elastword" TargetMode="External"/><Relationship Id="rId1355" Type="http://schemas.openxmlformats.org/officeDocument/2006/relationships/hyperlink" Target="https://pbs.twimg.com/profile_images/448458865/PALMERA_normal.jpg" TargetMode="External"/><Relationship Id="rId2686" Type="http://schemas.openxmlformats.org/officeDocument/2006/relationships/hyperlink" Target="https://twitter.com/AirbusDS/status/804643938699190272" TargetMode="External"/><Relationship Id="rId1345" Type="http://schemas.openxmlformats.org/officeDocument/2006/relationships/hyperlink" Target="https://twitter.com/swisshop4uEs/status/803713079271890945" TargetMode="External"/><Relationship Id="rId2676" Type="http://schemas.openxmlformats.org/officeDocument/2006/relationships/hyperlink" Target="https://twitter.com/Prukfi" TargetMode="External"/><Relationship Id="rId1346" Type="http://schemas.openxmlformats.org/officeDocument/2006/relationships/hyperlink" Target="https://pbs.twimg.com/profile_images/378800000213382003/4f562b59f92995b884d2d440f71fc5ce_normal.png" TargetMode="External"/><Relationship Id="rId2677" Type="http://schemas.openxmlformats.org/officeDocument/2006/relationships/hyperlink" Target="https://twitter.com/Prukfi/status/804642652528541696" TargetMode="External"/><Relationship Id="rId1347" Type="http://schemas.openxmlformats.org/officeDocument/2006/relationships/hyperlink" Target="https://twitter.com/raquelmsfoto" TargetMode="External"/><Relationship Id="rId2678" Type="http://schemas.openxmlformats.org/officeDocument/2006/relationships/hyperlink" Target="https://pbs.twimg.com/profile_images/668394064212021248/-jk0X1qH_normal.jpg" TargetMode="External"/><Relationship Id="rId1348" Type="http://schemas.openxmlformats.org/officeDocument/2006/relationships/hyperlink" Target="https://twitter.com/raquelmsfoto/status/803715508063338496" TargetMode="External"/><Relationship Id="rId2679" Type="http://schemas.openxmlformats.org/officeDocument/2006/relationships/hyperlink" Target="https://twitter.com/lapalma24" TargetMode="External"/><Relationship Id="rId1349" Type="http://schemas.openxmlformats.org/officeDocument/2006/relationships/hyperlink" Target="https://pbs.twimg.com/profile_images/661860505280077824/64Ws0Ssm_normal.jpg" TargetMode="External"/><Relationship Id="rId756" Type="http://schemas.openxmlformats.org/officeDocument/2006/relationships/hyperlink" Target="https://pbs.twimg.com/profile_images/779785036996415489/a2nilB1d_normal.jpg" TargetMode="External"/><Relationship Id="rId755" Type="http://schemas.openxmlformats.org/officeDocument/2006/relationships/hyperlink" Target="https://twitter.com/elastword/status/803268388588048384" TargetMode="External"/><Relationship Id="rId754" Type="http://schemas.openxmlformats.org/officeDocument/2006/relationships/hyperlink" Target="https://twitter.com/elastword" TargetMode="External"/><Relationship Id="rId753" Type="http://schemas.openxmlformats.org/officeDocument/2006/relationships/hyperlink" Target="https://pbs.twimg.com/profile_images/779785036996415489/a2nilB1d_normal.jpg" TargetMode="External"/><Relationship Id="rId759" Type="http://schemas.openxmlformats.org/officeDocument/2006/relationships/hyperlink" Target="https://pbs.twimg.com/profile_images/798476790478073856/iOD0HIRa_normal.jpg" TargetMode="External"/><Relationship Id="rId758" Type="http://schemas.openxmlformats.org/officeDocument/2006/relationships/hyperlink" Target="https://twitter.com/bermaxo09/status/803268480879460352" TargetMode="External"/><Relationship Id="rId757" Type="http://schemas.openxmlformats.org/officeDocument/2006/relationships/hyperlink" Target="https://twitter.com/bermaxo09" TargetMode="External"/><Relationship Id="rId2670" Type="http://schemas.openxmlformats.org/officeDocument/2006/relationships/hyperlink" Target="https://twitter.com/jlrios04" TargetMode="External"/><Relationship Id="rId1340" Type="http://schemas.openxmlformats.org/officeDocument/2006/relationships/hyperlink" Target="https://pbs.twimg.com/profile_images/458967659401330688/3F-D0CRc_normal.jpeg" TargetMode="External"/><Relationship Id="rId2671" Type="http://schemas.openxmlformats.org/officeDocument/2006/relationships/hyperlink" Target="https://twitter.com/jlrios04/status/804642356972716032" TargetMode="External"/><Relationship Id="rId752" Type="http://schemas.openxmlformats.org/officeDocument/2006/relationships/hyperlink" Target="https://twitter.com/elastword/status/803267920000352257" TargetMode="External"/><Relationship Id="rId1341" Type="http://schemas.openxmlformats.org/officeDocument/2006/relationships/hyperlink" Target="https://twitter.com/paisajecanario" TargetMode="External"/><Relationship Id="rId2672" Type="http://schemas.openxmlformats.org/officeDocument/2006/relationships/hyperlink" Target="https://pbs.twimg.com/profile_images/771955443782578176/HnTKDsYe_normal.jpg" TargetMode="External"/><Relationship Id="rId751" Type="http://schemas.openxmlformats.org/officeDocument/2006/relationships/hyperlink" Target="https://twitter.com/elastword" TargetMode="External"/><Relationship Id="rId1342" Type="http://schemas.openxmlformats.org/officeDocument/2006/relationships/hyperlink" Target="https://twitter.com/paisajecanario/status/803711583939678208" TargetMode="External"/><Relationship Id="rId2673" Type="http://schemas.openxmlformats.org/officeDocument/2006/relationships/hyperlink" Target="https://twitter.com/H225News" TargetMode="External"/><Relationship Id="rId750" Type="http://schemas.openxmlformats.org/officeDocument/2006/relationships/hyperlink" Target="https://pbs.twimg.com/profile_images/2784461956/37b6d95f5bcac37b93611f81029dd365_normal.jpeg" TargetMode="External"/><Relationship Id="rId1343" Type="http://schemas.openxmlformats.org/officeDocument/2006/relationships/hyperlink" Target="https://pbs.twimg.com/profile_images/789364630850240512/Mw90qAlM_normal.jpg" TargetMode="External"/><Relationship Id="rId2674" Type="http://schemas.openxmlformats.org/officeDocument/2006/relationships/hyperlink" Target="https://twitter.com/H225News/status/804642641728180224" TargetMode="External"/><Relationship Id="rId1344" Type="http://schemas.openxmlformats.org/officeDocument/2006/relationships/hyperlink" Target="https://twitter.com/swisshop4uEs" TargetMode="External"/><Relationship Id="rId2675" Type="http://schemas.openxmlformats.org/officeDocument/2006/relationships/hyperlink" Target="https://pbs.twimg.com/profile_images/799610378107973632/GLDhXEZb_normal.jpg" TargetMode="External"/><Relationship Id="rId2621" Type="http://schemas.openxmlformats.org/officeDocument/2006/relationships/hyperlink" Target="https://pbs.twimg.com/profile_images/540912800969666560/E4GNfI2Q_normal.jpeg" TargetMode="External"/><Relationship Id="rId3953" Type="http://schemas.openxmlformats.org/officeDocument/2006/relationships/hyperlink" Target="https://twitter.com/JazzyDolphin/status/805452135211106306" TargetMode="External"/><Relationship Id="rId2622" Type="http://schemas.openxmlformats.org/officeDocument/2006/relationships/hyperlink" Target="https://twitter.com/xavifillol" TargetMode="External"/><Relationship Id="rId3952" Type="http://schemas.openxmlformats.org/officeDocument/2006/relationships/hyperlink" Target="https://twitter.com/JazzyDolphin" TargetMode="External"/><Relationship Id="rId2623" Type="http://schemas.openxmlformats.org/officeDocument/2006/relationships/hyperlink" Target="https://twitter.com/xavifillol/status/804621367152967680" TargetMode="External"/><Relationship Id="rId3955" Type="http://schemas.openxmlformats.org/officeDocument/2006/relationships/hyperlink" Target="https://twitter.com/RakheeV" TargetMode="External"/><Relationship Id="rId2624" Type="http://schemas.openxmlformats.org/officeDocument/2006/relationships/hyperlink" Target="https://pbs.twimg.com/profile_images/749342121639968768/xqz2UqLW_normal.jpg" TargetMode="External"/><Relationship Id="rId3954" Type="http://schemas.openxmlformats.org/officeDocument/2006/relationships/hyperlink" Target="https://pbs.twimg.com/profile_images/804759746741997569/RcyEsAed_normal.jpg" TargetMode="External"/><Relationship Id="rId2625" Type="http://schemas.openxmlformats.org/officeDocument/2006/relationships/hyperlink" Target="https://twitter.com/TwiTenerifeGolf" TargetMode="External"/><Relationship Id="rId3957" Type="http://schemas.openxmlformats.org/officeDocument/2006/relationships/hyperlink" Target="https://pbs.twimg.com/profile_images/742026136801161217/evJgSUlG_normal.jpg" TargetMode="External"/><Relationship Id="rId2626" Type="http://schemas.openxmlformats.org/officeDocument/2006/relationships/hyperlink" Target="https://twitter.com/TwiTenerifeGolf/status/804623768207454209" TargetMode="External"/><Relationship Id="rId3956" Type="http://schemas.openxmlformats.org/officeDocument/2006/relationships/hyperlink" Target="https://twitter.com/RakheeV/status/805454723314688000" TargetMode="External"/><Relationship Id="rId2627" Type="http://schemas.openxmlformats.org/officeDocument/2006/relationships/hyperlink" Target="https://pbs.twimg.com/profile_images/723156330673000448/xa2FT8Re_normal.jpg" TargetMode="External"/><Relationship Id="rId3959" Type="http://schemas.openxmlformats.org/officeDocument/2006/relationships/hyperlink" Target="https://twitter.com/h0t_p0ppy/status/805458535303757824" TargetMode="External"/><Relationship Id="rId2628" Type="http://schemas.openxmlformats.org/officeDocument/2006/relationships/hyperlink" Target="https://twitter.com/KeyserSoSo" TargetMode="External"/><Relationship Id="rId3958" Type="http://schemas.openxmlformats.org/officeDocument/2006/relationships/hyperlink" Target="https://twitter.com/h0t_p0ppy" TargetMode="External"/><Relationship Id="rId709" Type="http://schemas.openxmlformats.org/officeDocument/2006/relationships/hyperlink" Target="https://twitter.com/zuemartinez" TargetMode="External"/><Relationship Id="rId2629" Type="http://schemas.openxmlformats.org/officeDocument/2006/relationships/hyperlink" Target="https://twitter.com/KeyserSoSo/status/804624479779438592" TargetMode="External"/><Relationship Id="rId708" Type="http://schemas.openxmlformats.org/officeDocument/2006/relationships/hyperlink" Target="https://pbs.twimg.com/profile_images/753537830752845824/CAcHgdYu_normal.jpg" TargetMode="External"/><Relationship Id="rId707" Type="http://schemas.openxmlformats.org/officeDocument/2006/relationships/hyperlink" Target="https://twitter.com/auto_reisen/status/803250309074063361" TargetMode="External"/><Relationship Id="rId706" Type="http://schemas.openxmlformats.org/officeDocument/2006/relationships/hyperlink" Target="https://twitter.com/auto_reisen" TargetMode="External"/><Relationship Id="rId701" Type="http://schemas.openxmlformats.org/officeDocument/2006/relationships/hyperlink" Target="https://twitter.com/followthephins/status/803249736321028100" TargetMode="External"/><Relationship Id="rId700" Type="http://schemas.openxmlformats.org/officeDocument/2006/relationships/hyperlink" Target="https://twitter.com/followthephins" TargetMode="External"/><Relationship Id="rId705" Type="http://schemas.openxmlformats.org/officeDocument/2006/relationships/hyperlink" Target="https://pbs.twimg.com/profile_images/781113650266374144/OCyo00c5_normal.jpg" TargetMode="External"/><Relationship Id="rId704" Type="http://schemas.openxmlformats.org/officeDocument/2006/relationships/hyperlink" Target="https://twitter.com/rafamolinalele/status/803249962138083328" TargetMode="External"/><Relationship Id="rId703" Type="http://schemas.openxmlformats.org/officeDocument/2006/relationships/hyperlink" Target="https://twitter.com/rafamolinalele" TargetMode="External"/><Relationship Id="rId702" Type="http://schemas.openxmlformats.org/officeDocument/2006/relationships/hyperlink" Target="https://pbs.twimg.com/profile_images/778046062971846656/8vbR0CZd_normal.jpg" TargetMode="External"/><Relationship Id="rId3951" Type="http://schemas.openxmlformats.org/officeDocument/2006/relationships/hyperlink" Target="https://pbs.twimg.com/profile_images/769835182048284672/mJQJt196_normal.jpg" TargetMode="External"/><Relationship Id="rId2620" Type="http://schemas.openxmlformats.org/officeDocument/2006/relationships/hyperlink" Target="https://twitter.com/Centro_ApPROBA/status/804621148436725760" TargetMode="External"/><Relationship Id="rId3950" Type="http://schemas.openxmlformats.org/officeDocument/2006/relationships/hyperlink" Target="https://twitter.com/NAILEEchic/status/805446900749074432" TargetMode="External"/><Relationship Id="rId2610" Type="http://schemas.openxmlformats.org/officeDocument/2006/relationships/hyperlink" Target="https://twitter.com/alvarofb23" TargetMode="External"/><Relationship Id="rId3942" Type="http://schemas.openxmlformats.org/officeDocument/2006/relationships/hyperlink" Target="https://pbs.twimg.com/profile_images/613314808054685696/ALe2jb0q_normal.jpg" TargetMode="External"/><Relationship Id="rId2611" Type="http://schemas.openxmlformats.org/officeDocument/2006/relationships/hyperlink" Target="https://twitter.com/alvarofb23/status/804618089300115456" TargetMode="External"/><Relationship Id="rId3941" Type="http://schemas.openxmlformats.org/officeDocument/2006/relationships/hyperlink" Target="https://twitter.com/lasalsadelavida/status/805437157632524289" TargetMode="External"/><Relationship Id="rId2612" Type="http://schemas.openxmlformats.org/officeDocument/2006/relationships/hyperlink" Target="https://pbs.twimg.com/profile_images/804651131787997184/H2OEoyo1_normal.jpg" TargetMode="External"/><Relationship Id="rId3944" Type="http://schemas.openxmlformats.org/officeDocument/2006/relationships/hyperlink" Target="https://twitter.com/MorioMemento/status/805437699251433475" TargetMode="External"/><Relationship Id="rId2613" Type="http://schemas.openxmlformats.org/officeDocument/2006/relationships/hyperlink" Target="https://twitter.com/alvarofb23" TargetMode="External"/><Relationship Id="rId3943" Type="http://schemas.openxmlformats.org/officeDocument/2006/relationships/hyperlink" Target="https://twitter.com/MorioMemento" TargetMode="External"/><Relationship Id="rId2614" Type="http://schemas.openxmlformats.org/officeDocument/2006/relationships/hyperlink" Target="https://twitter.com/alvarofb23/status/804618148834082816" TargetMode="External"/><Relationship Id="rId3946" Type="http://schemas.openxmlformats.org/officeDocument/2006/relationships/hyperlink" Target="https://twitter.com/hiromimaruno" TargetMode="External"/><Relationship Id="rId2615" Type="http://schemas.openxmlformats.org/officeDocument/2006/relationships/hyperlink" Target="https://pbs.twimg.com/profile_images/804651131787997184/H2OEoyo1_normal.jpg" TargetMode="External"/><Relationship Id="rId3945" Type="http://schemas.openxmlformats.org/officeDocument/2006/relationships/hyperlink" Target="https://pbs.twimg.com/profile_images/805840541409800195/2m7_Um-i_normal.jpg" TargetMode="External"/><Relationship Id="rId2616" Type="http://schemas.openxmlformats.org/officeDocument/2006/relationships/hyperlink" Target="https://twitter.com/liliana_dorina" TargetMode="External"/><Relationship Id="rId3948" Type="http://schemas.openxmlformats.org/officeDocument/2006/relationships/hyperlink" Target="https://pbs.twimg.com/profile_images/779475208415637504/Nc3NPrZ4_normal.jpg" TargetMode="External"/><Relationship Id="rId2617" Type="http://schemas.openxmlformats.org/officeDocument/2006/relationships/hyperlink" Target="https://twitter.com/liliana_dorina/status/804620970333978625" TargetMode="External"/><Relationship Id="rId3947" Type="http://schemas.openxmlformats.org/officeDocument/2006/relationships/hyperlink" Target="https://twitter.com/hiromimaruno/status/805437832273784832" TargetMode="External"/><Relationship Id="rId2618" Type="http://schemas.openxmlformats.org/officeDocument/2006/relationships/hyperlink" Target="https://pbs.twimg.com/profile_images/652527620391837696/hw51Y2Qv_normal.jpg" TargetMode="External"/><Relationship Id="rId2619" Type="http://schemas.openxmlformats.org/officeDocument/2006/relationships/hyperlink" Target="https://twitter.com/Centro_ApPROBA" TargetMode="External"/><Relationship Id="rId3949" Type="http://schemas.openxmlformats.org/officeDocument/2006/relationships/hyperlink" Target="https://twitter.com/NAILEEchic" TargetMode="External"/><Relationship Id="rId3940" Type="http://schemas.openxmlformats.org/officeDocument/2006/relationships/hyperlink" Target="https://twitter.com/lasalsadelavida" TargetMode="External"/><Relationship Id="rId1312" Type="http://schemas.openxmlformats.org/officeDocument/2006/relationships/hyperlink" Target="https://twitter.com/PRevelchione/status/803693865484042240" TargetMode="External"/><Relationship Id="rId2643" Type="http://schemas.openxmlformats.org/officeDocument/2006/relationships/hyperlink" Target="https://twitter.com/fototenerife" TargetMode="External"/><Relationship Id="rId3975" Type="http://schemas.openxmlformats.org/officeDocument/2006/relationships/hyperlink" Target="https://pbs.twimg.com/profile_images/804764320219406337/2jRRwO___normal.jpg" TargetMode="External"/><Relationship Id="rId1313" Type="http://schemas.openxmlformats.org/officeDocument/2006/relationships/hyperlink" Target="https://pbs.twimg.com/profile_images/378800000061994811/33278fcf427161cc1589241e184a7e56_normal.jpeg" TargetMode="External"/><Relationship Id="rId2644" Type="http://schemas.openxmlformats.org/officeDocument/2006/relationships/hyperlink" Target="https://twitter.com/fototenerife/status/804627323735707649" TargetMode="External"/><Relationship Id="rId3974" Type="http://schemas.openxmlformats.org/officeDocument/2006/relationships/hyperlink" Target="https://twitter.com/AniroC_2/status/805461977736871936" TargetMode="External"/><Relationship Id="rId1314" Type="http://schemas.openxmlformats.org/officeDocument/2006/relationships/hyperlink" Target="https://twitter.com/bermaxo09" TargetMode="External"/><Relationship Id="rId2645" Type="http://schemas.openxmlformats.org/officeDocument/2006/relationships/hyperlink" Target="https://pbs.twimg.com/profile_images/378800000784636596/e9ec8412fc34f7e0abc8244be9132c89_normal.jpeg" TargetMode="External"/><Relationship Id="rId3977" Type="http://schemas.openxmlformats.org/officeDocument/2006/relationships/hyperlink" Target="https://twitter.com/Pacojonnes/status/805462541631705088" TargetMode="External"/><Relationship Id="rId1315" Type="http://schemas.openxmlformats.org/officeDocument/2006/relationships/hyperlink" Target="https://twitter.com/bermaxo09/status/803694594563002368" TargetMode="External"/><Relationship Id="rId2646" Type="http://schemas.openxmlformats.org/officeDocument/2006/relationships/hyperlink" Target="https://twitter.com/bethgarrotxa" TargetMode="External"/><Relationship Id="rId3976" Type="http://schemas.openxmlformats.org/officeDocument/2006/relationships/hyperlink" Target="https://twitter.com/Pacojonnes" TargetMode="External"/><Relationship Id="rId1316" Type="http://schemas.openxmlformats.org/officeDocument/2006/relationships/hyperlink" Target="https://pbs.twimg.com/profile_images/798476790478073856/iOD0HIRa_normal.jpg" TargetMode="External"/><Relationship Id="rId2647" Type="http://schemas.openxmlformats.org/officeDocument/2006/relationships/hyperlink" Target="https://twitter.com/bethgarrotxa/status/804633438611308545" TargetMode="External"/><Relationship Id="rId3979" Type="http://schemas.openxmlformats.org/officeDocument/2006/relationships/hyperlink" Target="https://twitter.com/HineMathieu" TargetMode="External"/><Relationship Id="rId1317" Type="http://schemas.openxmlformats.org/officeDocument/2006/relationships/hyperlink" Target="https://twitter.com/GeoCanaries7" TargetMode="External"/><Relationship Id="rId2648" Type="http://schemas.openxmlformats.org/officeDocument/2006/relationships/hyperlink" Target="https://pbs.twimg.com/profile_images/2784461956/37b6d95f5bcac37b93611f81029dd365_normal.jpeg" TargetMode="External"/><Relationship Id="rId3978" Type="http://schemas.openxmlformats.org/officeDocument/2006/relationships/hyperlink" Target="https://abs.twimg.com/sticky/default_profile_images/default_profile_6_normal.png" TargetMode="External"/><Relationship Id="rId1318" Type="http://schemas.openxmlformats.org/officeDocument/2006/relationships/hyperlink" Target="https://twitter.com/GeoCanaries7/status/803699943756234752" TargetMode="External"/><Relationship Id="rId2649" Type="http://schemas.openxmlformats.org/officeDocument/2006/relationships/hyperlink" Target="https://twitter.com/TheCanaryNews" TargetMode="External"/><Relationship Id="rId1319" Type="http://schemas.openxmlformats.org/officeDocument/2006/relationships/hyperlink" Target="https://pbs.twimg.com/profile_images/590070926273810432/Bly2LJQV_normal.jpg" TargetMode="External"/><Relationship Id="rId729" Type="http://schemas.openxmlformats.org/officeDocument/2006/relationships/hyperlink" Target="https://pbs.twimg.com/profile_images/553549712653967363/DFCnsQyD_normal.jpeg" TargetMode="External"/><Relationship Id="rId728" Type="http://schemas.openxmlformats.org/officeDocument/2006/relationships/hyperlink" Target="https://twitter.com/kristofberg/status/803259354313084928" TargetMode="External"/><Relationship Id="rId723" Type="http://schemas.openxmlformats.org/officeDocument/2006/relationships/hyperlink" Target="https://pbs.twimg.com/profile_images/798114949868515328/3yyppGDr_normal.jpg" TargetMode="External"/><Relationship Id="rId722" Type="http://schemas.openxmlformats.org/officeDocument/2006/relationships/hyperlink" Target="https://twitter.com/BritsvisitSpain/status/803253580283215872" TargetMode="External"/><Relationship Id="rId721" Type="http://schemas.openxmlformats.org/officeDocument/2006/relationships/hyperlink" Target="https://twitter.com/BritsvisitSpain" TargetMode="External"/><Relationship Id="rId720" Type="http://schemas.openxmlformats.org/officeDocument/2006/relationships/hyperlink" Target="https://pbs.twimg.com/profile_images/561622713362419712/FFp_uMNR_normal.jpeg" TargetMode="External"/><Relationship Id="rId727" Type="http://schemas.openxmlformats.org/officeDocument/2006/relationships/hyperlink" Target="https://twitter.com/kristofberg" TargetMode="External"/><Relationship Id="rId726" Type="http://schemas.openxmlformats.org/officeDocument/2006/relationships/hyperlink" Target="https://pbs.twimg.com/profile_images/595145686468960256/-uStMLPW_normal.jpg" TargetMode="External"/><Relationship Id="rId725" Type="http://schemas.openxmlformats.org/officeDocument/2006/relationships/hyperlink" Target="https://twitter.com/Spanish_Newcast/status/803254262197145600" TargetMode="External"/><Relationship Id="rId724" Type="http://schemas.openxmlformats.org/officeDocument/2006/relationships/hyperlink" Target="https://twitter.com/Spanish_Newcast" TargetMode="External"/><Relationship Id="rId3971" Type="http://schemas.openxmlformats.org/officeDocument/2006/relationships/hyperlink" Target="https://twitter.com/TomcatJerry/status/805461402496495616" TargetMode="External"/><Relationship Id="rId2640" Type="http://schemas.openxmlformats.org/officeDocument/2006/relationships/hyperlink" Target="https://twitter.com/paisajecanario" TargetMode="External"/><Relationship Id="rId3970" Type="http://schemas.openxmlformats.org/officeDocument/2006/relationships/hyperlink" Target="https://twitter.com/TomcatJerry" TargetMode="External"/><Relationship Id="rId1310" Type="http://schemas.openxmlformats.org/officeDocument/2006/relationships/hyperlink" Target="https://pbs.twimg.com/profile_images/800770202367590400/BOHM4sQA_normal.jpg" TargetMode="External"/><Relationship Id="rId2641" Type="http://schemas.openxmlformats.org/officeDocument/2006/relationships/hyperlink" Target="https://twitter.com/paisajecanario/status/804627272108048384" TargetMode="External"/><Relationship Id="rId3973" Type="http://schemas.openxmlformats.org/officeDocument/2006/relationships/hyperlink" Target="https://twitter.com/AniroC_2" TargetMode="External"/><Relationship Id="rId1311" Type="http://schemas.openxmlformats.org/officeDocument/2006/relationships/hyperlink" Target="https://twitter.com/PRevelchione" TargetMode="External"/><Relationship Id="rId2642" Type="http://schemas.openxmlformats.org/officeDocument/2006/relationships/hyperlink" Target="https://pbs.twimg.com/profile_images/789364630850240512/Mw90qAlM_normal.jpg" TargetMode="External"/><Relationship Id="rId3972" Type="http://schemas.openxmlformats.org/officeDocument/2006/relationships/hyperlink" Target="https://pbs.twimg.com/profile_images/378800000565882971/a6db081617bdd2a5af3a55ff82bfa6d0_normal.jpeg" TargetMode="External"/><Relationship Id="rId1301" Type="http://schemas.openxmlformats.org/officeDocument/2006/relationships/hyperlink" Target="https://pbs.twimg.com/profile_images/1617162796/S4010009_normal.JPG" TargetMode="External"/><Relationship Id="rId2632" Type="http://schemas.openxmlformats.org/officeDocument/2006/relationships/hyperlink" Target="https://twitter.com/PowerOnFM/status/804625928970182660" TargetMode="External"/><Relationship Id="rId3964" Type="http://schemas.openxmlformats.org/officeDocument/2006/relationships/hyperlink" Target="https://twitter.com/YarosisNancy" TargetMode="External"/><Relationship Id="rId1302" Type="http://schemas.openxmlformats.org/officeDocument/2006/relationships/hyperlink" Target="https://twitter.com/dreflexdigital" TargetMode="External"/><Relationship Id="rId2633" Type="http://schemas.openxmlformats.org/officeDocument/2006/relationships/hyperlink" Target="https://pbs.twimg.com/profile_images/797783824990142464/8w4ba11z_normal.jpg" TargetMode="External"/><Relationship Id="rId3963" Type="http://schemas.openxmlformats.org/officeDocument/2006/relationships/hyperlink" Target="https://pbs.twimg.com/profile_images/785232011493453824/MNGTz8V3_normal.jpg" TargetMode="External"/><Relationship Id="rId1303" Type="http://schemas.openxmlformats.org/officeDocument/2006/relationships/hyperlink" Target="https://twitter.com/dreflexdigital/status/803692976455024640" TargetMode="External"/><Relationship Id="rId2634" Type="http://schemas.openxmlformats.org/officeDocument/2006/relationships/hyperlink" Target="https://twitter.com/swisshop4uEs" TargetMode="External"/><Relationship Id="rId3966" Type="http://schemas.openxmlformats.org/officeDocument/2006/relationships/hyperlink" Target="https://pbs.twimg.com/profile_images/806113266309025792/JlxN2-88_normal.jpg" TargetMode="External"/><Relationship Id="rId1304" Type="http://schemas.openxmlformats.org/officeDocument/2006/relationships/hyperlink" Target="https://pbs.twimg.com/profile_images/590978631482081281/vTG0iGrq_normal.jpg" TargetMode="External"/><Relationship Id="rId2635" Type="http://schemas.openxmlformats.org/officeDocument/2006/relationships/hyperlink" Target="https://twitter.com/swisshop4uEs/status/804626340318167040" TargetMode="External"/><Relationship Id="rId3965" Type="http://schemas.openxmlformats.org/officeDocument/2006/relationships/hyperlink" Target="https://twitter.com/YarosisNancy/status/805459287795449856" TargetMode="External"/><Relationship Id="rId1305" Type="http://schemas.openxmlformats.org/officeDocument/2006/relationships/hyperlink" Target="https://twitter.com/bermaxo09" TargetMode="External"/><Relationship Id="rId2636" Type="http://schemas.openxmlformats.org/officeDocument/2006/relationships/hyperlink" Target="https://pbs.twimg.com/profile_images/378800000213382003/4f562b59f92995b884d2d440f71fc5ce_normal.png" TargetMode="External"/><Relationship Id="rId3968" Type="http://schemas.openxmlformats.org/officeDocument/2006/relationships/hyperlink" Target="https://twitter.com/Protect_Dolphin/status/805461016041684992" TargetMode="External"/><Relationship Id="rId1306" Type="http://schemas.openxmlformats.org/officeDocument/2006/relationships/hyperlink" Target="https://twitter.com/bermaxo09/status/803693318156812289" TargetMode="External"/><Relationship Id="rId2637" Type="http://schemas.openxmlformats.org/officeDocument/2006/relationships/hyperlink" Target="https://twitter.com/MeliaHacienda" TargetMode="External"/><Relationship Id="rId3967" Type="http://schemas.openxmlformats.org/officeDocument/2006/relationships/hyperlink" Target="https://twitter.com/Protect_Dolphin" TargetMode="External"/><Relationship Id="rId1307" Type="http://schemas.openxmlformats.org/officeDocument/2006/relationships/hyperlink" Target="https://pbs.twimg.com/profile_images/798476790478073856/iOD0HIRa_normal.jpg" TargetMode="External"/><Relationship Id="rId2638" Type="http://schemas.openxmlformats.org/officeDocument/2006/relationships/hyperlink" Target="https://twitter.com/MeliaHacienda/status/804626520014721024" TargetMode="External"/><Relationship Id="rId1308" Type="http://schemas.openxmlformats.org/officeDocument/2006/relationships/hyperlink" Target="https://twitter.com/KrisGlezM" TargetMode="External"/><Relationship Id="rId2639" Type="http://schemas.openxmlformats.org/officeDocument/2006/relationships/hyperlink" Target="https://pbs.twimg.com/profile_images/793118609736339456/LMIq_8Rm_normal.jpg" TargetMode="External"/><Relationship Id="rId3969" Type="http://schemas.openxmlformats.org/officeDocument/2006/relationships/hyperlink" Target="https://pbs.twimg.com/profile_images/805404186519212032/7VwIDksX_normal.jpg" TargetMode="External"/><Relationship Id="rId1309" Type="http://schemas.openxmlformats.org/officeDocument/2006/relationships/hyperlink" Target="https://twitter.com/KrisGlezM/status/803693620620500992" TargetMode="External"/><Relationship Id="rId719" Type="http://schemas.openxmlformats.org/officeDocument/2006/relationships/hyperlink" Target="https://twitter.com/DolphinsSOS/status/803252664867950592" TargetMode="External"/><Relationship Id="rId718" Type="http://schemas.openxmlformats.org/officeDocument/2006/relationships/hyperlink" Target="https://twitter.com/DolphinsSOS" TargetMode="External"/><Relationship Id="rId717" Type="http://schemas.openxmlformats.org/officeDocument/2006/relationships/hyperlink" Target="https://pbs.twimg.com/profile_images/3439775013/30f157354cfc25db83d4ca61752059e7_normal.jpeg" TargetMode="External"/><Relationship Id="rId712" Type="http://schemas.openxmlformats.org/officeDocument/2006/relationships/hyperlink" Target="https://twitter.com/seavive" TargetMode="External"/><Relationship Id="rId711" Type="http://schemas.openxmlformats.org/officeDocument/2006/relationships/hyperlink" Target="https://pbs.twimg.com/profile_images/558521856152862720/-u4IZONX_normal.jpeg" TargetMode="External"/><Relationship Id="rId710" Type="http://schemas.openxmlformats.org/officeDocument/2006/relationships/hyperlink" Target="https://twitter.com/zuemartinez/status/803251166624628736" TargetMode="External"/><Relationship Id="rId716" Type="http://schemas.openxmlformats.org/officeDocument/2006/relationships/hyperlink" Target="https://twitter.com/OrcaSOS/status/803252664662257664" TargetMode="External"/><Relationship Id="rId715" Type="http://schemas.openxmlformats.org/officeDocument/2006/relationships/hyperlink" Target="https://twitter.com/OrcaSOS" TargetMode="External"/><Relationship Id="rId714" Type="http://schemas.openxmlformats.org/officeDocument/2006/relationships/hyperlink" Target="https://pbs.twimg.com/profile_images/1720161763/lmoprofile_normal.jpg" TargetMode="External"/><Relationship Id="rId713" Type="http://schemas.openxmlformats.org/officeDocument/2006/relationships/hyperlink" Target="https://twitter.com/seavive/status/803252664649793537" TargetMode="External"/><Relationship Id="rId3960" Type="http://schemas.openxmlformats.org/officeDocument/2006/relationships/hyperlink" Target="https://pbs.twimg.com/profile_images/804059470024343552/WjZtIkue_normal.jpg" TargetMode="External"/><Relationship Id="rId2630" Type="http://schemas.openxmlformats.org/officeDocument/2006/relationships/hyperlink" Target="https://pbs.twimg.com/profile_images/592798998773235713/aPa65SQO_normal.jpg" TargetMode="External"/><Relationship Id="rId3962" Type="http://schemas.openxmlformats.org/officeDocument/2006/relationships/hyperlink" Target="https://twitter.com/thelondonboys11/status/805458601422848001" TargetMode="External"/><Relationship Id="rId1300" Type="http://schemas.openxmlformats.org/officeDocument/2006/relationships/hyperlink" Target="https://twitter.com/de1969/status/803692862437261313" TargetMode="External"/><Relationship Id="rId2631" Type="http://schemas.openxmlformats.org/officeDocument/2006/relationships/hyperlink" Target="https://twitter.com/PowerOnFM" TargetMode="External"/><Relationship Id="rId3961" Type="http://schemas.openxmlformats.org/officeDocument/2006/relationships/hyperlink" Target="https://twitter.com/thelondonboys11" TargetMode="External"/><Relationship Id="rId3117" Type="http://schemas.openxmlformats.org/officeDocument/2006/relationships/hyperlink" Target="https://twitter.com/bermaxo09/status/804799731834691584" TargetMode="External"/><Relationship Id="rId4448" Type="http://schemas.openxmlformats.org/officeDocument/2006/relationships/hyperlink" Target="https://twitter.com/heymummytv/status/805807552151908352" TargetMode="External"/><Relationship Id="rId3116" Type="http://schemas.openxmlformats.org/officeDocument/2006/relationships/hyperlink" Target="https://twitter.com/bermaxo09" TargetMode="External"/><Relationship Id="rId4447" Type="http://schemas.openxmlformats.org/officeDocument/2006/relationships/hyperlink" Target="https://twitter.com/heymummytv" TargetMode="External"/><Relationship Id="rId3119" Type="http://schemas.openxmlformats.org/officeDocument/2006/relationships/hyperlink" Target="https://twitter.com/chicharrero7" TargetMode="External"/><Relationship Id="rId3118" Type="http://schemas.openxmlformats.org/officeDocument/2006/relationships/hyperlink" Target="https://pbs.twimg.com/profile_images/798476790478073856/iOD0HIRa_normal.jpg" TargetMode="External"/><Relationship Id="rId4449" Type="http://schemas.openxmlformats.org/officeDocument/2006/relationships/hyperlink" Target="https://pbs.twimg.com/profile_images/799558216682270720/6_tnUZhV_normal.jpg" TargetMode="External"/><Relationship Id="rId4440" Type="http://schemas.openxmlformats.org/officeDocument/2006/relationships/hyperlink" Target="https://pbs.twimg.com/profile_images/798476790478073856/iOD0HIRa_normal.jpg" TargetMode="External"/><Relationship Id="rId3111" Type="http://schemas.openxmlformats.org/officeDocument/2006/relationships/hyperlink" Target="https://twitter.com/de1969/status/804799175078645762" TargetMode="External"/><Relationship Id="rId4442" Type="http://schemas.openxmlformats.org/officeDocument/2006/relationships/hyperlink" Target="https://twitter.com/MarcelJ28/status/805798793715261440" TargetMode="External"/><Relationship Id="rId3110" Type="http://schemas.openxmlformats.org/officeDocument/2006/relationships/hyperlink" Target="https://twitter.com/de1969" TargetMode="External"/><Relationship Id="rId4441" Type="http://schemas.openxmlformats.org/officeDocument/2006/relationships/hyperlink" Target="https://twitter.com/MarcelJ28" TargetMode="External"/><Relationship Id="rId3113" Type="http://schemas.openxmlformats.org/officeDocument/2006/relationships/hyperlink" Target="https://twitter.com/Isa_twin" TargetMode="External"/><Relationship Id="rId4444" Type="http://schemas.openxmlformats.org/officeDocument/2006/relationships/hyperlink" Target="https://twitter.com/CositasCanarias" TargetMode="External"/><Relationship Id="rId3112" Type="http://schemas.openxmlformats.org/officeDocument/2006/relationships/hyperlink" Target="https://pbs.twimg.com/profile_images/1617162796/S4010009_normal.JPG" TargetMode="External"/><Relationship Id="rId4443" Type="http://schemas.openxmlformats.org/officeDocument/2006/relationships/hyperlink" Target="https://pbs.twimg.com/profile_images/724132846168883200/dnk_ZA69_normal.jpg" TargetMode="External"/><Relationship Id="rId3115" Type="http://schemas.openxmlformats.org/officeDocument/2006/relationships/hyperlink" Target="https://pbs.twimg.com/profile_images/663763771911970816/iGscWaEn_normal.jpg" TargetMode="External"/><Relationship Id="rId4446" Type="http://schemas.openxmlformats.org/officeDocument/2006/relationships/hyperlink" Target="https://pbs.twimg.com/profile_images/722353442321260544/juVRAeF1_normal.jpg" TargetMode="External"/><Relationship Id="rId3114" Type="http://schemas.openxmlformats.org/officeDocument/2006/relationships/hyperlink" Target="https://twitter.com/Isa_twin/status/804799628411568128" TargetMode="External"/><Relationship Id="rId4445" Type="http://schemas.openxmlformats.org/officeDocument/2006/relationships/hyperlink" Target="https://twitter.com/CositasCanarias/status/805805207472979968" TargetMode="External"/><Relationship Id="rId3106" Type="http://schemas.openxmlformats.org/officeDocument/2006/relationships/hyperlink" Target="https://pbs.twimg.com/profile_images/798476790478073856/iOD0HIRa_normal.jpg" TargetMode="External"/><Relationship Id="rId4437" Type="http://schemas.openxmlformats.org/officeDocument/2006/relationships/hyperlink" Target="https://pbs.twimg.com/profile_images/3612684335/955ff04779fc6c18e4bd6a8b11748a86_normal.jpeg" TargetMode="External"/><Relationship Id="rId3105" Type="http://schemas.openxmlformats.org/officeDocument/2006/relationships/hyperlink" Target="https://twitter.com/bermaxo09/status/804795397633900546" TargetMode="External"/><Relationship Id="rId4436" Type="http://schemas.openxmlformats.org/officeDocument/2006/relationships/hyperlink" Target="https://twitter.com/decarlo_alfonso/status/805796204814577664" TargetMode="External"/><Relationship Id="rId3108" Type="http://schemas.openxmlformats.org/officeDocument/2006/relationships/hyperlink" Target="https://twitter.com/lisiteasa/status/804798380568440832" TargetMode="External"/><Relationship Id="rId4439" Type="http://schemas.openxmlformats.org/officeDocument/2006/relationships/hyperlink" Target="https://twitter.com/bermaxo09/status/805798365774643201" TargetMode="External"/><Relationship Id="rId3107" Type="http://schemas.openxmlformats.org/officeDocument/2006/relationships/hyperlink" Target="https://twitter.com/lisiteasa" TargetMode="External"/><Relationship Id="rId4438" Type="http://schemas.openxmlformats.org/officeDocument/2006/relationships/hyperlink" Target="https://twitter.com/bermaxo09" TargetMode="External"/><Relationship Id="rId3109" Type="http://schemas.openxmlformats.org/officeDocument/2006/relationships/hyperlink" Target="https://pbs.twimg.com/profile_images/453186198161608705/-GokHl9z_normal.jpeg" TargetMode="External"/><Relationship Id="rId3100" Type="http://schemas.openxmlformats.org/officeDocument/2006/relationships/hyperlink" Target="https://pbs.twimg.com/profile_images/798476790478073856/iOD0HIRa_normal.jpg" TargetMode="External"/><Relationship Id="rId4431" Type="http://schemas.openxmlformats.org/officeDocument/2006/relationships/hyperlink" Target="https://pbs.twimg.com/profile_images/805959585702014976/CAXKep8E_normal.jpg" TargetMode="External"/><Relationship Id="rId4430" Type="http://schemas.openxmlformats.org/officeDocument/2006/relationships/hyperlink" Target="https://twitter.com/_TenerifeHotels/status/805793345272299521" TargetMode="External"/><Relationship Id="rId3102" Type="http://schemas.openxmlformats.org/officeDocument/2006/relationships/hyperlink" Target="https://twitter.com/bermaxo09/status/804794936860307456" TargetMode="External"/><Relationship Id="rId4433" Type="http://schemas.openxmlformats.org/officeDocument/2006/relationships/hyperlink" Target="https://twitter.com/VictorSanGar/status/805793468090028034" TargetMode="External"/><Relationship Id="rId3101" Type="http://schemas.openxmlformats.org/officeDocument/2006/relationships/hyperlink" Target="https://twitter.com/bermaxo09" TargetMode="External"/><Relationship Id="rId4432" Type="http://schemas.openxmlformats.org/officeDocument/2006/relationships/hyperlink" Target="https://twitter.com/VictorSanGar" TargetMode="External"/><Relationship Id="rId3104" Type="http://schemas.openxmlformats.org/officeDocument/2006/relationships/hyperlink" Target="https://twitter.com/bermaxo09" TargetMode="External"/><Relationship Id="rId4435" Type="http://schemas.openxmlformats.org/officeDocument/2006/relationships/hyperlink" Target="https://twitter.com/decarlo_alfonso" TargetMode="External"/><Relationship Id="rId3103" Type="http://schemas.openxmlformats.org/officeDocument/2006/relationships/hyperlink" Target="https://pbs.twimg.com/profile_images/798476790478073856/iOD0HIRa_normal.jpg" TargetMode="External"/><Relationship Id="rId4434" Type="http://schemas.openxmlformats.org/officeDocument/2006/relationships/hyperlink" Target="https://pbs.twimg.com/profile_images/3605123843/cf3c79e28055298406011129943a7ada_normal.jpeg" TargetMode="External"/><Relationship Id="rId3139" Type="http://schemas.openxmlformats.org/officeDocument/2006/relationships/hyperlink" Target="https://pbs.twimg.com/profile_images/1240424908/Head_Mike_2_normal.jpg" TargetMode="External"/><Relationship Id="rId3138" Type="http://schemas.openxmlformats.org/officeDocument/2006/relationships/hyperlink" Target="https://twitter.com/dekim32/status/804807474339610625" TargetMode="External"/><Relationship Id="rId4469" Type="http://schemas.openxmlformats.org/officeDocument/2006/relationships/hyperlink" Target="https://twitter.com/tlgfocus/status/805818029355438081" TargetMode="External"/><Relationship Id="rId4460" Type="http://schemas.openxmlformats.org/officeDocument/2006/relationships/hyperlink" Target="https://twitter.com/MilaLuisBrito/status/805813098443665410" TargetMode="External"/><Relationship Id="rId3131" Type="http://schemas.openxmlformats.org/officeDocument/2006/relationships/hyperlink" Target="https://twitter.com/snookie66" TargetMode="External"/><Relationship Id="rId4462" Type="http://schemas.openxmlformats.org/officeDocument/2006/relationships/hyperlink" Target="https://twitter.com/dolce_vita_prod" TargetMode="External"/><Relationship Id="rId3130" Type="http://schemas.openxmlformats.org/officeDocument/2006/relationships/hyperlink" Target="https://pbs.twimg.com/profile_images/570644453866483712/dvbC2x8W_normal.jpeg" TargetMode="External"/><Relationship Id="rId4461" Type="http://schemas.openxmlformats.org/officeDocument/2006/relationships/hyperlink" Target="https://pbs.twimg.com/profile_images/672535771614703616/GLm7NtlW_normal.jpg" TargetMode="External"/><Relationship Id="rId3133" Type="http://schemas.openxmlformats.org/officeDocument/2006/relationships/hyperlink" Target="https://abs.twimg.com/sticky/default_profile_images/default_profile_5_normal.png" TargetMode="External"/><Relationship Id="rId4464" Type="http://schemas.openxmlformats.org/officeDocument/2006/relationships/hyperlink" Target="https://pbs.twimg.com/profile_images/662643328698159105/FT1dWO7Z_normal.jpg" TargetMode="External"/><Relationship Id="rId3132" Type="http://schemas.openxmlformats.org/officeDocument/2006/relationships/hyperlink" Target="https://twitter.com/snookie66/status/804805172014829570" TargetMode="External"/><Relationship Id="rId4463" Type="http://schemas.openxmlformats.org/officeDocument/2006/relationships/hyperlink" Target="https://twitter.com/dolce_vita_prod/status/805813112536322052" TargetMode="External"/><Relationship Id="rId3135" Type="http://schemas.openxmlformats.org/officeDocument/2006/relationships/hyperlink" Target="https://twitter.com/bermaxo09/status/804805426336370688" TargetMode="External"/><Relationship Id="rId4466" Type="http://schemas.openxmlformats.org/officeDocument/2006/relationships/hyperlink" Target="https://twitter.com/clubsofaorg/status/805816589215858688" TargetMode="External"/><Relationship Id="rId3134" Type="http://schemas.openxmlformats.org/officeDocument/2006/relationships/hyperlink" Target="https://twitter.com/bermaxo09" TargetMode="External"/><Relationship Id="rId4465" Type="http://schemas.openxmlformats.org/officeDocument/2006/relationships/hyperlink" Target="https://twitter.com/clubsofaorg" TargetMode="External"/><Relationship Id="rId3137" Type="http://schemas.openxmlformats.org/officeDocument/2006/relationships/hyperlink" Target="https://twitter.com/dekim32" TargetMode="External"/><Relationship Id="rId4468" Type="http://schemas.openxmlformats.org/officeDocument/2006/relationships/hyperlink" Target="https://twitter.com/tlgfocus" TargetMode="External"/><Relationship Id="rId3136" Type="http://schemas.openxmlformats.org/officeDocument/2006/relationships/hyperlink" Target="https://pbs.twimg.com/profile_images/798476790478073856/iOD0HIRa_normal.jpg" TargetMode="External"/><Relationship Id="rId4467" Type="http://schemas.openxmlformats.org/officeDocument/2006/relationships/hyperlink" Target="https://pbs.twimg.com/profile_images/782041189428006912/MHgXEqUW_normal.jpg" TargetMode="External"/><Relationship Id="rId3128" Type="http://schemas.openxmlformats.org/officeDocument/2006/relationships/hyperlink" Target="https://twitter.com/islaspromo" TargetMode="External"/><Relationship Id="rId4459" Type="http://schemas.openxmlformats.org/officeDocument/2006/relationships/hyperlink" Target="https://twitter.com/MilaLuisBrito" TargetMode="External"/><Relationship Id="rId3127" Type="http://schemas.openxmlformats.org/officeDocument/2006/relationships/hyperlink" Target="https://pbs.twimg.com/profile_images/568139896838434816/icSCzYwJ_normal.jpeg" TargetMode="External"/><Relationship Id="rId4458" Type="http://schemas.openxmlformats.org/officeDocument/2006/relationships/hyperlink" Target="https://pbs.twimg.com/profile_images/378800000683567982/600990dc1da1acde4f9aaf7241cc97aa_normal.jpeg" TargetMode="External"/><Relationship Id="rId3129" Type="http://schemas.openxmlformats.org/officeDocument/2006/relationships/hyperlink" Target="https://twitter.com/islaspromo/status/804804510535348226" TargetMode="External"/><Relationship Id="rId3120" Type="http://schemas.openxmlformats.org/officeDocument/2006/relationships/hyperlink" Target="https://twitter.com/chicharrero7/status/804800505956405248" TargetMode="External"/><Relationship Id="rId4451" Type="http://schemas.openxmlformats.org/officeDocument/2006/relationships/hyperlink" Target="https://twitter.com/SpringMood1/status/805809864744243200" TargetMode="External"/><Relationship Id="rId4450" Type="http://schemas.openxmlformats.org/officeDocument/2006/relationships/hyperlink" Target="https://twitter.com/SpringMood1" TargetMode="External"/><Relationship Id="rId3122" Type="http://schemas.openxmlformats.org/officeDocument/2006/relationships/hyperlink" Target="https://twitter.com/bermaxo09" TargetMode="External"/><Relationship Id="rId4453" Type="http://schemas.openxmlformats.org/officeDocument/2006/relationships/hyperlink" Target="https://twitter.com/canariashub" TargetMode="External"/><Relationship Id="rId3121" Type="http://schemas.openxmlformats.org/officeDocument/2006/relationships/hyperlink" Target="https://pbs.twimg.com/profile_images/805404560512741376/B0bX6e_L_normal.jpg" TargetMode="External"/><Relationship Id="rId4452" Type="http://schemas.openxmlformats.org/officeDocument/2006/relationships/hyperlink" Target="https://pbs.twimg.com/profile_images/804077960835768320/hok3V_ii_normal.jpg" TargetMode="External"/><Relationship Id="rId3124" Type="http://schemas.openxmlformats.org/officeDocument/2006/relationships/hyperlink" Target="https://pbs.twimg.com/profile_images/798476790478073856/iOD0HIRa_normal.jpg" TargetMode="External"/><Relationship Id="rId4455" Type="http://schemas.openxmlformats.org/officeDocument/2006/relationships/hyperlink" Target="https://pbs.twimg.com/profile_images/530724422085132288/a6DCavsq_normal.png" TargetMode="External"/><Relationship Id="rId3123" Type="http://schemas.openxmlformats.org/officeDocument/2006/relationships/hyperlink" Target="https://twitter.com/bermaxo09/status/804802284001562624" TargetMode="External"/><Relationship Id="rId4454" Type="http://schemas.openxmlformats.org/officeDocument/2006/relationships/hyperlink" Target="https://twitter.com/canariashub/status/805809994587324418" TargetMode="External"/><Relationship Id="rId3126" Type="http://schemas.openxmlformats.org/officeDocument/2006/relationships/hyperlink" Target="https://twitter.com/RODRIGORRC72/status/804802492915740676" TargetMode="External"/><Relationship Id="rId4457" Type="http://schemas.openxmlformats.org/officeDocument/2006/relationships/hyperlink" Target="https://twitter.com/topVISE/status/805810337278808064" TargetMode="External"/><Relationship Id="rId3125" Type="http://schemas.openxmlformats.org/officeDocument/2006/relationships/hyperlink" Target="https://twitter.com/RODRIGORRC72" TargetMode="External"/><Relationship Id="rId4456" Type="http://schemas.openxmlformats.org/officeDocument/2006/relationships/hyperlink" Target="https://twitter.com/topVISE" TargetMode="External"/><Relationship Id="rId1378" Type="http://schemas.openxmlformats.org/officeDocument/2006/relationships/hyperlink" Target="https://twitter.com/manuelcarranco" TargetMode="External"/><Relationship Id="rId4404" Type="http://schemas.openxmlformats.org/officeDocument/2006/relationships/hyperlink" Target="https://pbs.twimg.com/profile_images/754960714704584704/14dQxsF8_normal.jpg" TargetMode="External"/><Relationship Id="rId1379" Type="http://schemas.openxmlformats.org/officeDocument/2006/relationships/hyperlink" Target="https://twitter.com/manuelcarranco/status/803731941983825920" TargetMode="External"/><Relationship Id="rId4403" Type="http://schemas.openxmlformats.org/officeDocument/2006/relationships/hyperlink" Target="https://twitter.com/CanaryIslandsEN/status/805776263684177920" TargetMode="External"/><Relationship Id="rId4406" Type="http://schemas.openxmlformats.org/officeDocument/2006/relationships/hyperlink" Target="https://twitter.com/Lost_in_laPalma/status/805776801377189888" TargetMode="External"/><Relationship Id="rId4405" Type="http://schemas.openxmlformats.org/officeDocument/2006/relationships/hyperlink" Target="https://twitter.com/Lost_in_laPalma" TargetMode="External"/><Relationship Id="rId4408" Type="http://schemas.openxmlformats.org/officeDocument/2006/relationships/hyperlink" Target="https://twitter.com/enduriaholidays" TargetMode="External"/><Relationship Id="rId4407" Type="http://schemas.openxmlformats.org/officeDocument/2006/relationships/hyperlink" Target="https://pbs.twimg.com/profile_images/475567832349310976/GD24ZWpB_normal.jpeg" TargetMode="External"/><Relationship Id="rId4409" Type="http://schemas.openxmlformats.org/officeDocument/2006/relationships/hyperlink" Target="https://twitter.com/enduriaholidays/status/805777399157755904" TargetMode="External"/><Relationship Id="rId789" Type="http://schemas.openxmlformats.org/officeDocument/2006/relationships/hyperlink" Target="https://pbs.twimg.com/profile_images/792036201695940608/ZYEcPM7L_normal.jpg" TargetMode="External"/><Relationship Id="rId788" Type="http://schemas.openxmlformats.org/officeDocument/2006/relationships/hyperlink" Target="https://twitter.com/HotelEscuelaSB/status/803277841844473856" TargetMode="External"/><Relationship Id="rId787" Type="http://schemas.openxmlformats.org/officeDocument/2006/relationships/hyperlink" Target="https://twitter.com/HotelEscuelaSB" TargetMode="External"/><Relationship Id="rId786" Type="http://schemas.openxmlformats.org/officeDocument/2006/relationships/hyperlink" Target="https://pbs.twimg.com/profile_images/726026649356128258/xCSaP1IW_normal.jpg" TargetMode="External"/><Relationship Id="rId781" Type="http://schemas.openxmlformats.org/officeDocument/2006/relationships/hyperlink" Target="https://twitter.com/CanaryIslandsEN" TargetMode="External"/><Relationship Id="rId1370" Type="http://schemas.openxmlformats.org/officeDocument/2006/relationships/hyperlink" Target="http://chaturbate.com/mysweetapple" TargetMode="External"/><Relationship Id="rId780" Type="http://schemas.openxmlformats.org/officeDocument/2006/relationships/hyperlink" Target="https://pbs.twimg.com/profile_images/751095160994406400/f3tBxqBr_normal.jpg" TargetMode="External"/><Relationship Id="rId1371" Type="http://schemas.openxmlformats.org/officeDocument/2006/relationships/hyperlink" Target="https://pbs.twimg.com/profile_images/659070959064756224/E88uQiIO_normal.jpg" TargetMode="External"/><Relationship Id="rId1372" Type="http://schemas.openxmlformats.org/officeDocument/2006/relationships/hyperlink" Target="https://twitter.com/EliteCamBot3" TargetMode="External"/><Relationship Id="rId1373" Type="http://schemas.openxmlformats.org/officeDocument/2006/relationships/hyperlink" Target="https://twitter.com/EliteCamBot3/status/803731125495439360" TargetMode="External"/><Relationship Id="rId785" Type="http://schemas.openxmlformats.org/officeDocument/2006/relationships/hyperlink" Target="https://twitter.com/enduriaholidays/status/803276086255714304" TargetMode="External"/><Relationship Id="rId1374" Type="http://schemas.openxmlformats.org/officeDocument/2006/relationships/hyperlink" Target="https://pbs.twimg.com/profile_images/683140746891911168/TubRcDfE_normal.jpg" TargetMode="External"/><Relationship Id="rId4400" Type="http://schemas.openxmlformats.org/officeDocument/2006/relationships/hyperlink" Target="https://twitter.com/ELEYTECLOTHING/status/805774426058813440" TargetMode="External"/><Relationship Id="rId784" Type="http://schemas.openxmlformats.org/officeDocument/2006/relationships/hyperlink" Target="https://twitter.com/enduriaholidays" TargetMode="External"/><Relationship Id="rId1375" Type="http://schemas.openxmlformats.org/officeDocument/2006/relationships/hyperlink" Target="https://twitter.com/LesRandosdeCaco" TargetMode="External"/><Relationship Id="rId783" Type="http://schemas.openxmlformats.org/officeDocument/2006/relationships/hyperlink" Target="https://pbs.twimg.com/profile_images/754960714704584704/14dQxsF8_normal.jpg" TargetMode="External"/><Relationship Id="rId1376" Type="http://schemas.openxmlformats.org/officeDocument/2006/relationships/hyperlink" Target="https://twitter.com/LesRandosdeCaco/status/803731461631279104" TargetMode="External"/><Relationship Id="rId4402" Type="http://schemas.openxmlformats.org/officeDocument/2006/relationships/hyperlink" Target="https://twitter.com/CanaryIslandsEN" TargetMode="External"/><Relationship Id="rId782" Type="http://schemas.openxmlformats.org/officeDocument/2006/relationships/hyperlink" Target="https://twitter.com/CanaryIslandsEN/status/803274844834037760" TargetMode="External"/><Relationship Id="rId1377" Type="http://schemas.openxmlformats.org/officeDocument/2006/relationships/hyperlink" Target="https://pbs.twimg.com/profile_images/802073872866705408/wMHnHYch_normal.jpg" TargetMode="External"/><Relationship Id="rId4401" Type="http://schemas.openxmlformats.org/officeDocument/2006/relationships/hyperlink" Target="https://pbs.twimg.com/profile_images/721138964753682432/4yAZoXsU_normal.jpg" TargetMode="External"/><Relationship Id="rId1367" Type="http://schemas.openxmlformats.org/officeDocument/2006/relationships/hyperlink" Target="https://pbs.twimg.com/profile_images/570644453866483712/dvbC2x8W_normal.jpeg" TargetMode="External"/><Relationship Id="rId2698" Type="http://schemas.openxmlformats.org/officeDocument/2006/relationships/hyperlink" Target="https://twitter.com/VikToreus/status/804645913973182464" TargetMode="External"/><Relationship Id="rId1368" Type="http://schemas.openxmlformats.org/officeDocument/2006/relationships/hyperlink" Target="https://twitter.com/mysweetapplexxx" TargetMode="External"/><Relationship Id="rId2699" Type="http://schemas.openxmlformats.org/officeDocument/2006/relationships/hyperlink" Target="https://pbs.twimg.com/profile_images/579814690181758976/qKyv4sZ8_normal.jpg" TargetMode="External"/><Relationship Id="rId1369" Type="http://schemas.openxmlformats.org/officeDocument/2006/relationships/hyperlink" Target="https://twitter.com/mysweetapplexxx/status/803730037950283780" TargetMode="External"/><Relationship Id="rId778" Type="http://schemas.openxmlformats.org/officeDocument/2006/relationships/hyperlink" Target="https://twitter.com/Mojoayanto" TargetMode="External"/><Relationship Id="rId777" Type="http://schemas.openxmlformats.org/officeDocument/2006/relationships/hyperlink" Target="https://pbs.twimg.com/profile_images/794686242000486400/jKSYVUV7_normal.jpg" TargetMode="External"/><Relationship Id="rId776" Type="http://schemas.openxmlformats.org/officeDocument/2006/relationships/hyperlink" Target="https://twitter.com/JoanWIP/status/803271916941250560" TargetMode="External"/><Relationship Id="rId775" Type="http://schemas.openxmlformats.org/officeDocument/2006/relationships/hyperlink" Target="https://twitter.com/JoanWIP" TargetMode="External"/><Relationship Id="rId779" Type="http://schemas.openxmlformats.org/officeDocument/2006/relationships/hyperlink" Target="https://twitter.com/Mojoayanto/status/803274582182367232" TargetMode="External"/><Relationship Id="rId770" Type="http://schemas.openxmlformats.org/officeDocument/2006/relationships/hyperlink" Target="https://twitter.com/bermaxo09/status/803269741708189696" TargetMode="External"/><Relationship Id="rId2690" Type="http://schemas.openxmlformats.org/officeDocument/2006/relationships/hyperlink" Target="https://pbs.twimg.com/profile_images/782948047063961601/MGlSpaex_normal.jpg" TargetMode="External"/><Relationship Id="rId1360" Type="http://schemas.openxmlformats.org/officeDocument/2006/relationships/hyperlink" Target="https://twitter.com/manuelcarranco/status/803724889509138432" TargetMode="External"/><Relationship Id="rId2691" Type="http://schemas.openxmlformats.org/officeDocument/2006/relationships/hyperlink" Target="https://twitter.com/briancoronas" TargetMode="External"/><Relationship Id="rId1361" Type="http://schemas.openxmlformats.org/officeDocument/2006/relationships/hyperlink" Target="https://pbs.twimg.com/profile_images/525944451177263104/jGofUCAA_normal.jpeg" TargetMode="External"/><Relationship Id="rId2692" Type="http://schemas.openxmlformats.org/officeDocument/2006/relationships/hyperlink" Target="https://twitter.com/briancoronas/status/804644510265470976" TargetMode="External"/><Relationship Id="rId1362" Type="http://schemas.openxmlformats.org/officeDocument/2006/relationships/hyperlink" Target="https://twitter.com/MariolaTNFGC84" TargetMode="External"/><Relationship Id="rId2693" Type="http://schemas.openxmlformats.org/officeDocument/2006/relationships/hyperlink" Target="https://pbs.twimg.com/profile_images/795271000376168449/sAbad6b0_normal.jpg" TargetMode="External"/><Relationship Id="rId774" Type="http://schemas.openxmlformats.org/officeDocument/2006/relationships/hyperlink" Target="https://pbs.twimg.com/profile_images/779785036996415489/a2nilB1d_normal.jpg" TargetMode="External"/><Relationship Id="rId1363" Type="http://schemas.openxmlformats.org/officeDocument/2006/relationships/hyperlink" Target="https://twitter.com/MariolaTNFGC84/status/803725966031880192" TargetMode="External"/><Relationship Id="rId2694" Type="http://schemas.openxmlformats.org/officeDocument/2006/relationships/hyperlink" Target="https://twitter.com/IridiumMfg" TargetMode="External"/><Relationship Id="rId773" Type="http://schemas.openxmlformats.org/officeDocument/2006/relationships/hyperlink" Target="https://twitter.com/elastword/status/803270137411309569" TargetMode="External"/><Relationship Id="rId1364" Type="http://schemas.openxmlformats.org/officeDocument/2006/relationships/hyperlink" Target="https://pbs.twimg.com/profile_images/765266327804190720/3kytWWcC_normal.jpg" TargetMode="External"/><Relationship Id="rId2695" Type="http://schemas.openxmlformats.org/officeDocument/2006/relationships/hyperlink" Target="https://twitter.com/IridiumMfg/status/804645456361951232" TargetMode="External"/><Relationship Id="rId772" Type="http://schemas.openxmlformats.org/officeDocument/2006/relationships/hyperlink" Target="https://twitter.com/elastword" TargetMode="External"/><Relationship Id="rId1365" Type="http://schemas.openxmlformats.org/officeDocument/2006/relationships/hyperlink" Target="https://twitter.com/islaspromo" TargetMode="External"/><Relationship Id="rId2696" Type="http://schemas.openxmlformats.org/officeDocument/2006/relationships/hyperlink" Target="https://pbs.twimg.com/profile_images/748951379679608832/BFTF6c_d_normal.jpg" TargetMode="External"/><Relationship Id="rId771" Type="http://schemas.openxmlformats.org/officeDocument/2006/relationships/hyperlink" Target="https://pbs.twimg.com/profile_images/798476790478073856/iOD0HIRa_normal.jpg" TargetMode="External"/><Relationship Id="rId1366" Type="http://schemas.openxmlformats.org/officeDocument/2006/relationships/hyperlink" Target="https://twitter.com/islaspromo/status/803726995561422848" TargetMode="External"/><Relationship Id="rId2697" Type="http://schemas.openxmlformats.org/officeDocument/2006/relationships/hyperlink" Target="https://twitter.com/VikToreus" TargetMode="External"/><Relationship Id="rId4426" Type="http://schemas.openxmlformats.org/officeDocument/2006/relationships/hyperlink" Target="https://twitter.com/SpainInRussia" TargetMode="External"/><Relationship Id="rId4425" Type="http://schemas.openxmlformats.org/officeDocument/2006/relationships/hyperlink" Target="https://pbs.twimg.com/profile_images/798476790478073856/iOD0HIRa_normal.jpg" TargetMode="External"/><Relationship Id="rId4428" Type="http://schemas.openxmlformats.org/officeDocument/2006/relationships/hyperlink" Target="https://pbs.twimg.com/profile_images/553463244602351616/oby3GHkM_normal.jpeg" TargetMode="External"/><Relationship Id="rId4427" Type="http://schemas.openxmlformats.org/officeDocument/2006/relationships/hyperlink" Target="https://twitter.com/SpainInRussia/status/805789264722231296" TargetMode="External"/><Relationship Id="rId4429" Type="http://schemas.openxmlformats.org/officeDocument/2006/relationships/hyperlink" Target="https://twitter.com/_TenerifeHotels" TargetMode="External"/><Relationship Id="rId1390" Type="http://schemas.openxmlformats.org/officeDocument/2006/relationships/hyperlink" Target="https://twitter.com/GCanariaBeaches" TargetMode="External"/><Relationship Id="rId1391" Type="http://schemas.openxmlformats.org/officeDocument/2006/relationships/hyperlink" Target="https://twitter.com/GCanariaBeaches/status/803738913185611776" TargetMode="External"/><Relationship Id="rId1392" Type="http://schemas.openxmlformats.org/officeDocument/2006/relationships/hyperlink" Target="https://pbs.twimg.com/profile_images/2638609676/9cb8155ade4a2908ab347d2fa7ce8155_normal.jpeg" TargetMode="External"/><Relationship Id="rId1393" Type="http://schemas.openxmlformats.org/officeDocument/2006/relationships/hyperlink" Target="https://twitter.com/Chendley777" TargetMode="External"/><Relationship Id="rId1394" Type="http://schemas.openxmlformats.org/officeDocument/2006/relationships/hyperlink" Target="https://twitter.com/Chendley777/status/803741687252189184" TargetMode="External"/><Relationship Id="rId4420" Type="http://schemas.openxmlformats.org/officeDocument/2006/relationships/hyperlink" Target="https://twitter.com/webwolf50" TargetMode="External"/><Relationship Id="rId1395" Type="http://schemas.openxmlformats.org/officeDocument/2006/relationships/hyperlink" Target="https://pbs.twimg.com/profile_images/798617580516818944/w-D_8Fb6_normal.jpg" TargetMode="External"/><Relationship Id="rId1396" Type="http://schemas.openxmlformats.org/officeDocument/2006/relationships/hyperlink" Target="https://twitter.com/JulioAl18175505" TargetMode="External"/><Relationship Id="rId4422" Type="http://schemas.openxmlformats.org/officeDocument/2006/relationships/hyperlink" Target="https://pbs.twimg.com/profile_images/675938548655112192/R9sMoJd8_normal.jpg" TargetMode="External"/><Relationship Id="rId1397" Type="http://schemas.openxmlformats.org/officeDocument/2006/relationships/hyperlink" Target="https://twitter.com/JulioAl18175505/status/803743464974204928" TargetMode="External"/><Relationship Id="rId4421" Type="http://schemas.openxmlformats.org/officeDocument/2006/relationships/hyperlink" Target="https://twitter.com/webwolf50/status/805786606602948608" TargetMode="External"/><Relationship Id="rId1398" Type="http://schemas.openxmlformats.org/officeDocument/2006/relationships/hyperlink" Target="https://pbs.twimg.com/profile_images/706839494851436544/7igsf91D_normal.jpg" TargetMode="External"/><Relationship Id="rId4424" Type="http://schemas.openxmlformats.org/officeDocument/2006/relationships/hyperlink" Target="https://twitter.com/bermaxo09/status/805787451293896705" TargetMode="External"/><Relationship Id="rId1399" Type="http://schemas.openxmlformats.org/officeDocument/2006/relationships/hyperlink" Target="https://twitter.com/swisshop4uEs" TargetMode="External"/><Relationship Id="rId4423" Type="http://schemas.openxmlformats.org/officeDocument/2006/relationships/hyperlink" Target="https://twitter.com/bermaxo09" TargetMode="External"/><Relationship Id="rId1389" Type="http://schemas.openxmlformats.org/officeDocument/2006/relationships/hyperlink" Target="https://pbs.twimg.com/profile_images/737393637311537152/WD0G8tgn_normal.jpg" TargetMode="External"/><Relationship Id="rId4415" Type="http://schemas.openxmlformats.org/officeDocument/2006/relationships/hyperlink" Target="https://twitter.com/JulioAl18175505/status/805779779001679872" TargetMode="External"/><Relationship Id="rId4414" Type="http://schemas.openxmlformats.org/officeDocument/2006/relationships/hyperlink" Target="https://twitter.com/JulioAl18175505" TargetMode="External"/><Relationship Id="rId4417" Type="http://schemas.openxmlformats.org/officeDocument/2006/relationships/hyperlink" Target="https://twitter.com/JulioAl18175505" TargetMode="External"/><Relationship Id="rId4416" Type="http://schemas.openxmlformats.org/officeDocument/2006/relationships/hyperlink" Target="https://pbs.twimg.com/profile_images/706839494851436544/7igsf91D_normal.jpg" TargetMode="External"/><Relationship Id="rId4419" Type="http://schemas.openxmlformats.org/officeDocument/2006/relationships/hyperlink" Target="https://pbs.twimg.com/profile_images/706839494851436544/7igsf91D_normal.jpg" TargetMode="External"/><Relationship Id="rId4418" Type="http://schemas.openxmlformats.org/officeDocument/2006/relationships/hyperlink" Target="https://twitter.com/JulioAl18175505/status/805779797733478401" TargetMode="External"/><Relationship Id="rId799" Type="http://schemas.openxmlformats.org/officeDocument/2006/relationships/hyperlink" Target="https://twitter.com/airports_hotels" TargetMode="External"/><Relationship Id="rId798" Type="http://schemas.openxmlformats.org/officeDocument/2006/relationships/hyperlink" Target="https://pbs.twimg.com/profile_images/671102850131447808/_VVOwxhd_normal.jpg" TargetMode="External"/><Relationship Id="rId797" Type="http://schemas.openxmlformats.org/officeDocument/2006/relationships/hyperlink" Target="https://twitter.com/Husso441/status/803294874728628224" TargetMode="External"/><Relationship Id="rId1380" Type="http://schemas.openxmlformats.org/officeDocument/2006/relationships/hyperlink" Target="https://pbs.twimg.com/profile_images/525944451177263104/jGofUCAA_normal.jpeg" TargetMode="External"/><Relationship Id="rId792" Type="http://schemas.openxmlformats.org/officeDocument/2006/relationships/hyperlink" Target="https://pbs.twimg.com/profile_images/711330188911628288/v2OUZ_Am_normal.jpg" TargetMode="External"/><Relationship Id="rId1381" Type="http://schemas.openxmlformats.org/officeDocument/2006/relationships/hyperlink" Target="https://twitter.com/collectingsmile" TargetMode="External"/><Relationship Id="rId791" Type="http://schemas.openxmlformats.org/officeDocument/2006/relationships/hyperlink" Target="https://twitter.com/coraldreamstfe/status/803289843702923264" TargetMode="External"/><Relationship Id="rId1382" Type="http://schemas.openxmlformats.org/officeDocument/2006/relationships/hyperlink" Target="https://twitter.com/collectingsmile/status/803735391920672769" TargetMode="External"/><Relationship Id="rId790" Type="http://schemas.openxmlformats.org/officeDocument/2006/relationships/hyperlink" Target="https://twitter.com/coraldreamstfe" TargetMode="External"/><Relationship Id="rId1383" Type="http://schemas.openxmlformats.org/officeDocument/2006/relationships/hyperlink" Target="https://pbs.twimg.com/profile_images/267232211/me_normal.jpg" TargetMode="External"/><Relationship Id="rId1384" Type="http://schemas.openxmlformats.org/officeDocument/2006/relationships/hyperlink" Target="https://twitter.com/JulioAl18175505" TargetMode="External"/><Relationship Id="rId796" Type="http://schemas.openxmlformats.org/officeDocument/2006/relationships/hyperlink" Target="https://twitter.com/Husso441" TargetMode="External"/><Relationship Id="rId1385" Type="http://schemas.openxmlformats.org/officeDocument/2006/relationships/hyperlink" Target="https://twitter.com/JulioAl18175505/status/803735702643081216" TargetMode="External"/><Relationship Id="rId4411" Type="http://schemas.openxmlformats.org/officeDocument/2006/relationships/hyperlink" Target="https://twitter.com/Lost_in_laPalma" TargetMode="External"/><Relationship Id="rId795" Type="http://schemas.openxmlformats.org/officeDocument/2006/relationships/hyperlink" Target="https://pbs.twimg.com/profile_images/711329493064019968/Y_LlqviZ_normal.jpg" TargetMode="External"/><Relationship Id="rId1386" Type="http://schemas.openxmlformats.org/officeDocument/2006/relationships/hyperlink" Target="https://pbs.twimg.com/profile_images/706839494851436544/7igsf91D_normal.jpg" TargetMode="External"/><Relationship Id="rId4410" Type="http://schemas.openxmlformats.org/officeDocument/2006/relationships/hyperlink" Target="https://pbs.twimg.com/profile_images/726026649356128258/xCSaP1IW_normal.jpg" TargetMode="External"/><Relationship Id="rId794" Type="http://schemas.openxmlformats.org/officeDocument/2006/relationships/hyperlink" Target="https://twitter.com/CORALHOTELS/status/803289851101675520" TargetMode="External"/><Relationship Id="rId1387" Type="http://schemas.openxmlformats.org/officeDocument/2006/relationships/hyperlink" Target="https://twitter.com/TheWildSide10" TargetMode="External"/><Relationship Id="rId4413" Type="http://schemas.openxmlformats.org/officeDocument/2006/relationships/hyperlink" Target="https://pbs.twimg.com/profile_images/475567832349310976/GD24ZWpB_normal.jpeg" TargetMode="External"/><Relationship Id="rId793" Type="http://schemas.openxmlformats.org/officeDocument/2006/relationships/hyperlink" Target="https://twitter.com/CORALHOTELS" TargetMode="External"/><Relationship Id="rId1388" Type="http://schemas.openxmlformats.org/officeDocument/2006/relationships/hyperlink" Target="https://twitter.com/TheWildSide10/status/803736997093220352" TargetMode="External"/><Relationship Id="rId4412" Type="http://schemas.openxmlformats.org/officeDocument/2006/relationships/hyperlink" Target="https://twitter.com/Lost_in_laPalma/status/805778168955211776" TargetMode="External"/><Relationship Id="rId3191" Type="http://schemas.openxmlformats.org/officeDocument/2006/relationships/hyperlink" Target="https://twitter.com/amordivino20131" TargetMode="External"/><Relationship Id="rId3190" Type="http://schemas.openxmlformats.org/officeDocument/2006/relationships/hyperlink" Target="https://pbs.twimg.com/profile_images/378800000213382003/4f562b59f92995b884d2d440f71fc5ce_normal.png" TargetMode="External"/><Relationship Id="rId3193" Type="http://schemas.openxmlformats.org/officeDocument/2006/relationships/hyperlink" Target="https://pbs.twimg.com/profile_images/793434901961990145/ELxis0pD_normal.jpg" TargetMode="External"/><Relationship Id="rId3192" Type="http://schemas.openxmlformats.org/officeDocument/2006/relationships/hyperlink" Target="https://twitter.com/amordivino20131/status/804833499333197824" TargetMode="External"/><Relationship Id="rId3195" Type="http://schemas.openxmlformats.org/officeDocument/2006/relationships/hyperlink" Target="https://twitter.com/collectingsmile/status/804834193188470785" TargetMode="External"/><Relationship Id="rId3194" Type="http://schemas.openxmlformats.org/officeDocument/2006/relationships/hyperlink" Target="https://twitter.com/collectingsmile" TargetMode="External"/><Relationship Id="rId3197" Type="http://schemas.openxmlformats.org/officeDocument/2006/relationships/hyperlink" Target="https://twitter.com/FlavoursandFros" TargetMode="External"/><Relationship Id="rId3196" Type="http://schemas.openxmlformats.org/officeDocument/2006/relationships/hyperlink" Target="https://pbs.twimg.com/profile_images/267232211/me_normal.jpg" TargetMode="External"/><Relationship Id="rId3199" Type="http://schemas.openxmlformats.org/officeDocument/2006/relationships/hyperlink" Target="https://pbs.twimg.com/profile_images/661504929606057984/Q5xrk4Oc_normal.jpg" TargetMode="External"/><Relationship Id="rId3198" Type="http://schemas.openxmlformats.org/officeDocument/2006/relationships/hyperlink" Target="https://twitter.com/FlavoursandFros/status/804841666876149760" TargetMode="External"/><Relationship Id="rId3180" Type="http://schemas.openxmlformats.org/officeDocument/2006/relationships/hyperlink" Target="https://twitter.com/javicelard/status/804823047597268993" TargetMode="External"/><Relationship Id="rId3182" Type="http://schemas.openxmlformats.org/officeDocument/2006/relationships/hyperlink" Target="https://twitter.com/JulioAl18175505" TargetMode="External"/><Relationship Id="rId3181" Type="http://schemas.openxmlformats.org/officeDocument/2006/relationships/hyperlink" Target="https://pbs.twimg.com/profile_images/1377811605/Kh853uky_normal" TargetMode="External"/><Relationship Id="rId3184" Type="http://schemas.openxmlformats.org/officeDocument/2006/relationships/hyperlink" Target="https://pbs.twimg.com/profile_images/706839494851436544/7igsf91D_normal.jpg" TargetMode="External"/><Relationship Id="rId3183" Type="http://schemas.openxmlformats.org/officeDocument/2006/relationships/hyperlink" Target="https://twitter.com/JulioAl18175505/status/804830387797192704" TargetMode="External"/><Relationship Id="rId3186" Type="http://schemas.openxmlformats.org/officeDocument/2006/relationships/hyperlink" Target="https://twitter.com/swisshop4uEs/status/804830395921534981" TargetMode="External"/><Relationship Id="rId3185" Type="http://schemas.openxmlformats.org/officeDocument/2006/relationships/hyperlink" Target="https://twitter.com/swisshop4uEs" TargetMode="External"/><Relationship Id="rId3188" Type="http://schemas.openxmlformats.org/officeDocument/2006/relationships/hyperlink" Target="https://twitter.com/swisshop4uEs" TargetMode="External"/><Relationship Id="rId3187" Type="http://schemas.openxmlformats.org/officeDocument/2006/relationships/hyperlink" Target="https://pbs.twimg.com/profile_images/378800000213382003/4f562b59f92995b884d2d440f71fc5ce_normal.png" TargetMode="External"/><Relationship Id="rId3189" Type="http://schemas.openxmlformats.org/officeDocument/2006/relationships/hyperlink" Target="https://twitter.com/swisshop4uEs/status/804830396018003969" TargetMode="External"/><Relationship Id="rId4480" Type="http://schemas.openxmlformats.org/officeDocument/2006/relationships/hyperlink" Target="https://twitter.com/87Donate" TargetMode="External"/><Relationship Id="rId3151" Type="http://schemas.openxmlformats.org/officeDocument/2006/relationships/hyperlink" Target="https://pbs.twimg.com/profile_images/766745270193426432/-pqAF1F4_normal.jpg" TargetMode="External"/><Relationship Id="rId4482" Type="http://schemas.openxmlformats.org/officeDocument/2006/relationships/hyperlink" Target="https://pbs.twimg.com/profile_images/750059130644209664/pj0lp30Q_normal.jpg" TargetMode="External"/><Relationship Id="rId3150" Type="http://schemas.openxmlformats.org/officeDocument/2006/relationships/hyperlink" Target="https://twitter.com/PaulaYamiley/status/804809782347624448" TargetMode="External"/><Relationship Id="rId4481" Type="http://schemas.openxmlformats.org/officeDocument/2006/relationships/hyperlink" Target="https://twitter.com/87Donate/status/805826744250957824" TargetMode="External"/><Relationship Id="rId3153" Type="http://schemas.openxmlformats.org/officeDocument/2006/relationships/hyperlink" Target="https://twitter.com/javier_e_br/status/804810019988500480" TargetMode="External"/><Relationship Id="rId4484" Type="http://schemas.openxmlformats.org/officeDocument/2006/relationships/hyperlink" Target="https://twitter.com/abananasocial/status/805830417593016320" TargetMode="External"/><Relationship Id="rId3152" Type="http://schemas.openxmlformats.org/officeDocument/2006/relationships/hyperlink" Target="https://twitter.com/javier_e_br" TargetMode="External"/><Relationship Id="rId4483" Type="http://schemas.openxmlformats.org/officeDocument/2006/relationships/hyperlink" Target="https://twitter.com/abananasocial" TargetMode="External"/><Relationship Id="rId3155" Type="http://schemas.openxmlformats.org/officeDocument/2006/relationships/hyperlink" Target="https://twitter.com/fourthjude" TargetMode="External"/><Relationship Id="rId4486" Type="http://schemas.openxmlformats.org/officeDocument/2006/relationships/hyperlink" Target="https://twitter.com/Emma_3072" TargetMode="External"/><Relationship Id="rId3154" Type="http://schemas.openxmlformats.org/officeDocument/2006/relationships/hyperlink" Target="https://pbs.twimg.com/profile_images/782870651996692480/6jjashki_normal.jpg" TargetMode="External"/><Relationship Id="rId4485" Type="http://schemas.openxmlformats.org/officeDocument/2006/relationships/hyperlink" Target="https://pbs.twimg.com/profile_images/793692090697916416/tPLA_oyK_normal.jpg" TargetMode="External"/><Relationship Id="rId3157" Type="http://schemas.openxmlformats.org/officeDocument/2006/relationships/hyperlink" Target="https://pbs.twimg.com/profile_images/795818164600836100/nz_f2Xj1_normal.jpg" TargetMode="External"/><Relationship Id="rId4488" Type="http://schemas.openxmlformats.org/officeDocument/2006/relationships/hyperlink" Target="https://pbs.twimg.com/profile_images/803685475009654791/j3VyCY47_normal.jpg" TargetMode="External"/><Relationship Id="rId3156" Type="http://schemas.openxmlformats.org/officeDocument/2006/relationships/hyperlink" Target="https://twitter.com/fourthjude/status/804813275959529472" TargetMode="External"/><Relationship Id="rId4487" Type="http://schemas.openxmlformats.org/officeDocument/2006/relationships/hyperlink" Target="https://twitter.com/Emma_3072/status/805830869441282048" TargetMode="External"/><Relationship Id="rId3159" Type="http://schemas.openxmlformats.org/officeDocument/2006/relationships/hyperlink" Target="https://twitter.com/hoimetliske/status/804814308177809409" TargetMode="External"/><Relationship Id="rId3158" Type="http://schemas.openxmlformats.org/officeDocument/2006/relationships/hyperlink" Target="https://twitter.com/hoimetliske" TargetMode="External"/><Relationship Id="rId4489" Type="http://schemas.openxmlformats.org/officeDocument/2006/relationships/hyperlink" Target="https://twitter.com/RToval1611" TargetMode="External"/><Relationship Id="rId3149" Type="http://schemas.openxmlformats.org/officeDocument/2006/relationships/hyperlink" Target="https://twitter.com/PaulaYamiley" TargetMode="External"/><Relationship Id="rId3140" Type="http://schemas.openxmlformats.org/officeDocument/2006/relationships/hyperlink" Target="https://twitter.com/swisshop4uEs" TargetMode="External"/><Relationship Id="rId4471" Type="http://schemas.openxmlformats.org/officeDocument/2006/relationships/hyperlink" Target="https://twitter.com/LesRandosdeCaco" TargetMode="External"/><Relationship Id="rId4470" Type="http://schemas.openxmlformats.org/officeDocument/2006/relationships/hyperlink" Target="https://pbs.twimg.com/profile_images/598112763890823168/Lfk5ONzs_normal.jpg" TargetMode="External"/><Relationship Id="rId3142" Type="http://schemas.openxmlformats.org/officeDocument/2006/relationships/hyperlink" Target="https://pbs.twimg.com/profile_images/378800000213382003/4f562b59f92995b884d2d440f71fc5ce_normal.png" TargetMode="External"/><Relationship Id="rId4473" Type="http://schemas.openxmlformats.org/officeDocument/2006/relationships/hyperlink" Target="https://pbs.twimg.com/profile_images/802073872866705408/wMHnHYch_normal.jpg" TargetMode="External"/><Relationship Id="rId3141" Type="http://schemas.openxmlformats.org/officeDocument/2006/relationships/hyperlink" Target="https://twitter.com/swisshop4uEs/status/804808281671798784" TargetMode="External"/><Relationship Id="rId4472" Type="http://schemas.openxmlformats.org/officeDocument/2006/relationships/hyperlink" Target="https://twitter.com/LesRandosdeCaco/status/805818279386345473" TargetMode="External"/><Relationship Id="rId3144" Type="http://schemas.openxmlformats.org/officeDocument/2006/relationships/hyperlink" Target="https://twitter.com/Airamlvarez/status/804809070242885637" TargetMode="External"/><Relationship Id="rId4475" Type="http://schemas.openxmlformats.org/officeDocument/2006/relationships/hyperlink" Target="https://twitter.com/SimonTurkas/status/805818367982665728" TargetMode="External"/><Relationship Id="rId3143" Type="http://schemas.openxmlformats.org/officeDocument/2006/relationships/hyperlink" Target="https://twitter.com/Airamlvarez" TargetMode="External"/><Relationship Id="rId4474" Type="http://schemas.openxmlformats.org/officeDocument/2006/relationships/hyperlink" Target="https://twitter.com/SimonTurkas" TargetMode="External"/><Relationship Id="rId3146" Type="http://schemas.openxmlformats.org/officeDocument/2006/relationships/hyperlink" Target="https://twitter.com/AviadorEA" TargetMode="External"/><Relationship Id="rId4477" Type="http://schemas.openxmlformats.org/officeDocument/2006/relationships/hyperlink" Target="https://twitter.com/87Donate" TargetMode="External"/><Relationship Id="rId3145" Type="http://schemas.openxmlformats.org/officeDocument/2006/relationships/hyperlink" Target="https://pbs.twimg.com/profile_images/709045437307756544/ubpJyUhs_normal.jpg" TargetMode="External"/><Relationship Id="rId4476" Type="http://schemas.openxmlformats.org/officeDocument/2006/relationships/hyperlink" Target="https://pbs.twimg.com/profile_images/800292908008144896/TiECGUpd_normal.jpg" TargetMode="External"/><Relationship Id="rId3148" Type="http://schemas.openxmlformats.org/officeDocument/2006/relationships/hyperlink" Target="https://pbs.twimg.com/profile_images/3042664289/04037c6454a656b90571af31056040f9_normal.jpeg" TargetMode="External"/><Relationship Id="rId4479" Type="http://schemas.openxmlformats.org/officeDocument/2006/relationships/hyperlink" Target="https://pbs.twimg.com/profile_images/750059130644209664/pj0lp30Q_normal.jpg" TargetMode="External"/><Relationship Id="rId3147" Type="http://schemas.openxmlformats.org/officeDocument/2006/relationships/hyperlink" Target="https://twitter.com/AviadorEA/status/804809543653978116" TargetMode="External"/><Relationship Id="rId4478" Type="http://schemas.openxmlformats.org/officeDocument/2006/relationships/hyperlink" Target="https://twitter.com/87Donate/status/805826710717558784" TargetMode="External"/><Relationship Id="rId3171" Type="http://schemas.openxmlformats.org/officeDocument/2006/relationships/hyperlink" Target="https://twitter.com/JulioAl18175505/status/804817157573984261" TargetMode="External"/><Relationship Id="rId3170" Type="http://schemas.openxmlformats.org/officeDocument/2006/relationships/hyperlink" Target="https://twitter.com/JulioAl18175505" TargetMode="External"/><Relationship Id="rId3173" Type="http://schemas.openxmlformats.org/officeDocument/2006/relationships/hyperlink" Target="https://twitter.com/aClilToClimb" TargetMode="External"/><Relationship Id="rId3172" Type="http://schemas.openxmlformats.org/officeDocument/2006/relationships/hyperlink" Target="https://pbs.twimg.com/profile_images/706839494851436544/7igsf91D_normal.jpg" TargetMode="External"/><Relationship Id="rId3175" Type="http://schemas.openxmlformats.org/officeDocument/2006/relationships/hyperlink" Target="https://pbs.twimg.com/profile_images/501473384681578496/DUT-NmBS_normal.jpeg" TargetMode="External"/><Relationship Id="rId3174" Type="http://schemas.openxmlformats.org/officeDocument/2006/relationships/hyperlink" Target="https://twitter.com/aClilToClimb/status/804820838805569536" TargetMode="External"/><Relationship Id="rId3177" Type="http://schemas.openxmlformats.org/officeDocument/2006/relationships/hyperlink" Target="https://twitter.com/javicelard/status/804822602652884992" TargetMode="External"/><Relationship Id="rId3176" Type="http://schemas.openxmlformats.org/officeDocument/2006/relationships/hyperlink" Target="https://twitter.com/javicelard" TargetMode="External"/><Relationship Id="rId3179" Type="http://schemas.openxmlformats.org/officeDocument/2006/relationships/hyperlink" Target="https://twitter.com/javicelard" TargetMode="External"/><Relationship Id="rId3178" Type="http://schemas.openxmlformats.org/officeDocument/2006/relationships/hyperlink" Target="https://pbs.twimg.com/profile_images/1377811605/Kh853uky_normal" TargetMode="External"/><Relationship Id="rId3160" Type="http://schemas.openxmlformats.org/officeDocument/2006/relationships/hyperlink" Target="https://pbs.twimg.com/profile_images/773126432612610048/7YHoNnKM_normal.jpg" TargetMode="External"/><Relationship Id="rId4491" Type="http://schemas.openxmlformats.org/officeDocument/2006/relationships/hyperlink" Target="https://pbs.twimg.com/profile_images/726742269185933312/JY4JFhPO_normal.jpg" TargetMode="External"/><Relationship Id="rId4490" Type="http://schemas.openxmlformats.org/officeDocument/2006/relationships/hyperlink" Target="https://twitter.com/RToval1611/status/805836004770902017" TargetMode="External"/><Relationship Id="rId3162" Type="http://schemas.openxmlformats.org/officeDocument/2006/relationships/hyperlink" Target="https://twitter.com/LesRandosdeCaco/status/804814657366200320" TargetMode="External"/><Relationship Id="rId4493" Type="http://schemas.openxmlformats.org/officeDocument/2006/relationships/hyperlink" Target="https://twitter.com/iBydaute/status/805841113143595008" TargetMode="External"/><Relationship Id="rId3161" Type="http://schemas.openxmlformats.org/officeDocument/2006/relationships/hyperlink" Target="https://twitter.com/LesRandosdeCaco" TargetMode="External"/><Relationship Id="rId4492" Type="http://schemas.openxmlformats.org/officeDocument/2006/relationships/hyperlink" Target="https://twitter.com/iBydaute" TargetMode="External"/><Relationship Id="rId3164" Type="http://schemas.openxmlformats.org/officeDocument/2006/relationships/hyperlink" Target="https://twitter.com/churchatworknl" TargetMode="External"/><Relationship Id="rId4495" Type="http://schemas.openxmlformats.org/officeDocument/2006/relationships/hyperlink" Target="https://twitter.com/NelsonTeixeira" TargetMode="External"/><Relationship Id="rId3163" Type="http://schemas.openxmlformats.org/officeDocument/2006/relationships/hyperlink" Target="https://pbs.twimg.com/profile_images/802073872866705408/wMHnHYch_normal.jpg" TargetMode="External"/><Relationship Id="rId4494" Type="http://schemas.openxmlformats.org/officeDocument/2006/relationships/hyperlink" Target="https://pbs.twimg.com/profile_images/703743884745187328/qEMih7VE_normal.jpg" TargetMode="External"/><Relationship Id="rId3166" Type="http://schemas.openxmlformats.org/officeDocument/2006/relationships/hyperlink" Target="https://pbs.twimg.com/profile_images/457174004868980736/psegl2Bm_normal.png" TargetMode="External"/><Relationship Id="rId4497" Type="http://schemas.openxmlformats.org/officeDocument/2006/relationships/hyperlink" Target="https://pbs.twimg.com/profile_images/1287142423/_MG_8906_normal.jpg" TargetMode="External"/><Relationship Id="rId3165" Type="http://schemas.openxmlformats.org/officeDocument/2006/relationships/hyperlink" Target="https://twitter.com/churchatworknl/status/804815140210221057" TargetMode="External"/><Relationship Id="rId4496" Type="http://schemas.openxmlformats.org/officeDocument/2006/relationships/hyperlink" Target="https://twitter.com/NelsonTeixeira/status/805843203819708416" TargetMode="External"/><Relationship Id="rId3168" Type="http://schemas.openxmlformats.org/officeDocument/2006/relationships/hyperlink" Target="https://twitter.com/xufospace/status/804817009372491776" TargetMode="External"/><Relationship Id="rId4499" Type="http://schemas.openxmlformats.org/officeDocument/2006/relationships/hyperlink" Target="https://twitter.com/NelsonTeixeira/status/805843222002077696" TargetMode="External"/><Relationship Id="rId3167" Type="http://schemas.openxmlformats.org/officeDocument/2006/relationships/hyperlink" Target="https://twitter.com/xufospace" TargetMode="External"/><Relationship Id="rId4498" Type="http://schemas.openxmlformats.org/officeDocument/2006/relationships/hyperlink" Target="https://twitter.com/NelsonTeixeira" TargetMode="External"/><Relationship Id="rId3169" Type="http://schemas.openxmlformats.org/officeDocument/2006/relationships/hyperlink" Target="https://pbs.twimg.com/profile_images/764568767942844417/blg88kk0_normal.jpg" TargetMode="External"/><Relationship Id="rId2700" Type="http://schemas.openxmlformats.org/officeDocument/2006/relationships/hyperlink" Target="https://twitter.com/CombatAir" TargetMode="External"/><Relationship Id="rId2701" Type="http://schemas.openxmlformats.org/officeDocument/2006/relationships/hyperlink" Target="https://twitter.com/CombatAir/status/804647028450095104" TargetMode="External"/><Relationship Id="rId2702" Type="http://schemas.openxmlformats.org/officeDocument/2006/relationships/hyperlink" Target="https://pbs.twimg.com/profile_images/1245143792/090622-N-7780S-777_normal.jpg" TargetMode="External"/><Relationship Id="rId2703" Type="http://schemas.openxmlformats.org/officeDocument/2006/relationships/hyperlink" Target="https://twitter.com/CmrLimited" TargetMode="External"/><Relationship Id="rId2704" Type="http://schemas.openxmlformats.org/officeDocument/2006/relationships/hyperlink" Target="https://twitter.com/CmrLimited/status/804647107198119936" TargetMode="External"/><Relationship Id="rId2705" Type="http://schemas.openxmlformats.org/officeDocument/2006/relationships/hyperlink" Target="https://pbs.twimg.com/profile_images/803970770431000581/dcA5utoN_normal.jpg" TargetMode="External"/><Relationship Id="rId2706" Type="http://schemas.openxmlformats.org/officeDocument/2006/relationships/hyperlink" Target="https://twitter.com/TSNighthawk" TargetMode="External"/><Relationship Id="rId2707" Type="http://schemas.openxmlformats.org/officeDocument/2006/relationships/hyperlink" Target="https://twitter.com/TSNighthawk/status/804647138466656256" TargetMode="External"/><Relationship Id="rId2708" Type="http://schemas.openxmlformats.org/officeDocument/2006/relationships/hyperlink" Target="https://pbs.twimg.com/profile_images/757106327223144448/YAzw5lNd_normal.jpg" TargetMode="External"/><Relationship Id="rId2709" Type="http://schemas.openxmlformats.org/officeDocument/2006/relationships/hyperlink" Target="https://twitter.com/mquirozt" TargetMode="External"/><Relationship Id="rId2720" Type="http://schemas.openxmlformats.org/officeDocument/2006/relationships/hyperlink" Target="https://pbs.twimg.com/profile_images/751711463388090368/ME2XuG6a_normal.jpg" TargetMode="External"/><Relationship Id="rId2721" Type="http://schemas.openxmlformats.org/officeDocument/2006/relationships/hyperlink" Target="https://twitter.com/top_force" TargetMode="External"/><Relationship Id="rId2722" Type="http://schemas.openxmlformats.org/officeDocument/2006/relationships/hyperlink" Target="https://twitter.com/top_force/status/804650885703942144" TargetMode="External"/><Relationship Id="rId2723" Type="http://schemas.openxmlformats.org/officeDocument/2006/relationships/hyperlink" Target="https://pbs.twimg.com/profile_images/378800000623377639/064e969e3d6ee61c50a4c36f8d3c30b7_normal.jpeg" TargetMode="External"/><Relationship Id="rId2724" Type="http://schemas.openxmlformats.org/officeDocument/2006/relationships/hyperlink" Target="https://twitter.com/Antwane29" TargetMode="External"/><Relationship Id="rId2725" Type="http://schemas.openxmlformats.org/officeDocument/2006/relationships/hyperlink" Target="https://twitter.com/Antwane29/status/804651271223447552" TargetMode="External"/><Relationship Id="rId2726" Type="http://schemas.openxmlformats.org/officeDocument/2006/relationships/hyperlink" Target="https://pbs.twimg.com/profile_images/783336086433062912/iYH-r0S6_normal.jpg" TargetMode="External"/><Relationship Id="rId2727" Type="http://schemas.openxmlformats.org/officeDocument/2006/relationships/hyperlink" Target="https://twitter.com/KBandrovsky" TargetMode="External"/><Relationship Id="rId2728" Type="http://schemas.openxmlformats.org/officeDocument/2006/relationships/hyperlink" Target="https://twitter.com/KBandrovsky/status/804652381799677952" TargetMode="External"/><Relationship Id="rId2729" Type="http://schemas.openxmlformats.org/officeDocument/2006/relationships/hyperlink" Target="https://pbs.twimg.com/profile_images/799487403782184960/QmcGTSVd_normal.jpg" TargetMode="External"/><Relationship Id="rId2710" Type="http://schemas.openxmlformats.org/officeDocument/2006/relationships/hyperlink" Target="https://twitter.com/mquirozt/status/804647324328849408" TargetMode="External"/><Relationship Id="rId2711" Type="http://schemas.openxmlformats.org/officeDocument/2006/relationships/hyperlink" Target="https://pbs.twimg.com/profile_images/774447613529694208/WOMMOLSH_normal.jpg" TargetMode="External"/><Relationship Id="rId2712" Type="http://schemas.openxmlformats.org/officeDocument/2006/relationships/hyperlink" Target="https://twitter.com/hukubutyo2501" TargetMode="External"/><Relationship Id="rId2713" Type="http://schemas.openxmlformats.org/officeDocument/2006/relationships/hyperlink" Target="https://twitter.com/hukubutyo2501/status/804647493371736064" TargetMode="External"/><Relationship Id="rId2714" Type="http://schemas.openxmlformats.org/officeDocument/2006/relationships/hyperlink" Target="https://pbs.twimg.com/profile_images/703565383265988608/abGmPVpV_normal.jpg" TargetMode="External"/><Relationship Id="rId2715" Type="http://schemas.openxmlformats.org/officeDocument/2006/relationships/hyperlink" Target="https://twitter.com/mundosefarad" TargetMode="External"/><Relationship Id="rId2716" Type="http://schemas.openxmlformats.org/officeDocument/2006/relationships/hyperlink" Target="https://twitter.com/mundosefarad/status/804647733877493760" TargetMode="External"/><Relationship Id="rId2717" Type="http://schemas.openxmlformats.org/officeDocument/2006/relationships/hyperlink" Target="https://pbs.twimg.com/profile_images/528085515124228096/9ofxGHOj_normal.jpeg" TargetMode="External"/><Relationship Id="rId2718" Type="http://schemas.openxmlformats.org/officeDocument/2006/relationships/hyperlink" Target="https://twitter.com/ManNam110" TargetMode="External"/><Relationship Id="rId2719" Type="http://schemas.openxmlformats.org/officeDocument/2006/relationships/hyperlink" Target="https://twitter.com/ManNam110/status/804648808596566016" TargetMode="External"/><Relationship Id="rId1455" Type="http://schemas.openxmlformats.org/officeDocument/2006/relationships/hyperlink" Target="https://pbs.twimg.com/profile_images/1617162796/S4010009_normal.JPG" TargetMode="External"/><Relationship Id="rId2786" Type="http://schemas.openxmlformats.org/officeDocument/2006/relationships/hyperlink" Target="https://twitter.com/sergiosillas19/status/804665390810984448" TargetMode="External"/><Relationship Id="rId1456" Type="http://schemas.openxmlformats.org/officeDocument/2006/relationships/hyperlink" Target="https://twitter.com/SuneHolidays" TargetMode="External"/><Relationship Id="rId2787" Type="http://schemas.openxmlformats.org/officeDocument/2006/relationships/hyperlink" Target="https://pbs.twimg.com/profile_images/556591896097980417/0ETlQoSK_normal.jpeg" TargetMode="External"/><Relationship Id="rId1457" Type="http://schemas.openxmlformats.org/officeDocument/2006/relationships/hyperlink" Target="https://twitter.com/SuneHolidays/status/803878736865017857" TargetMode="External"/><Relationship Id="rId2788" Type="http://schemas.openxmlformats.org/officeDocument/2006/relationships/hyperlink" Target="https://twitter.com/homesundersun" TargetMode="External"/><Relationship Id="rId1458" Type="http://schemas.openxmlformats.org/officeDocument/2006/relationships/hyperlink" Target="https://pbs.twimg.com/profile_images/686922727480029184/9ztyb32p_normal.jpg" TargetMode="External"/><Relationship Id="rId2789" Type="http://schemas.openxmlformats.org/officeDocument/2006/relationships/hyperlink" Target="https://twitter.com/homesundersun/status/804665982082043904" TargetMode="External"/><Relationship Id="rId1459" Type="http://schemas.openxmlformats.org/officeDocument/2006/relationships/hyperlink" Target="https://twitter.com/KeyserSoSo" TargetMode="External"/><Relationship Id="rId629" Type="http://schemas.openxmlformats.org/officeDocument/2006/relationships/hyperlink" Target="https://twitter.com/Selhso/status/803216545904201728" TargetMode="External"/><Relationship Id="rId624" Type="http://schemas.openxmlformats.org/officeDocument/2006/relationships/hyperlink" Target="https://pbs.twimg.com/profile_images/553463244602351616/oby3GHkM_normal.jpeg" TargetMode="External"/><Relationship Id="rId623" Type="http://schemas.openxmlformats.org/officeDocument/2006/relationships/hyperlink" Target="https://twitter.com/SpainInRussia/status/803211596021530624" TargetMode="External"/><Relationship Id="rId622" Type="http://schemas.openxmlformats.org/officeDocument/2006/relationships/hyperlink" Target="https://twitter.com/SpainInRussia" TargetMode="External"/><Relationship Id="rId621" Type="http://schemas.openxmlformats.org/officeDocument/2006/relationships/hyperlink" Target="https://pbs.twimg.com/profile_images/3486330463/b7c52c6bb3a196c0796592d5ae13fa98_normal.jpeg" TargetMode="External"/><Relationship Id="rId628" Type="http://schemas.openxmlformats.org/officeDocument/2006/relationships/hyperlink" Target="https://twitter.com/Selhso" TargetMode="External"/><Relationship Id="rId627" Type="http://schemas.openxmlformats.org/officeDocument/2006/relationships/hyperlink" Target="https://pbs.twimg.com/profile_images/693087403129573376/KcJrOeqS_normal.jpg" TargetMode="External"/><Relationship Id="rId626" Type="http://schemas.openxmlformats.org/officeDocument/2006/relationships/hyperlink" Target="https://twitter.com/yourgolftravel/status/803212848751083522" TargetMode="External"/><Relationship Id="rId625" Type="http://schemas.openxmlformats.org/officeDocument/2006/relationships/hyperlink" Target="https://twitter.com/yourgolftravel" TargetMode="External"/><Relationship Id="rId2780" Type="http://schemas.openxmlformats.org/officeDocument/2006/relationships/hyperlink" Target="https://twitter.com/emoji_fight/status/804664573471158272" TargetMode="External"/><Relationship Id="rId1450" Type="http://schemas.openxmlformats.org/officeDocument/2006/relationships/hyperlink" Target="https://twitter.com/CositasCanarias" TargetMode="External"/><Relationship Id="rId2781" Type="http://schemas.openxmlformats.org/officeDocument/2006/relationships/hyperlink" Target="https://pbs.twimg.com/profile_images/780121500447825920/KgNX1k09_normal.jpg" TargetMode="External"/><Relationship Id="rId620" Type="http://schemas.openxmlformats.org/officeDocument/2006/relationships/hyperlink" Target="https://twitter.com/AcmeWorks/status/803207223283306497" TargetMode="External"/><Relationship Id="rId1451" Type="http://schemas.openxmlformats.org/officeDocument/2006/relationships/hyperlink" Target="https://twitter.com/CositasCanarias/status/803870513185619969" TargetMode="External"/><Relationship Id="rId2782" Type="http://schemas.openxmlformats.org/officeDocument/2006/relationships/hyperlink" Target="https://twitter.com/conCospedal" TargetMode="External"/><Relationship Id="rId1452" Type="http://schemas.openxmlformats.org/officeDocument/2006/relationships/hyperlink" Target="https://pbs.twimg.com/profile_images/722353442321260544/juVRAeF1_normal.jpg" TargetMode="External"/><Relationship Id="rId2783" Type="http://schemas.openxmlformats.org/officeDocument/2006/relationships/hyperlink" Target="https://twitter.com/conCospedal/status/804665270467960833" TargetMode="External"/><Relationship Id="rId1453" Type="http://schemas.openxmlformats.org/officeDocument/2006/relationships/hyperlink" Target="https://twitter.com/de1969" TargetMode="External"/><Relationship Id="rId2784" Type="http://schemas.openxmlformats.org/officeDocument/2006/relationships/hyperlink" Target="https://pbs.twimg.com/profile_images/735780895240519680/rqPJXO4B_normal.jpg" TargetMode="External"/><Relationship Id="rId1454" Type="http://schemas.openxmlformats.org/officeDocument/2006/relationships/hyperlink" Target="https://twitter.com/de1969/status/803878408941932544" TargetMode="External"/><Relationship Id="rId2785" Type="http://schemas.openxmlformats.org/officeDocument/2006/relationships/hyperlink" Target="https://twitter.com/sergiosillas19" TargetMode="External"/><Relationship Id="rId1444" Type="http://schemas.openxmlformats.org/officeDocument/2006/relationships/hyperlink" Target="https://twitter.com/_TenDive" TargetMode="External"/><Relationship Id="rId2775" Type="http://schemas.openxmlformats.org/officeDocument/2006/relationships/hyperlink" Target="https://pbs.twimg.com/profile_images/514748311559892993/QIp5AWD4_normal.jpeg" TargetMode="External"/><Relationship Id="rId1445" Type="http://schemas.openxmlformats.org/officeDocument/2006/relationships/hyperlink" Target="https://twitter.com/_TenDive/status/803855734958096384" TargetMode="External"/><Relationship Id="rId2776" Type="http://schemas.openxmlformats.org/officeDocument/2006/relationships/hyperlink" Target="https://twitter.com/UCAmIIWAAL" TargetMode="External"/><Relationship Id="rId1446" Type="http://schemas.openxmlformats.org/officeDocument/2006/relationships/hyperlink" Target="https://pbs.twimg.com/profile_images/694439157893107712/KkG57Zcq_normal.jpg" TargetMode="External"/><Relationship Id="rId2777" Type="http://schemas.openxmlformats.org/officeDocument/2006/relationships/hyperlink" Target="https://twitter.com/UCAmIIWAAL/status/804664403060789248" TargetMode="External"/><Relationship Id="rId1447" Type="http://schemas.openxmlformats.org/officeDocument/2006/relationships/hyperlink" Target="https://twitter.com/wineworldtoursp" TargetMode="External"/><Relationship Id="rId2778" Type="http://schemas.openxmlformats.org/officeDocument/2006/relationships/hyperlink" Target="https://pbs.twimg.com/profile_images/713310925701427200/i_WxL0Us_normal.jpg" TargetMode="External"/><Relationship Id="rId1448" Type="http://schemas.openxmlformats.org/officeDocument/2006/relationships/hyperlink" Target="https://twitter.com/wineworldtoursp/status/803863626075475968" TargetMode="External"/><Relationship Id="rId2779" Type="http://schemas.openxmlformats.org/officeDocument/2006/relationships/hyperlink" Target="https://twitter.com/emoji_fight" TargetMode="External"/><Relationship Id="rId1449" Type="http://schemas.openxmlformats.org/officeDocument/2006/relationships/hyperlink" Target="https://pbs.twimg.com/profile_images/779822285364596736/EACWw1OE_normal.jpg" TargetMode="External"/><Relationship Id="rId619" Type="http://schemas.openxmlformats.org/officeDocument/2006/relationships/hyperlink" Target="https://twitter.com/AcmeWorks" TargetMode="External"/><Relationship Id="rId618" Type="http://schemas.openxmlformats.org/officeDocument/2006/relationships/hyperlink" Target="https://abs.twimg.com/sticky/default_profile_images/default_profile_3_normal.png" TargetMode="External"/><Relationship Id="rId613" Type="http://schemas.openxmlformats.org/officeDocument/2006/relationships/hyperlink" Target="https://twitter.com/HMInsightGroup" TargetMode="External"/><Relationship Id="rId612" Type="http://schemas.openxmlformats.org/officeDocument/2006/relationships/hyperlink" Target="https://pbs.twimg.com/profile_images/773520586832216064/AGLz4fuI_normal.jpg" TargetMode="External"/><Relationship Id="rId611" Type="http://schemas.openxmlformats.org/officeDocument/2006/relationships/hyperlink" Target="https://twitter.com/R753Rfw753/status/803204509153390592" TargetMode="External"/><Relationship Id="rId610" Type="http://schemas.openxmlformats.org/officeDocument/2006/relationships/hyperlink" Target="https://twitter.com/R753Rfw753" TargetMode="External"/><Relationship Id="rId617" Type="http://schemas.openxmlformats.org/officeDocument/2006/relationships/hyperlink" Target="https://twitter.com/debbiedavidson4/status/803205648569737216" TargetMode="External"/><Relationship Id="rId616" Type="http://schemas.openxmlformats.org/officeDocument/2006/relationships/hyperlink" Target="https://twitter.com/debbiedavidson4" TargetMode="External"/><Relationship Id="rId615" Type="http://schemas.openxmlformats.org/officeDocument/2006/relationships/hyperlink" Target="https://pbs.twimg.com/profile_images/753604598494072832/seEUqt8F_normal.jpg" TargetMode="External"/><Relationship Id="rId614" Type="http://schemas.openxmlformats.org/officeDocument/2006/relationships/hyperlink" Target="https://twitter.com/HMInsightGroup/status/803205523495669760" TargetMode="External"/><Relationship Id="rId2770" Type="http://schemas.openxmlformats.org/officeDocument/2006/relationships/hyperlink" Target="https://twitter.com/islaspromo" TargetMode="External"/><Relationship Id="rId1440" Type="http://schemas.openxmlformats.org/officeDocument/2006/relationships/hyperlink" Target="https://pbs.twimg.com/profile_images/798476790478073856/iOD0HIRa_normal.jpg" TargetMode="External"/><Relationship Id="rId2771" Type="http://schemas.openxmlformats.org/officeDocument/2006/relationships/hyperlink" Target="https://twitter.com/islaspromo/status/804661310084567040" TargetMode="External"/><Relationship Id="rId1441" Type="http://schemas.openxmlformats.org/officeDocument/2006/relationships/hyperlink" Target="https://twitter.com/tibaldo78" TargetMode="External"/><Relationship Id="rId2772" Type="http://schemas.openxmlformats.org/officeDocument/2006/relationships/hyperlink" Target="https://pbs.twimg.com/profile_images/570644453866483712/dvbC2x8W_normal.jpeg" TargetMode="External"/><Relationship Id="rId1442" Type="http://schemas.openxmlformats.org/officeDocument/2006/relationships/hyperlink" Target="https://twitter.com/tibaldo78/status/803854699644456960" TargetMode="External"/><Relationship Id="rId2773" Type="http://schemas.openxmlformats.org/officeDocument/2006/relationships/hyperlink" Target="https://twitter.com/solutions_board" TargetMode="External"/><Relationship Id="rId1443" Type="http://schemas.openxmlformats.org/officeDocument/2006/relationships/hyperlink" Target="https://pbs.twimg.com/profile_images/805176826326818816/h29iU1nd_normal.jpg" TargetMode="External"/><Relationship Id="rId2774" Type="http://schemas.openxmlformats.org/officeDocument/2006/relationships/hyperlink" Target="https://twitter.com/solutions_board/status/804661695419387904" TargetMode="External"/><Relationship Id="rId1477" Type="http://schemas.openxmlformats.org/officeDocument/2006/relationships/hyperlink" Target="https://twitter.com/vlorarodriguez" TargetMode="External"/><Relationship Id="rId4503" Type="http://schemas.openxmlformats.org/officeDocument/2006/relationships/hyperlink" Target="https://pbs.twimg.com/profile_images/742026136801161217/evJgSUlG_normal.jpg" TargetMode="External"/><Relationship Id="rId1478" Type="http://schemas.openxmlformats.org/officeDocument/2006/relationships/hyperlink" Target="https://twitter.com/vlorarodriguez/status/803889520773103616" TargetMode="External"/><Relationship Id="rId4502" Type="http://schemas.openxmlformats.org/officeDocument/2006/relationships/hyperlink" Target="https://twitter.com/RakheeV/status/805843891056308224" TargetMode="External"/><Relationship Id="rId1479" Type="http://schemas.openxmlformats.org/officeDocument/2006/relationships/hyperlink" Target="https://pbs.twimg.com/profile_images/1214051285/Copia_de_CIMG3674_normal.JPG" TargetMode="External"/><Relationship Id="rId4505" Type="http://schemas.openxmlformats.org/officeDocument/2006/relationships/hyperlink" Target="https://twitter.com/SheikaReeves/status/805844361388949504" TargetMode="External"/><Relationship Id="rId4504" Type="http://schemas.openxmlformats.org/officeDocument/2006/relationships/hyperlink" Target="https://twitter.com/SheikaReeves" TargetMode="External"/><Relationship Id="rId4507" Type="http://schemas.openxmlformats.org/officeDocument/2006/relationships/hyperlink" Target="https://twitter.com/mhall55nine" TargetMode="External"/><Relationship Id="rId4506" Type="http://schemas.openxmlformats.org/officeDocument/2006/relationships/hyperlink" Target="https://pbs.twimg.com/profile_images/769384116286590977/4hzJKz4W_normal.jpg" TargetMode="External"/><Relationship Id="rId4509" Type="http://schemas.openxmlformats.org/officeDocument/2006/relationships/hyperlink" Target="https://pbs.twimg.com/profile_images/542516716161355776/jVb28Etr_normal.jpeg" TargetMode="External"/><Relationship Id="rId4508" Type="http://schemas.openxmlformats.org/officeDocument/2006/relationships/hyperlink" Target="https://twitter.com/mhall55nine/status/805847171677372416" TargetMode="External"/><Relationship Id="rId646" Type="http://schemas.openxmlformats.org/officeDocument/2006/relationships/hyperlink" Target="https://twitter.com/BernieJMitchell" TargetMode="External"/><Relationship Id="rId645" Type="http://schemas.openxmlformats.org/officeDocument/2006/relationships/hyperlink" Target="https://pbs.twimg.com/profile_images/753537830752845824/CAcHgdYu_normal.jpg" TargetMode="External"/><Relationship Id="rId644" Type="http://schemas.openxmlformats.org/officeDocument/2006/relationships/hyperlink" Target="https://twitter.com/auto_reisen/status/803226049014276096" TargetMode="External"/><Relationship Id="rId643" Type="http://schemas.openxmlformats.org/officeDocument/2006/relationships/hyperlink" Target="https://twitter.com/auto_reisen" TargetMode="External"/><Relationship Id="rId649" Type="http://schemas.openxmlformats.org/officeDocument/2006/relationships/hyperlink" Target="https://twitter.com/CJ_TenisClub" TargetMode="External"/><Relationship Id="rId648" Type="http://schemas.openxmlformats.org/officeDocument/2006/relationships/hyperlink" Target="https://pbs.twimg.com/profile_images/539523845917794304/xxl6b0fP_normal.jpeg" TargetMode="External"/><Relationship Id="rId647" Type="http://schemas.openxmlformats.org/officeDocument/2006/relationships/hyperlink" Target="https://twitter.com/BernieJMitchell/status/803229277571481600" TargetMode="External"/><Relationship Id="rId1470" Type="http://schemas.openxmlformats.org/officeDocument/2006/relationships/hyperlink" Target="https://pbs.twimg.com/profile_images/773127120042205184/JlU07fQy_normal.jpg" TargetMode="External"/><Relationship Id="rId1471" Type="http://schemas.openxmlformats.org/officeDocument/2006/relationships/hyperlink" Target="https://twitter.com/lapalmarss" TargetMode="External"/><Relationship Id="rId1472" Type="http://schemas.openxmlformats.org/officeDocument/2006/relationships/hyperlink" Target="https://twitter.com/lapalmarss/status/803888230257033216" TargetMode="External"/><Relationship Id="rId642" Type="http://schemas.openxmlformats.org/officeDocument/2006/relationships/hyperlink" Target="https://pbs.twimg.com/profile_images/991825290/7ifilm_LOGO_neu_normal.jpg" TargetMode="External"/><Relationship Id="rId1473" Type="http://schemas.openxmlformats.org/officeDocument/2006/relationships/hyperlink" Target="https://pbs.twimg.com/profile_images/620195113227132928/wpTI27qE_normal.jpg" TargetMode="External"/><Relationship Id="rId641" Type="http://schemas.openxmlformats.org/officeDocument/2006/relationships/hyperlink" Target="https://twitter.com/7ifilm/status/803223811063685121" TargetMode="External"/><Relationship Id="rId1474" Type="http://schemas.openxmlformats.org/officeDocument/2006/relationships/hyperlink" Target="https://twitter.com/paikea_nz" TargetMode="External"/><Relationship Id="rId640" Type="http://schemas.openxmlformats.org/officeDocument/2006/relationships/hyperlink" Target="https://twitter.com/7ifilm" TargetMode="External"/><Relationship Id="rId1475" Type="http://schemas.openxmlformats.org/officeDocument/2006/relationships/hyperlink" Target="https://twitter.com/paikea_nz/status/803888985252753410" TargetMode="External"/><Relationship Id="rId4501" Type="http://schemas.openxmlformats.org/officeDocument/2006/relationships/hyperlink" Target="https://twitter.com/RakheeV" TargetMode="External"/><Relationship Id="rId1476" Type="http://schemas.openxmlformats.org/officeDocument/2006/relationships/hyperlink" Target="https://pbs.twimg.com/profile_images/528647616423157760/LFpSUGJa_normal.jpeg" TargetMode="External"/><Relationship Id="rId4500" Type="http://schemas.openxmlformats.org/officeDocument/2006/relationships/hyperlink" Target="https://pbs.twimg.com/profile_images/1287142423/_MG_8906_normal.jpg" TargetMode="External"/><Relationship Id="rId1466" Type="http://schemas.openxmlformats.org/officeDocument/2006/relationships/hyperlink" Target="https://twitter.com/Salamanca_SSV/status/803885451312582657" TargetMode="External"/><Relationship Id="rId2797" Type="http://schemas.openxmlformats.org/officeDocument/2006/relationships/hyperlink" Target="https://twitter.com/bridgeofhopelv" TargetMode="External"/><Relationship Id="rId1467" Type="http://schemas.openxmlformats.org/officeDocument/2006/relationships/hyperlink" Target="https://pbs.twimg.com/profile_images/3461850627/70f1c6c744e939681691ad3a09d64375_normal.png" TargetMode="External"/><Relationship Id="rId2798" Type="http://schemas.openxmlformats.org/officeDocument/2006/relationships/hyperlink" Target="https://twitter.com/bridgeofhopelv/status/804669027972825089" TargetMode="External"/><Relationship Id="rId1468" Type="http://schemas.openxmlformats.org/officeDocument/2006/relationships/hyperlink" Target="https://twitter.com/RelaxiaResorts" TargetMode="External"/><Relationship Id="rId2799" Type="http://schemas.openxmlformats.org/officeDocument/2006/relationships/hyperlink" Target="https://pbs.twimg.com/profile_images/604816985944252416/5hNAFPMA_normal.jpg" TargetMode="External"/><Relationship Id="rId1469" Type="http://schemas.openxmlformats.org/officeDocument/2006/relationships/hyperlink" Target="https://twitter.com/RelaxiaResorts/status/803885803424321536" TargetMode="External"/><Relationship Id="rId635" Type="http://schemas.openxmlformats.org/officeDocument/2006/relationships/hyperlink" Target="https://twitter.com/Pamtreee/status/803219927314427904" TargetMode="External"/><Relationship Id="rId634" Type="http://schemas.openxmlformats.org/officeDocument/2006/relationships/hyperlink" Target="https://twitter.com/Pamtreee" TargetMode="External"/><Relationship Id="rId633" Type="http://schemas.openxmlformats.org/officeDocument/2006/relationships/hyperlink" Target="https://pbs.twimg.com/profile_images/742672685176623106/ktsyVcMx_normal.jpg" TargetMode="External"/><Relationship Id="rId632" Type="http://schemas.openxmlformats.org/officeDocument/2006/relationships/hyperlink" Target="https://twitter.com/Jackinuk/status/803216890021736453" TargetMode="External"/><Relationship Id="rId639" Type="http://schemas.openxmlformats.org/officeDocument/2006/relationships/hyperlink" Target="https://pbs.twimg.com/profile_images/570644453866483712/dvbC2x8W_normal.jpeg" TargetMode="External"/><Relationship Id="rId638" Type="http://schemas.openxmlformats.org/officeDocument/2006/relationships/hyperlink" Target="https://twitter.com/islaspromo/status/803221340564156416" TargetMode="External"/><Relationship Id="rId637" Type="http://schemas.openxmlformats.org/officeDocument/2006/relationships/hyperlink" Target="https://twitter.com/islaspromo" TargetMode="External"/><Relationship Id="rId636" Type="http://schemas.openxmlformats.org/officeDocument/2006/relationships/hyperlink" Target="https://pbs.twimg.com/profile_images/739738142270455809/6Qv1feI0_normal.jpg" TargetMode="External"/><Relationship Id="rId2790" Type="http://schemas.openxmlformats.org/officeDocument/2006/relationships/hyperlink" Target="https://pbs.twimg.com/profile_images/651017498373046272/9239SLpQ_normal.jpg" TargetMode="External"/><Relationship Id="rId1460" Type="http://schemas.openxmlformats.org/officeDocument/2006/relationships/hyperlink" Target="https://twitter.com/KeyserSoSo/status/803883924250394624" TargetMode="External"/><Relationship Id="rId2791" Type="http://schemas.openxmlformats.org/officeDocument/2006/relationships/hyperlink" Target="https://twitter.com/ElectroProjectL" TargetMode="External"/><Relationship Id="rId1461" Type="http://schemas.openxmlformats.org/officeDocument/2006/relationships/hyperlink" Target="https://pbs.twimg.com/profile_images/592798998773235713/aPa65SQO_normal.jpg" TargetMode="External"/><Relationship Id="rId2792" Type="http://schemas.openxmlformats.org/officeDocument/2006/relationships/hyperlink" Target="https://twitter.com/ElectroProjectL/status/804668632244645894" TargetMode="External"/><Relationship Id="rId631" Type="http://schemas.openxmlformats.org/officeDocument/2006/relationships/hyperlink" Target="https://twitter.com/Jackinuk" TargetMode="External"/><Relationship Id="rId1462" Type="http://schemas.openxmlformats.org/officeDocument/2006/relationships/hyperlink" Target="https://twitter.com/CanaryIslandsEN" TargetMode="External"/><Relationship Id="rId2793" Type="http://schemas.openxmlformats.org/officeDocument/2006/relationships/hyperlink" Target="https://pbs.twimg.com/profile_images/787361035556642817/0oDYsbqk_normal.jpg" TargetMode="External"/><Relationship Id="rId630" Type="http://schemas.openxmlformats.org/officeDocument/2006/relationships/hyperlink" Target="https://pbs.twimg.com/profile_images/800845512836579328/cKh_5hB2_normal.jpg" TargetMode="External"/><Relationship Id="rId1463" Type="http://schemas.openxmlformats.org/officeDocument/2006/relationships/hyperlink" Target="https://twitter.com/CanaryIslandsEN/status/803885059484905472" TargetMode="External"/><Relationship Id="rId2794" Type="http://schemas.openxmlformats.org/officeDocument/2006/relationships/hyperlink" Target="https://twitter.com/jesus_fontecha" TargetMode="External"/><Relationship Id="rId1464" Type="http://schemas.openxmlformats.org/officeDocument/2006/relationships/hyperlink" Target="https://pbs.twimg.com/profile_images/754960714704584704/14dQxsF8_normal.jpg" TargetMode="External"/><Relationship Id="rId2795" Type="http://schemas.openxmlformats.org/officeDocument/2006/relationships/hyperlink" Target="https://twitter.com/jesus_fontecha/status/804668925187420160" TargetMode="External"/><Relationship Id="rId1465" Type="http://schemas.openxmlformats.org/officeDocument/2006/relationships/hyperlink" Target="https://twitter.com/Salamanca_SSV" TargetMode="External"/><Relationship Id="rId2796" Type="http://schemas.openxmlformats.org/officeDocument/2006/relationships/hyperlink" Target="https://pbs.twimg.com/profile_images/664582137182560256/lrFbiPa7_normal.jpg" TargetMode="External"/><Relationship Id="rId1411" Type="http://schemas.openxmlformats.org/officeDocument/2006/relationships/hyperlink" Target="https://twitter.com/TesorosCanarios" TargetMode="External"/><Relationship Id="rId2742" Type="http://schemas.openxmlformats.org/officeDocument/2006/relationships/hyperlink" Target="https://twitter.com/AnaSoriano63" TargetMode="External"/><Relationship Id="rId1412" Type="http://schemas.openxmlformats.org/officeDocument/2006/relationships/hyperlink" Target="https://twitter.com/TesorosCanarios/status/803815035965493248" TargetMode="External"/><Relationship Id="rId2743" Type="http://schemas.openxmlformats.org/officeDocument/2006/relationships/hyperlink" Target="https://twitter.com/AnaSoriano63/status/804655645689610240" TargetMode="External"/><Relationship Id="rId1413" Type="http://schemas.openxmlformats.org/officeDocument/2006/relationships/hyperlink" Target="https://pbs.twimg.com/profile_images/736521573558018048/BDEUXtty_normal.jpg" TargetMode="External"/><Relationship Id="rId2744" Type="http://schemas.openxmlformats.org/officeDocument/2006/relationships/hyperlink" Target="https://pbs.twimg.com/profile_images/531121521067302912/9aawcxgn_normal.jpeg" TargetMode="External"/><Relationship Id="rId1414" Type="http://schemas.openxmlformats.org/officeDocument/2006/relationships/hyperlink" Target="https://twitter.com/DorisShades" TargetMode="External"/><Relationship Id="rId2745" Type="http://schemas.openxmlformats.org/officeDocument/2006/relationships/hyperlink" Target="https://twitter.com/michalgajzler" TargetMode="External"/><Relationship Id="rId1415" Type="http://schemas.openxmlformats.org/officeDocument/2006/relationships/hyperlink" Target="https://twitter.com/DorisShades/status/803824276214321152" TargetMode="External"/><Relationship Id="rId2746" Type="http://schemas.openxmlformats.org/officeDocument/2006/relationships/hyperlink" Target="https://twitter.com/michalgajzler/status/804655985436622849" TargetMode="External"/><Relationship Id="rId1416" Type="http://schemas.openxmlformats.org/officeDocument/2006/relationships/hyperlink" Target="https://pbs.twimg.com/profile_images/777456052094791681/oTN7NDTr_normal.jpg" TargetMode="External"/><Relationship Id="rId2747" Type="http://schemas.openxmlformats.org/officeDocument/2006/relationships/hyperlink" Target="http://DziennikZbrojny.pl" TargetMode="External"/><Relationship Id="rId1417" Type="http://schemas.openxmlformats.org/officeDocument/2006/relationships/hyperlink" Target="https://twitter.com/Doris_Blog" TargetMode="External"/><Relationship Id="rId2748" Type="http://schemas.openxmlformats.org/officeDocument/2006/relationships/hyperlink" Target="https://pbs.twimg.com/profile_images/3592029324/26a4ea58db7b869b21f250b932524e85_normal.jpeg" TargetMode="External"/><Relationship Id="rId1418" Type="http://schemas.openxmlformats.org/officeDocument/2006/relationships/hyperlink" Target="https://twitter.com/Doris_Blog/status/803824277757853696" TargetMode="External"/><Relationship Id="rId2749" Type="http://schemas.openxmlformats.org/officeDocument/2006/relationships/hyperlink" Target="https://twitter.com/Teguileha" TargetMode="External"/><Relationship Id="rId1419" Type="http://schemas.openxmlformats.org/officeDocument/2006/relationships/hyperlink" Target="https://pbs.twimg.com/profile_images/769621211911450624/O-JLlK5O_normal.jpg" TargetMode="External"/><Relationship Id="rId2740" Type="http://schemas.openxmlformats.org/officeDocument/2006/relationships/hyperlink" Target="https://twitter.com/chaima_72/status/804654578780303362" TargetMode="External"/><Relationship Id="rId1410" Type="http://schemas.openxmlformats.org/officeDocument/2006/relationships/hyperlink" Target="https://pbs.twimg.com/profile_images/378800000213382003/4f562b59f92995b884d2d440f71fc5ce_normal.png" TargetMode="External"/><Relationship Id="rId2741" Type="http://schemas.openxmlformats.org/officeDocument/2006/relationships/hyperlink" Target="https://pbs.twimg.com/profile_images/3714475831/bb9ed1afcb8dfe3c225fa158e9c261c3_normal.jpeg" TargetMode="External"/><Relationship Id="rId1400" Type="http://schemas.openxmlformats.org/officeDocument/2006/relationships/hyperlink" Target="https://twitter.com/swisshop4uEs/status/803758376643543040" TargetMode="External"/><Relationship Id="rId2731" Type="http://schemas.openxmlformats.org/officeDocument/2006/relationships/hyperlink" Target="https://twitter.com/the_DNMI/status/804653150024175616" TargetMode="External"/><Relationship Id="rId1401" Type="http://schemas.openxmlformats.org/officeDocument/2006/relationships/hyperlink" Target="https://pbs.twimg.com/profile_images/378800000213382003/4f562b59f92995b884d2d440f71fc5ce_normal.png" TargetMode="External"/><Relationship Id="rId2732" Type="http://schemas.openxmlformats.org/officeDocument/2006/relationships/hyperlink" Target="https://pbs.twimg.com/profile_images/740949790008172545/E23vEiil_normal.jpg" TargetMode="External"/><Relationship Id="rId1402" Type="http://schemas.openxmlformats.org/officeDocument/2006/relationships/hyperlink" Target="https://twitter.com/44Jano" TargetMode="External"/><Relationship Id="rId2733" Type="http://schemas.openxmlformats.org/officeDocument/2006/relationships/hyperlink" Target="https://twitter.com/EjercitoAire" TargetMode="External"/><Relationship Id="rId1403" Type="http://schemas.openxmlformats.org/officeDocument/2006/relationships/hyperlink" Target="https://twitter.com/44Jano/status/803760764771332097" TargetMode="External"/><Relationship Id="rId2734" Type="http://schemas.openxmlformats.org/officeDocument/2006/relationships/hyperlink" Target="https://twitter.com/EjercitoAire/status/804654479761096704" TargetMode="External"/><Relationship Id="rId1404" Type="http://schemas.openxmlformats.org/officeDocument/2006/relationships/hyperlink" Target="https://pbs.twimg.com/profile_images/801004411812253697/CvLPoPLt_normal.jpg" TargetMode="External"/><Relationship Id="rId2735" Type="http://schemas.openxmlformats.org/officeDocument/2006/relationships/hyperlink" Target="https://pbs.twimg.com/profile_images/561092902185484288/7W4FpTHG_normal.jpeg" TargetMode="External"/><Relationship Id="rId1405" Type="http://schemas.openxmlformats.org/officeDocument/2006/relationships/hyperlink" Target="https://twitter.com/EmocionesCan" TargetMode="External"/><Relationship Id="rId2736" Type="http://schemas.openxmlformats.org/officeDocument/2006/relationships/hyperlink" Target="https://twitter.com/LuisMarCaceres" TargetMode="External"/><Relationship Id="rId1406" Type="http://schemas.openxmlformats.org/officeDocument/2006/relationships/hyperlink" Target="https://twitter.com/EmocionesCan/status/803760816373846016" TargetMode="External"/><Relationship Id="rId2737" Type="http://schemas.openxmlformats.org/officeDocument/2006/relationships/hyperlink" Target="https://twitter.com/LuisMarCaceres/status/804654548354744320" TargetMode="External"/><Relationship Id="rId1407" Type="http://schemas.openxmlformats.org/officeDocument/2006/relationships/hyperlink" Target="https://pbs.twimg.com/profile_images/1508754713/Logos_Perfiles_EECC_-_Sin_borde_y_sin_texto_normal.jpg" TargetMode="External"/><Relationship Id="rId2738" Type="http://schemas.openxmlformats.org/officeDocument/2006/relationships/hyperlink" Target="https://pbs.twimg.com/profile_images/693594201481728000/n-ZhGMf1_normal.jpg" TargetMode="External"/><Relationship Id="rId1408" Type="http://schemas.openxmlformats.org/officeDocument/2006/relationships/hyperlink" Target="https://twitter.com/swisshop4uEs" TargetMode="External"/><Relationship Id="rId2739" Type="http://schemas.openxmlformats.org/officeDocument/2006/relationships/hyperlink" Target="https://twitter.com/chaima_72" TargetMode="External"/><Relationship Id="rId1409" Type="http://schemas.openxmlformats.org/officeDocument/2006/relationships/hyperlink" Target="https://twitter.com/swisshop4uEs/status/803781356404801536" TargetMode="External"/><Relationship Id="rId2730" Type="http://schemas.openxmlformats.org/officeDocument/2006/relationships/hyperlink" Target="https://twitter.com/the_DNMI" TargetMode="External"/><Relationship Id="rId1433" Type="http://schemas.openxmlformats.org/officeDocument/2006/relationships/hyperlink" Target="https://twitter.com/bermaxo09/status/803841849370804224" TargetMode="External"/><Relationship Id="rId2764" Type="http://schemas.openxmlformats.org/officeDocument/2006/relationships/hyperlink" Target="https://twitter.com/15Fuerteventura" TargetMode="External"/><Relationship Id="rId1434" Type="http://schemas.openxmlformats.org/officeDocument/2006/relationships/hyperlink" Target="https://pbs.twimg.com/profile_images/798476790478073856/iOD0HIRa_normal.jpg" TargetMode="External"/><Relationship Id="rId2765" Type="http://schemas.openxmlformats.org/officeDocument/2006/relationships/hyperlink" Target="https://twitter.com/15Fuerteventura/status/804658469475323904" TargetMode="External"/><Relationship Id="rId1435" Type="http://schemas.openxmlformats.org/officeDocument/2006/relationships/hyperlink" Target="https://twitter.com/bermaxo09" TargetMode="External"/><Relationship Id="rId2766" Type="http://schemas.openxmlformats.org/officeDocument/2006/relationships/hyperlink" Target="https://pbs.twimg.com/profile_images/1450740632/15_brand_pic_normal.jpg" TargetMode="External"/><Relationship Id="rId1436" Type="http://schemas.openxmlformats.org/officeDocument/2006/relationships/hyperlink" Target="https://twitter.com/bermaxo09/status/803847630061240321" TargetMode="External"/><Relationship Id="rId2767" Type="http://schemas.openxmlformats.org/officeDocument/2006/relationships/hyperlink" Target="https://twitter.com/auto_reisen" TargetMode="External"/><Relationship Id="rId1437" Type="http://schemas.openxmlformats.org/officeDocument/2006/relationships/hyperlink" Target="https://pbs.twimg.com/profile_images/798476790478073856/iOD0HIRa_normal.jpg" TargetMode="External"/><Relationship Id="rId2768" Type="http://schemas.openxmlformats.org/officeDocument/2006/relationships/hyperlink" Target="https://twitter.com/auto_reisen/status/804659001518596096" TargetMode="External"/><Relationship Id="rId1438" Type="http://schemas.openxmlformats.org/officeDocument/2006/relationships/hyperlink" Target="https://twitter.com/bermaxo09" TargetMode="External"/><Relationship Id="rId2769" Type="http://schemas.openxmlformats.org/officeDocument/2006/relationships/hyperlink" Target="https://pbs.twimg.com/profile_images/753537830752845824/CAcHgdYu_normal.jpg" TargetMode="External"/><Relationship Id="rId1439" Type="http://schemas.openxmlformats.org/officeDocument/2006/relationships/hyperlink" Target="https://twitter.com/bermaxo09/status/803848201350643712" TargetMode="External"/><Relationship Id="rId609" Type="http://schemas.openxmlformats.org/officeDocument/2006/relationships/hyperlink" Target="https://pbs.twimg.com/profile_images/606040823147446272/rw4NhAXD_normal.jpg" TargetMode="External"/><Relationship Id="rId608" Type="http://schemas.openxmlformats.org/officeDocument/2006/relationships/hyperlink" Target="https://twitter.com/hotelbahiareal/status/803204315066363905" TargetMode="External"/><Relationship Id="rId607" Type="http://schemas.openxmlformats.org/officeDocument/2006/relationships/hyperlink" Target="https://twitter.com/hotelbahiareal" TargetMode="External"/><Relationship Id="rId602" Type="http://schemas.openxmlformats.org/officeDocument/2006/relationships/hyperlink" Target="https://twitter.com/thecoworkaholic/status/803199809364463616" TargetMode="External"/><Relationship Id="rId601" Type="http://schemas.openxmlformats.org/officeDocument/2006/relationships/hyperlink" Target="https://twitter.com/thecoworkaholic" TargetMode="External"/><Relationship Id="rId600" Type="http://schemas.openxmlformats.org/officeDocument/2006/relationships/hyperlink" Target="https://pbs.twimg.com/profile_images/696447371639681024/ILa3hXCM_normal.jpg" TargetMode="External"/><Relationship Id="rId606" Type="http://schemas.openxmlformats.org/officeDocument/2006/relationships/hyperlink" Target="https://pbs.twimg.com/profile_images/773520586832216064/AGLz4fuI_normal.jpg" TargetMode="External"/><Relationship Id="rId605" Type="http://schemas.openxmlformats.org/officeDocument/2006/relationships/hyperlink" Target="https://twitter.com/R753Rfw753/status/803203155773296640" TargetMode="External"/><Relationship Id="rId604" Type="http://schemas.openxmlformats.org/officeDocument/2006/relationships/hyperlink" Target="https://twitter.com/R753Rfw753" TargetMode="External"/><Relationship Id="rId603" Type="http://schemas.openxmlformats.org/officeDocument/2006/relationships/hyperlink" Target="https://pbs.twimg.com/profile_images/644320085834792960/GyJmegXl_normal.jpg" TargetMode="External"/><Relationship Id="rId2760" Type="http://schemas.openxmlformats.org/officeDocument/2006/relationships/hyperlink" Target="https://pbs.twimg.com/profile_images/749912616240291840/cxAKwzpP_normal.jpg" TargetMode="External"/><Relationship Id="rId1430" Type="http://schemas.openxmlformats.org/officeDocument/2006/relationships/hyperlink" Target="https://twitter.com/bermaxo09/status/803840858328023040" TargetMode="External"/><Relationship Id="rId2761" Type="http://schemas.openxmlformats.org/officeDocument/2006/relationships/hyperlink" Target="https://twitter.com/mariaIpedraja" TargetMode="External"/><Relationship Id="rId1431" Type="http://schemas.openxmlformats.org/officeDocument/2006/relationships/hyperlink" Target="https://pbs.twimg.com/profile_images/798476790478073856/iOD0HIRa_normal.jpg" TargetMode="External"/><Relationship Id="rId2762" Type="http://schemas.openxmlformats.org/officeDocument/2006/relationships/hyperlink" Target="https://twitter.com/mariaIpedraja/status/804658245323235328" TargetMode="External"/><Relationship Id="rId1432" Type="http://schemas.openxmlformats.org/officeDocument/2006/relationships/hyperlink" Target="https://twitter.com/bermaxo09" TargetMode="External"/><Relationship Id="rId2763" Type="http://schemas.openxmlformats.org/officeDocument/2006/relationships/hyperlink" Target="https://pbs.twimg.com/profile_images/556942343744405504/0zIWcCQo_normal.jpeg" TargetMode="External"/><Relationship Id="rId1422" Type="http://schemas.openxmlformats.org/officeDocument/2006/relationships/hyperlink" Target="https://pbs.twimg.com/profile_images/777545822254825472/0-x9uu3s_normal.jpg" TargetMode="External"/><Relationship Id="rId2753" Type="http://schemas.openxmlformats.org/officeDocument/2006/relationships/hyperlink" Target="https://twitter.com/FelixMontanchez/status/804656487813484545" TargetMode="External"/><Relationship Id="rId1423" Type="http://schemas.openxmlformats.org/officeDocument/2006/relationships/hyperlink" Target="https://twitter.com/ShadesDirector" TargetMode="External"/><Relationship Id="rId2754" Type="http://schemas.openxmlformats.org/officeDocument/2006/relationships/hyperlink" Target="https://pbs.twimg.com/profile_images/786983148693360644/K6BB6qqg_normal.jpg" TargetMode="External"/><Relationship Id="rId1424" Type="http://schemas.openxmlformats.org/officeDocument/2006/relationships/hyperlink" Target="https://twitter.com/ShadesDirector/status/803824284443508736" TargetMode="External"/><Relationship Id="rId2755" Type="http://schemas.openxmlformats.org/officeDocument/2006/relationships/hyperlink" Target="https://twitter.com/wickman_" TargetMode="External"/><Relationship Id="rId1425" Type="http://schemas.openxmlformats.org/officeDocument/2006/relationships/hyperlink" Target="https://pbs.twimg.com/profile_images/769622463344959489/FhJxVtM2_normal.jpg" TargetMode="External"/><Relationship Id="rId2756" Type="http://schemas.openxmlformats.org/officeDocument/2006/relationships/hyperlink" Target="https://twitter.com/wickman_/status/804656881344147456" TargetMode="External"/><Relationship Id="rId1426" Type="http://schemas.openxmlformats.org/officeDocument/2006/relationships/hyperlink" Target="https://twitter.com/DorisVisits" TargetMode="External"/><Relationship Id="rId2757" Type="http://schemas.openxmlformats.org/officeDocument/2006/relationships/hyperlink" Target="https://pbs.twimg.com/profile_images/782999445982089217/IcXBIXVz_normal.jpg" TargetMode="External"/><Relationship Id="rId1427" Type="http://schemas.openxmlformats.org/officeDocument/2006/relationships/hyperlink" Target="https://twitter.com/DorisVisits/status/803824285991190528" TargetMode="External"/><Relationship Id="rId2758" Type="http://schemas.openxmlformats.org/officeDocument/2006/relationships/hyperlink" Target="https://twitter.com/sweetfellow2" TargetMode="External"/><Relationship Id="rId1428" Type="http://schemas.openxmlformats.org/officeDocument/2006/relationships/hyperlink" Target="https://pbs.twimg.com/profile_images/668416648211222529/-2knYf0__normal.jpg" TargetMode="External"/><Relationship Id="rId2759" Type="http://schemas.openxmlformats.org/officeDocument/2006/relationships/hyperlink" Target="https://twitter.com/sweetfellow2/status/804657020821536769" TargetMode="External"/><Relationship Id="rId1429" Type="http://schemas.openxmlformats.org/officeDocument/2006/relationships/hyperlink" Target="https://twitter.com/bermaxo09" TargetMode="External"/><Relationship Id="rId2750" Type="http://schemas.openxmlformats.org/officeDocument/2006/relationships/hyperlink" Target="https://twitter.com/Teguileha/status/804656481480089600" TargetMode="External"/><Relationship Id="rId1420" Type="http://schemas.openxmlformats.org/officeDocument/2006/relationships/hyperlink" Target="https://twitter.com/DorisVisitsUK" TargetMode="External"/><Relationship Id="rId2751" Type="http://schemas.openxmlformats.org/officeDocument/2006/relationships/hyperlink" Target="https://pbs.twimg.com/profile_images/787395230979031040/PLh2fUVB_normal.jpg" TargetMode="External"/><Relationship Id="rId1421" Type="http://schemas.openxmlformats.org/officeDocument/2006/relationships/hyperlink" Target="https://twitter.com/DorisVisitsUK/status/803824279775281152" TargetMode="External"/><Relationship Id="rId2752" Type="http://schemas.openxmlformats.org/officeDocument/2006/relationships/hyperlink" Target="https://twitter.com/FelixMontanchez" TargetMode="External"/><Relationship Id="rId3238" Type="http://schemas.openxmlformats.org/officeDocument/2006/relationships/hyperlink" Target="https://pbs.twimg.com/profile_images/525547543665459200/pOoNOcxW_normal.jpeg" TargetMode="External"/><Relationship Id="rId4569" Type="http://schemas.openxmlformats.org/officeDocument/2006/relationships/hyperlink" Target="https://pbs.twimg.com/profile_images/792881154277908484/KrNww4af_normal.jpg" TargetMode="External"/><Relationship Id="rId3237" Type="http://schemas.openxmlformats.org/officeDocument/2006/relationships/hyperlink" Target="https://twitter.com/Tophangar/status/804950058596790272" TargetMode="External"/><Relationship Id="rId4568" Type="http://schemas.openxmlformats.org/officeDocument/2006/relationships/hyperlink" Target="https://twitter.com/SmokinHot_Babes/status/805883767508336640" TargetMode="External"/><Relationship Id="rId3239" Type="http://schemas.openxmlformats.org/officeDocument/2006/relationships/hyperlink" Target="https://twitter.com/_TenDive" TargetMode="External"/><Relationship Id="rId3230" Type="http://schemas.openxmlformats.org/officeDocument/2006/relationships/hyperlink" Target="https://twitter.com/Fefo_SaliCity" TargetMode="External"/><Relationship Id="rId4561" Type="http://schemas.openxmlformats.org/officeDocument/2006/relationships/hyperlink" Target="https://twitter.com/holyber" TargetMode="External"/><Relationship Id="rId4560" Type="http://schemas.openxmlformats.org/officeDocument/2006/relationships/hyperlink" Target="https://pbs.twimg.com/profile_images/805759744292122624/GVNyopcr_normal.jpg" TargetMode="External"/><Relationship Id="rId3232" Type="http://schemas.openxmlformats.org/officeDocument/2006/relationships/hyperlink" Target="https://pbs.twimg.com/profile_images/697221997701558272/E8fg_mn-_normal.jpg" TargetMode="External"/><Relationship Id="rId4563" Type="http://schemas.openxmlformats.org/officeDocument/2006/relationships/hyperlink" Target="https://pbs.twimg.com/profile_images/475644614448123904/FiCl2pX4_normal.jpeg" TargetMode="External"/><Relationship Id="rId3231" Type="http://schemas.openxmlformats.org/officeDocument/2006/relationships/hyperlink" Target="https://twitter.com/Fefo_SaliCity/status/804943303783256064" TargetMode="External"/><Relationship Id="rId4562" Type="http://schemas.openxmlformats.org/officeDocument/2006/relationships/hyperlink" Target="https://twitter.com/holyber/status/805883155471278081" TargetMode="External"/><Relationship Id="rId3234" Type="http://schemas.openxmlformats.org/officeDocument/2006/relationships/hyperlink" Target="https://twitter.com/PBondaryk/status/804949859736358912" TargetMode="External"/><Relationship Id="rId4565" Type="http://schemas.openxmlformats.org/officeDocument/2006/relationships/hyperlink" Target="https://twitter.com/Selhso/status/805883498083090434" TargetMode="External"/><Relationship Id="rId3233" Type="http://schemas.openxmlformats.org/officeDocument/2006/relationships/hyperlink" Target="https://twitter.com/PBondaryk" TargetMode="External"/><Relationship Id="rId4564" Type="http://schemas.openxmlformats.org/officeDocument/2006/relationships/hyperlink" Target="https://twitter.com/Selhso" TargetMode="External"/><Relationship Id="rId3236" Type="http://schemas.openxmlformats.org/officeDocument/2006/relationships/hyperlink" Target="https://twitter.com/Tophangar" TargetMode="External"/><Relationship Id="rId4567" Type="http://schemas.openxmlformats.org/officeDocument/2006/relationships/hyperlink" Target="https://twitter.com/SmokinHot_Babes" TargetMode="External"/><Relationship Id="rId3235" Type="http://schemas.openxmlformats.org/officeDocument/2006/relationships/hyperlink" Target="https://pbs.twimg.com/profile_images/793790558049370112/f4vCfXmf_normal.jpg" TargetMode="External"/><Relationship Id="rId4566" Type="http://schemas.openxmlformats.org/officeDocument/2006/relationships/hyperlink" Target="https://pbs.twimg.com/profile_images/800845512836579328/cKh_5hB2_normal.jpg" TargetMode="External"/><Relationship Id="rId3227" Type="http://schemas.openxmlformats.org/officeDocument/2006/relationships/hyperlink" Target="https://twitter.com/kpPalmmy" TargetMode="External"/><Relationship Id="rId4558" Type="http://schemas.openxmlformats.org/officeDocument/2006/relationships/hyperlink" Target="https://twitter.com/MokaGonzalez_" TargetMode="External"/><Relationship Id="rId3226" Type="http://schemas.openxmlformats.org/officeDocument/2006/relationships/hyperlink" Target="https://pbs.twimg.com/profile_images/748178234152411136/-s1oQdkD_normal.jpg" TargetMode="External"/><Relationship Id="rId4557" Type="http://schemas.openxmlformats.org/officeDocument/2006/relationships/hyperlink" Target="https://pbs.twimg.com/profile_images/591858611900514305/6cYOyb2N_normal.jpg" TargetMode="External"/><Relationship Id="rId3229" Type="http://schemas.openxmlformats.org/officeDocument/2006/relationships/hyperlink" Target="https://pbs.twimg.com/profile_images/804043601554509824/aIpYeD17_normal.jpg" TargetMode="External"/><Relationship Id="rId3228" Type="http://schemas.openxmlformats.org/officeDocument/2006/relationships/hyperlink" Target="https://twitter.com/kpPalmmy/status/804927148880371712" TargetMode="External"/><Relationship Id="rId4559" Type="http://schemas.openxmlformats.org/officeDocument/2006/relationships/hyperlink" Target="https://twitter.com/MokaGonzalez_/status/805882885710422016" TargetMode="External"/><Relationship Id="rId699" Type="http://schemas.openxmlformats.org/officeDocument/2006/relationships/hyperlink" Target="https://pbs.twimg.com/profile_images/798249774793232384/yl4MZO8p_normal.jpg" TargetMode="External"/><Relationship Id="rId698" Type="http://schemas.openxmlformats.org/officeDocument/2006/relationships/hyperlink" Target="https://twitter.com/PeterMLittle/status/803247373346488322" TargetMode="External"/><Relationship Id="rId693" Type="http://schemas.openxmlformats.org/officeDocument/2006/relationships/hyperlink" Target="https://pbs.twimg.com/profile_images/800775928687292417/c71nQ-DW_normal.jpg" TargetMode="External"/><Relationship Id="rId4550" Type="http://schemas.openxmlformats.org/officeDocument/2006/relationships/hyperlink" Target="https://twitter.com/HtJardinTecina/status/805877670584139779" TargetMode="External"/><Relationship Id="rId692" Type="http://schemas.openxmlformats.org/officeDocument/2006/relationships/hyperlink" Target="https://twitter.com/Chris_and_Rico/status/803238407451262976" TargetMode="External"/><Relationship Id="rId691" Type="http://schemas.openxmlformats.org/officeDocument/2006/relationships/hyperlink" Target="https://twitter.com/Chris_and_Rico" TargetMode="External"/><Relationship Id="rId3221" Type="http://schemas.openxmlformats.org/officeDocument/2006/relationships/hyperlink" Target="https://twitter.com/MatthewHirtes" TargetMode="External"/><Relationship Id="rId4552" Type="http://schemas.openxmlformats.org/officeDocument/2006/relationships/hyperlink" Target="https://twitter.com/manuelcyetano" TargetMode="External"/><Relationship Id="rId690" Type="http://schemas.openxmlformats.org/officeDocument/2006/relationships/hyperlink" Target="https://pbs.twimg.com/profile_images/655007830315896832/Q56ZXRcY_normal.jpg" TargetMode="External"/><Relationship Id="rId3220" Type="http://schemas.openxmlformats.org/officeDocument/2006/relationships/hyperlink" Target="https://pbs.twimg.com/profile_images/721987658449305600/1WmSYuM-_normal.jpg" TargetMode="External"/><Relationship Id="rId4551" Type="http://schemas.openxmlformats.org/officeDocument/2006/relationships/hyperlink" Target="https://pbs.twimg.com/profile_images/798611432258543616/Rt1RcXm8_normal.jpg" TargetMode="External"/><Relationship Id="rId697" Type="http://schemas.openxmlformats.org/officeDocument/2006/relationships/hyperlink" Target="https://twitter.com/PeterMLittle" TargetMode="External"/><Relationship Id="rId3223" Type="http://schemas.openxmlformats.org/officeDocument/2006/relationships/hyperlink" Target="https://pbs.twimg.com/profile_images/2882758712/12b371fa0215f5747eecc910e918ee79_normal.jpeg" TargetMode="External"/><Relationship Id="rId4554" Type="http://schemas.openxmlformats.org/officeDocument/2006/relationships/hyperlink" Target="https://pbs.twimg.com/profile_images/702573401706205184/xPBj9N8W_normal.jpg" TargetMode="External"/><Relationship Id="rId696" Type="http://schemas.openxmlformats.org/officeDocument/2006/relationships/hyperlink" Target="https://pbs.twimg.com/profile_images/684463670760353793/GXSr5eoK_normal.png" TargetMode="External"/><Relationship Id="rId3222" Type="http://schemas.openxmlformats.org/officeDocument/2006/relationships/hyperlink" Target="https://twitter.com/MatthewHirtes/status/804895452780986369" TargetMode="External"/><Relationship Id="rId4553" Type="http://schemas.openxmlformats.org/officeDocument/2006/relationships/hyperlink" Target="https://twitter.com/manuelcyetano/status/805879532355985409" TargetMode="External"/><Relationship Id="rId695" Type="http://schemas.openxmlformats.org/officeDocument/2006/relationships/hyperlink" Target="https://twitter.com/annafbeswick/status/803238530365456385" TargetMode="External"/><Relationship Id="rId3225" Type="http://schemas.openxmlformats.org/officeDocument/2006/relationships/hyperlink" Target="https://twitter.com/alfredo0523/status/804917616863100928" TargetMode="External"/><Relationship Id="rId4556" Type="http://schemas.openxmlformats.org/officeDocument/2006/relationships/hyperlink" Target="https://twitter.com/jmlpyt/status/805882709755252738" TargetMode="External"/><Relationship Id="rId694" Type="http://schemas.openxmlformats.org/officeDocument/2006/relationships/hyperlink" Target="https://twitter.com/annafbeswick" TargetMode="External"/><Relationship Id="rId3224" Type="http://schemas.openxmlformats.org/officeDocument/2006/relationships/hyperlink" Target="https://twitter.com/alfredo0523" TargetMode="External"/><Relationship Id="rId4555" Type="http://schemas.openxmlformats.org/officeDocument/2006/relationships/hyperlink" Target="https://twitter.com/jmlpyt" TargetMode="External"/><Relationship Id="rId3259" Type="http://schemas.openxmlformats.org/officeDocument/2006/relationships/hyperlink" Target="https://pbs.twimg.com/profile_images/2292101801/yvlsbgo4g2iz2p7et4mq_normal.jpeg" TargetMode="External"/><Relationship Id="rId3250" Type="http://schemas.openxmlformats.org/officeDocument/2006/relationships/hyperlink" Target="https://pbs.twimg.com/profile_images/3224102495/88947978fb5cc36495ea869a5fb39f8d_normal.jpeg" TargetMode="External"/><Relationship Id="rId4581" Type="http://schemas.openxmlformats.org/officeDocument/2006/relationships/hyperlink" Target="https://pbs.twimg.com/profile_images/555773820082987008/gVpHLsE4_normal.jpeg" TargetMode="External"/><Relationship Id="rId4580" Type="http://schemas.openxmlformats.org/officeDocument/2006/relationships/hyperlink" Target="https://twitter.com/DiveInternship/status/805887357346021381" TargetMode="External"/><Relationship Id="rId3252" Type="http://schemas.openxmlformats.org/officeDocument/2006/relationships/hyperlink" Target="https://twitter.com/AlexBramwellGC/status/804969698995666944" TargetMode="External"/><Relationship Id="rId4583" Type="http://schemas.openxmlformats.org/officeDocument/2006/relationships/hyperlink" Target="https://twitter.com/DiveInternship/status/805888334702768129" TargetMode="External"/><Relationship Id="rId3251" Type="http://schemas.openxmlformats.org/officeDocument/2006/relationships/hyperlink" Target="https://twitter.com/AlexBramwellGC" TargetMode="External"/><Relationship Id="rId4582" Type="http://schemas.openxmlformats.org/officeDocument/2006/relationships/hyperlink" Target="https://twitter.com/DiveInternship" TargetMode="External"/><Relationship Id="rId3254" Type="http://schemas.openxmlformats.org/officeDocument/2006/relationships/hyperlink" Target="https://twitter.com/swisshop4uEs" TargetMode="External"/><Relationship Id="rId4585" Type="http://schemas.openxmlformats.org/officeDocument/2006/relationships/hyperlink" Target="https://twitter.com/DMinternship" TargetMode="External"/><Relationship Id="rId3253" Type="http://schemas.openxmlformats.org/officeDocument/2006/relationships/hyperlink" Target="https://pbs.twimg.com/profile_images/657142929920794624/Z8UQpOEp_normal.jpg" TargetMode="External"/><Relationship Id="rId4584" Type="http://schemas.openxmlformats.org/officeDocument/2006/relationships/hyperlink" Target="https://pbs.twimg.com/profile_images/555773820082987008/gVpHLsE4_normal.jpeg" TargetMode="External"/><Relationship Id="rId3256" Type="http://schemas.openxmlformats.org/officeDocument/2006/relationships/hyperlink" Target="https://pbs.twimg.com/profile_images/378800000213382003/4f562b59f92995b884d2d440f71fc5ce_normal.png" TargetMode="External"/><Relationship Id="rId4587" Type="http://schemas.openxmlformats.org/officeDocument/2006/relationships/hyperlink" Target="https://pbs.twimg.com/profile_images/543134167836282882/TU0k9eE6_normal.jpeg" TargetMode="External"/><Relationship Id="rId3255" Type="http://schemas.openxmlformats.org/officeDocument/2006/relationships/hyperlink" Target="https://twitter.com/swisshop4uEs/status/804973625560498176" TargetMode="External"/><Relationship Id="rId4586" Type="http://schemas.openxmlformats.org/officeDocument/2006/relationships/hyperlink" Target="https://twitter.com/DMinternship/status/805888334895710213" TargetMode="External"/><Relationship Id="rId3258" Type="http://schemas.openxmlformats.org/officeDocument/2006/relationships/hyperlink" Target="https://twitter.com/Tenerife_Ocio/status/804976471517360128" TargetMode="External"/><Relationship Id="rId4589" Type="http://schemas.openxmlformats.org/officeDocument/2006/relationships/hyperlink" Target="https://twitter.com/Eddie_Lover/status/805888805702107137" TargetMode="External"/><Relationship Id="rId3257" Type="http://schemas.openxmlformats.org/officeDocument/2006/relationships/hyperlink" Target="https://twitter.com/Tenerife_Ocio" TargetMode="External"/><Relationship Id="rId4588" Type="http://schemas.openxmlformats.org/officeDocument/2006/relationships/hyperlink" Target="https://twitter.com/Eddie_Lover" TargetMode="External"/><Relationship Id="rId3249" Type="http://schemas.openxmlformats.org/officeDocument/2006/relationships/hyperlink" Target="https://twitter.com/aghotelspa/status/804968871065255936" TargetMode="External"/><Relationship Id="rId3248" Type="http://schemas.openxmlformats.org/officeDocument/2006/relationships/hyperlink" Target="https://twitter.com/aghotelspa" TargetMode="External"/><Relationship Id="rId4579" Type="http://schemas.openxmlformats.org/officeDocument/2006/relationships/hyperlink" Target="https://twitter.com/DiveInternship" TargetMode="External"/><Relationship Id="rId4570" Type="http://schemas.openxmlformats.org/officeDocument/2006/relationships/hyperlink" Target="https://twitter.com/EmocionesCan" TargetMode="External"/><Relationship Id="rId3241" Type="http://schemas.openxmlformats.org/officeDocument/2006/relationships/hyperlink" Target="https://pbs.twimg.com/profile_images/694439157893107712/KkG57Zcq_normal.jpg" TargetMode="External"/><Relationship Id="rId4572" Type="http://schemas.openxmlformats.org/officeDocument/2006/relationships/hyperlink" Target="https://pbs.twimg.com/profile_images/1508754713/Logos_Perfiles_EECC_-_Sin_borde_y_sin_texto_normal.jpg" TargetMode="External"/><Relationship Id="rId3240" Type="http://schemas.openxmlformats.org/officeDocument/2006/relationships/hyperlink" Target="https://twitter.com/_TenDive/status/804950275249307648" TargetMode="External"/><Relationship Id="rId4571" Type="http://schemas.openxmlformats.org/officeDocument/2006/relationships/hyperlink" Target="https://twitter.com/EmocionesCan/status/805885243597144065" TargetMode="External"/><Relationship Id="rId3243" Type="http://schemas.openxmlformats.org/officeDocument/2006/relationships/hyperlink" Target="https://twitter.com/SuneHolidays/status/804965900419874816" TargetMode="External"/><Relationship Id="rId4574" Type="http://schemas.openxmlformats.org/officeDocument/2006/relationships/hyperlink" Target="https://twitter.com/holyber/status/805886502345568256" TargetMode="External"/><Relationship Id="rId3242" Type="http://schemas.openxmlformats.org/officeDocument/2006/relationships/hyperlink" Target="https://twitter.com/SuneHolidays" TargetMode="External"/><Relationship Id="rId4573" Type="http://schemas.openxmlformats.org/officeDocument/2006/relationships/hyperlink" Target="https://twitter.com/holyber" TargetMode="External"/><Relationship Id="rId3245" Type="http://schemas.openxmlformats.org/officeDocument/2006/relationships/hyperlink" Target="https://twitter.com/KeyserSoSo" TargetMode="External"/><Relationship Id="rId4576" Type="http://schemas.openxmlformats.org/officeDocument/2006/relationships/hyperlink" Target="https://twitter.com/DMinternship" TargetMode="External"/><Relationship Id="rId3244" Type="http://schemas.openxmlformats.org/officeDocument/2006/relationships/hyperlink" Target="https://pbs.twimg.com/profile_images/686922727480029184/9ztyb32p_normal.jpg" TargetMode="External"/><Relationship Id="rId4575" Type="http://schemas.openxmlformats.org/officeDocument/2006/relationships/hyperlink" Target="https://pbs.twimg.com/profile_images/475644614448123904/FiCl2pX4_normal.jpeg" TargetMode="External"/><Relationship Id="rId3247" Type="http://schemas.openxmlformats.org/officeDocument/2006/relationships/hyperlink" Target="https://pbs.twimg.com/profile_images/592798998773235713/aPa65SQO_normal.jpg" TargetMode="External"/><Relationship Id="rId4578" Type="http://schemas.openxmlformats.org/officeDocument/2006/relationships/hyperlink" Target="https://pbs.twimg.com/profile_images/543134167836282882/TU0k9eE6_normal.jpeg" TargetMode="External"/><Relationship Id="rId3246" Type="http://schemas.openxmlformats.org/officeDocument/2006/relationships/hyperlink" Target="https://twitter.com/KeyserSoSo/status/804968350623399936" TargetMode="External"/><Relationship Id="rId4577" Type="http://schemas.openxmlformats.org/officeDocument/2006/relationships/hyperlink" Target="https://twitter.com/DMinternship/status/805887354607173632" TargetMode="External"/><Relationship Id="rId1499" Type="http://schemas.openxmlformats.org/officeDocument/2006/relationships/hyperlink" Target="https://twitter.com/bh_oceano" TargetMode="External"/><Relationship Id="rId4525" Type="http://schemas.openxmlformats.org/officeDocument/2006/relationships/hyperlink" Target="https://twitter.com/RLGieling" TargetMode="External"/><Relationship Id="rId4524" Type="http://schemas.openxmlformats.org/officeDocument/2006/relationships/hyperlink" Target="https://pbs.twimg.com/profile_images/727214883985563648/UfB0VjCN_normal.jpg" TargetMode="External"/><Relationship Id="rId4527" Type="http://schemas.openxmlformats.org/officeDocument/2006/relationships/hyperlink" Target="https://pbs.twimg.com/profile_images/739040004022935556/1zrwUw2h_normal.jpg" TargetMode="External"/><Relationship Id="rId4526" Type="http://schemas.openxmlformats.org/officeDocument/2006/relationships/hyperlink" Target="https://twitter.com/RLGieling/status/805859398530854912" TargetMode="External"/><Relationship Id="rId4529" Type="http://schemas.openxmlformats.org/officeDocument/2006/relationships/hyperlink" Target="https://twitter.com/vhoff/status/805861032929411072" TargetMode="External"/><Relationship Id="rId4528" Type="http://schemas.openxmlformats.org/officeDocument/2006/relationships/hyperlink" Target="https://twitter.com/vhoff" TargetMode="External"/><Relationship Id="rId668" Type="http://schemas.openxmlformats.org/officeDocument/2006/relationships/hyperlink" Target="https://twitter.com/MC_org/status/803234883577479169" TargetMode="External"/><Relationship Id="rId667" Type="http://schemas.openxmlformats.org/officeDocument/2006/relationships/hyperlink" Target="https://twitter.com/MC_org" TargetMode="External"/><Relationship Id="rId666" Type="http://schemas.openxmlformats.org/officeDocument/2006/relationships/hyperlink" Target="https://pbs.twimg.com/profile_images/805052311466897409/zHKEhdG9_normal.jpg" TargetMode="External"/><Relationship Id="rId665" Type="http://schemas.openxmlformats.org/officeDocument/2006/relationships/hyperlink" Target="https://twitter.com/JAGreenhill/status/803233768873938944" TargetMode="External"/><Relationship Id="rId669" Type="http://schemas.openxmlformats.org/officeDocument/2006/relationships/hyperlink" Target="https://pbs.twimg.com/profile_images/420646927093338112/dLNEGsLg_normal.jpeg" TargetMode="External"/><Relationship Id="rId1490" Type="http://schemas.openxmlformats.org/officeDocument/2006/relationships/hyperlink" Target="http://LaGomera.travel" TargetMode="External"/><Relationship Id="rId660" Type="http://schemas.openxmlformats.org/officeDocument/2006/relationships/hyperlink" Target="https://pbs.twimg.com/profile_images/805052311466897409/zHKEhdG9_normal.jpg" TargetMode="External"/><Relationship Id="rId1491" Type="http://schemas.openxmlformats.org/officeDocument/2006/relationships/hyperlink" Target="https://twitter.com/TurismoLaGomera/status/803891898805092352" TargetMode="External"/><Relationship Id="rId1492" Type="http://schemas.openxmlformats.org/officeDocument/2006/relationships/hyperlink" Target="https://pbs.twimg.com/profile_images/1879561609/Captura_de_pantalla_2012-03-07_a_las_17.05.04_normal.png" TargetMode="External"/><Relationship Id="rId1493" Type="http://schemas.openxmlformats.org/officeDocument/2006/relationships/hyperlink" Target="https://twitter.com/LpaVisit" TargetMode="External"/><Relationship Id="rId1494" Type="http://schemas.openxmlformats.org/officeDocument/2006/relationships/hyperlink" Target="https://twitter.com/LpaVisit/status/803892863604051968" TargetMode="External"/><Relationship Id="rId664" Type="http://schemas.openxmlformats.org/officeDocument/2006/relationships/hyperlink" Target="https://twitter.com/JAGreenhill" TargetMode="External"/><Relationship Id="rId1495" Type="http://schemas.openxmlformats.org/officeDocument/2006/relationships/hyperlink" Target="https://pbs.twimg.com/profile_images/656385242819907584/6_e-4aUc_normal.jpg" TargetMode="External"/><Relationship Id="rId4521" Type="http://schemas.openxmlformats.org/officeDocument/2006/relationships/hyperlink" Target="https://pbs.twimg.com/profile_images/486798114611671041/Y_tpeNuy_normal.jpeg" TargetMode="External"/><Relationship Id="rId663" Type="http://schemas.openxmlformats.org/officeDocument/2006/relationships/hyperlink" Target="https://pbs.twimg.com/profile_images/802073872866705408/wMHnHYch_normal.jpg" TargetMode="External"/><Relationship Id="rId1496" Type="http://schemas.openxmlformats.org/officeDocument/2006/relationships/hyperlink" Target="https://twitter.com/IamHappyHiker" TargetMode="External"/><Relationship Id="rId4520" Type="http://schemas.openxmlformats.org/officeDocument/2006/relationships/hyperlink" Target="https://twitter.com/MutisAlejandro/status/805857329820405760" TargetMode="External"/><Relationship Id="rId662" Type="http://schemas.openxmlformats.org/officeDocument/2006/relationships/hyperlink" Target="https://twitter.com/LesRandosdeCaco/status/803233730634649600" TargetMode="External"/><Relationship Id="rId1497" Type="http://schemas.openxmlformats.org/officeDocument/2006/relationships/hyperlink" Target="https://twitter.com/IamHappyHiker/status/803893239052898304" TargetMode="External"/><Relationship Id="rId4523" Type="http://schemas.openxmlformats.org/officeDocument/2006/relationships/hyperlink" Target="https://twitter.com/eine_Minute/status/805858323962728449" TargetMode="External"/><Relationship Id="rId661" Type="http://schemas.openxmlformats.org/officeDocument/2006/relationships/hyperlink" Target="https://twitter.com/LesRandosdeCaco" TargetMode="External"/><Relationship Id="rId1498" Type="http://schemas.openxmlformats.org/officeDocument/2006/relationships/hyperlink" Target="https://pbs.twimg.com/profile_images/1506725851/Facebook_pic_under_800kb_normal.jpg" TargetMode="External"/><Relationship Id="rId4522" Type="http://schemas.openxmlformats.org/officeDocument/2006/relationships/hyperlink" Target="https://twitter.com/eine_Minute" TargetMode="External"/><Relationship Id="rId1488" Type="http://schemas.openxmlformats.org/officeDocument/2006/relationships/hyperlink" Target="https://pbs.twimg.com/profile_images/726026649356128258/xCSaP1IW_normal.jpg" TargetMode="External"/><Relationship Id="rId4514" Type="http://schemas.openxmlformats.org/officeDocument/2006/relationships/hyperlink" Target="https://twitter.com/AcecCanarias/status/805849262672216064" TargetMode="External"/><Relationship Id="rId1489" Type="http://schemas.openxmlformats.org/officeDocument/2006/relationships/hyperlink" Target="https://twitter.com/TurismoLaGomera" TargetMode="External"/><Relationship Id="rId4513" Type="http://schemas.openxmlformats.org/officeDocument/2006/relationships/hyperlink" Target="https://twitter.com/AcecCanarias" TargetMode="External"/><Relationship Id="rId4516" Type="http://schemas.openxmlformats.org/officeDocument/2006/relationships/hyperlink" Target="https://twitter.com/Rkobarov" TargetMode="External"/><Relationship Id="rId4515" Type="http://schemas.openxmlformats.org/officeDocument/2006/relationships/hyperlink" Target="https://pbs.twimg.com/profile_images/3472097132/7b190879fd704276699381c7ce21d0ea_normal.jpeg" TargetMode="External"/><Relationship Id="rId4518" Type="http://schemas.openxmlformats.org/officeDocument/2006/relationships/hyperlink" Target="https://pbs.twimg.com/profile_images/481727434710986752/S4qAT1s__normal.jpeg" TargetMode="External"/><Relationship Id="rId4517" Type="http://schemas.openxmlformats.org/officeDocument/2006/relationships/hyperlink" Target="https://twitter.com/Rkobarov/status/805853246518534145" TargetMode="External"/><Relationship Id="rId4519" Type="http://schemas.openxmlformats.org/officeDocument/2006/relationships/hyperlink" Target="https://twitter.com/MutisAlejandro" TargetMode="External"/><Relationship Id="rId657" Type="http://schemas.openxmlformats.org/officeDocument/2006/relationships/hyperlink" Target="https://pbs.twimg.com/profile_images/805052311466897409/zHKEhdG9_normal.jpg" TargetMode="External"/><Relationship Id="rId656" Type="http://schemas.openxmlformats.org/officeDocument/2006/relationships/hyperlink" Target="https://twitter.com/JAGreenhill/status/803233551806185472" TargetMode="External"/><Relationship Id="rId655" Type="http://schemas.openxmlformats.org/officeDocument/2006/relationships/hyperlink" Target="https://twitter.com/JAGreenhill" TargetMode="External"/><Relationship Id="rId654" Type="http://schemas.openxmlformats.org/officeDocument/2006/relationships/hyperlink" Target="https://pbs.twimg.com/profile_images/789364630850240512/Mw90qAlM_normal.jpg" TargetMode="External"/><Relationship Id="rId659" Type="http://schemas.openxmlformats.org/officeDocument/2006/relationships/hyperlink" Target="https://twitter.com/JAGreenhill/status/803233650171138050" TargetMode="External"/><Relationship Id="rId658" Type="http://schemas.openxmlformats.org/officeDocument/2006/relationships/hyperlink" Target="https://twitter.com/JAGreenhill" TargetMode="External"/><Relationship Id="rId1480" Type="http://schemas.openxmlformats.org/officeDocument/2006/relationships/hyperlink" Target="https://twitter.com/CompsToday" TargetMode="External"/><Relationship Id="rId1481" Type="http://schemas.openxmlformats.org/officeDocument/2006/relationships/hyperlink" Target="https://twitter.com/CompsToday/status/803890144600358912" TargetMode="External"/><Relationship Id="rId1482" Type="http://schemas.openxmlformats.org/officeDocument/2006/relationships/hyperlink" Target="https://pbs.twimg.com/profile_images/1847782966/ct-fb-thumb_normal.png" TargetMode="External"/><Relationship Id="rId1483" Type="http://schemas.openxmlformats.org/officeDocument/2006/relationships/hyperlink" Target="https://twitter.com/CanaryIslandsEN" TargetMode="External"/><Relationship Id="rId653" Type="http://schemas.openxmlformats.org/officeDocument/2006/relationships/hyperlink" Target="https://twitter.com/paisajecanario/status/803231571100794882" TargetMode="External"/><Relationship Id="rId1484" Type="http://schemas.openxmlformats.org/officeDocument/2006/relationships/hyperlink" Target="https://twitter.com/CanaryIslandsEN/status/803891357588869121" TargetMode="External"/><Relationship Id="rId4510" Type="http://schemas.openxmlformats.org/officeDocument/2006/relationships/hyperlink" Target="https://twitter.com/Beatrizxy" TargetMode="External"/><Relationship Id="rId652" Type="http://schemas.openxmlformats.org/officeDocument/2006/relationships/hyperlink" Target="https://twitter.com/paisajecanario" TargetMode="External"/><Relationship Id="rId1485" Type="http://schemas.openxmlformats.org/officeDocument/2006/relationships/hyperlink" Target="https://pbs.twimg.com/profile_images/754960714704584704/14dQxsF8_normal.jpg" TargetMode="External"/><Relationship Id="rId651" Type="http://schemas.openxmlformats.org/officeDocument/2006/relationships/hyperlink" Target="https://pbs.twimg.com/profile_images/718837181683494913/iga7i5m8_normal.jpg" TargetMode="External"/><Relationship Id="rId1486" Type="http://schemas.openxmlformats.org/officeDocument/2006/relationships/hyperlink" Target="https://twitter.com/enduriaholidays" TargetMode="External"/><Relationship Id="rId4512" Type="http://schemas.openxmlformats.org/officeDocument/2006/relationships/hyperlink" Target="https://pbs.twimg.com/profile_images/804568470008504320/jGRM4Vsv_normal.jpg" TargetMode="External"/><Relationship Id="rId650" Type="http://schemas.openxmlformats.org/officeDocument/2006/relationships/hyperlink" Target="https://twitter.com/CJ_TenisClub/status/803231109937004545" TargetMode="External"/><Relationship Id="rId1487" Type="http://schemas.openxmlformats.org/officeDocument/2006/relationships/hyperlink" Target="https://twitter.com/enduriaholidays/status/803891458008895488" TargetMode="External"/><Relationship Id="rId4511" Type="http://schemas.openxmlformats.org/officeDocument/2006/relationships/hyperlink" Target="https://twitter.com/Beatrizxy/status/805848424306315265" TargetMode="External"/><Relationship Id="rId3216" Type="http://schemas.openxmlformats.org/officeDocument/2006/relationships/hyperlink" Target="https://twitter.com/MatthewHirtes/status/804882593682493440" TargetMode="External"/><Relationship Id="rId4547" Type="http://schemas.openxmlformats.org/officeDocument/2006/relationships/hyperlink" Target="https://twitter.com/moiraLadd/status/805875913355304960" TargetMode="External"/><Relationship Id="rId3215" Type="http://schemas.openxmlformats.org/officeDocument/2006/relationships/hyperlink" Target="https://twitter.com/MatthewHirtes" TargetMode="External"/><Relationship Id="rId4546" Type="http://schemas.openxmlformats.org/officeDocument/2006/relationships/hyperlink" Target="https://twitter.com/moiraLadd" TargetMode="External"/><Relationship Id="rId3218" Type="http://schemas.openxmlformats.org/officeDocument/2006/relationships/hyperlink" Target="https://twitter.com/Johnalanpick" TargetMode="External"/><Relationship Id="rId4549" Type="http://schemas.openxmlformats.org/officeDocument/2006/relationships/hyperlink" Target="https://twitter.com/HtJardinTecina" TargetMode="External"/><Relationship Id="rId3217" Type="http://schemas.openxmlformats.org/officeDocument/2006/relationships/hyperlink" Target="https://pbs.twimg.com/profile_images/2882758712/12b371fa0215f5747eecc910e918ee79_normal.jpeg" TargetMode="External"/><Relationship Id="rId4548" Type="http://schemas.openxmlformats.org/officeDocument/2006/relationships/hyperlink" Target="https://pbs.twimg.com/profile_images/610862618270633985/_mJZ1ifa_normal.jpg" TargetMode="External"/><Relationship Id="rId3219" Type="http://schemas.openxmlformats.org/officeDocument/2006/relationships/hyperlink" Target="https://twitter.com/Johnalanpick/status/804882991860236290" TargetMode="External"/><Relationship Id="rId689" Type="http://schemas.openxmlformats.org/officeDocument/2006/relationships/hyperlink" Target="https://twitter.com/SandnSpice/status/803237371022032898" TargetMode="External"/><Relationship Id="rId688" Type="http://schemas.openxmlformats.org/officeDocument/2006/relationships/hyperlink" Target="https://twitter.com/SandnSpice" TargetMode="External"/><Relationship Id="rId687" Type="http://schemas.openxmlformats.org/officeDocument/2006/relationships/hyperlink" Target="https://pbs.twimg.com/profile_images/490818322393735168/JiAjPZjv_normal.jpeg" TargetMode="External"/><Relationship Id="rId682" Type="http://schemas.openxmlformats.org/officeDocument/2006/relationships/hyperlink" Target="https://twitter.com/whitefalcon57" TargetMode="External"/><Relationship Id="rId681" Type="http://schemas.openxmlformats.org/officeDocument/2006/relationships/hyperlink" Target="https://pbs.twimg.com/profile_images/787729071291727873/nUJ1BYQd_normal.jpg" TargetMode="External"/><Relationship Id="rId680" Type="http://schemas.openxmlformats.org/officeDocument/2006/relationships/hyperlink" Target="https://twitter.com/nomadcitylpa/status/803236653078704128" TargetMode="External"/><Relationship Id="rId3210" Type="http://schemas.openxmlformats.org/officeDocument/2006/relationships/hyperlink" Target="https://twitter.com/SyDGlobal147/status/804863614423285760" TargetMode="External"/><Relationship Id="rId4541" Type="http://schemas.openxmlformats.org/officeDocument/2006/relationships/hyperlink" Target="https://twitter.com/moiraLadd/status/805875128810749952" TargetMode="External"/><Relationship Id="rId4540" Type="http://schemas.openxmlformats.org/officeDocument/2006/relationships/hyperlink" Target="https://twitter.com/moiraLadd" TargetMode="External"/><Relationship Id="rId686" Type="http://schemas.openxmlformats.org/officeDocument/2006/relationships/hyperlink" Target="https://twitter.com/SamBrowne15/status/803237041647521796" TargetMode="External"/><Relationship Id="rId3212" Type="http://schemas.openxmlformats.org/officeDocument/2006/relationships/hyperlink" Target="https://twitter.com/JesmVidal" TargetMode="External"/><Relationship Id="rId4543" Type="http://schemas.openxmlformats.org/officeDocument/2006/relationships/hyperlink" Target="https://twitter.com/MedCruiseGuide" TargetMode="External"/><Relationship Id="rId685" Type="http://schemas.openxmlformats.org/officeDocument/2006/relationships/hyperlink" Target="https://twitter.com/SamBrowne15" TargetMode="External"/><Relationship Id="rId3211" Type="http://schemas.openxmlformats.org/officeDocument/2006/relationships/hyperlink" Target="https://pbs.twimg.com/profile_images/797944562132123648/YWm21lJB_normal.jpg" TargetMode="External"/><Relationship Id="rId4542" Type="http://schemas.openxmlformats.org/officeDocument/2006/relationships/hyperlink" Target="https://pbs.twimg.com/profile_images/610862618270633985/_mJZ1ifa_normal.jpg" TargetMode="External"/><Relationship Id="rId684" Type="http://schemas.openxmlformats.org/officeDocument/2006/relationships/hyperlink" Target="https://pbs.twimg.com/profile_images/805984016449097728/QEvxfnJK_normal.jpg" TargetMode="External"/><Relationship Id="rId3214" Type="http://schemas.openxmlformats.org/officeDocument/2006/relationships/hyperlink" Target="https://pbs.twimg.com/profile_images/538833262668709889/7PGKLM1e_normal.jpeg" TargetMode="External"/><Relationship Id="rId4545" Type="http://schemas.openxmlformats.org/officeDocument/2006/relationships/hyperlink" Target="https://pbs.twimg.com/profile_images/805484536301780992/2tho24Rf_normal.jpg" TargetMode="External"/><Relationship Id="rId683" Type="http://schemas.openxmlformats.org/officeDocument/2006/relationships/hyperlink" Target="https://twitter.com/whitefalcon57/status/803236871514025984" TargetMode="External"/><Relationship Id="rId3213" Type="http://schemas.openxmlformats.org/officeDocument/2006/relationships/hyperlink" Target="https://twitter.com/JesmVidal/status/804878471247888384" TargetMode="External"/><Relationship Id="rId4544" Type="http://schemas.openxmlformats.org/officeDocument/2006/relationships/hyperlink" Target="https://twitter.com/MedCruiseGuide/status/805875829536329733" TargetMode="External"/><Relationship Id="rId3205" Type="http://schemas.openxmlformats.org/officeDocument/2006/relationships/hyperlink" Target="https://pbs.twimg.com/profile_images/792909319062847490/HpfrVSN7_normal.jpg" TargetMode="External"/><Relationship Id="rId4536" Type="http://schemas.openxmlformats.org/officeDocument/2006/relationships/hyperlink" Target="https://pbs.twimg.com/profile_images/801447079793033216/4cR77OGA_normal.jpg" TargetMode="External"/><Relationship Id="rId3204" Type="http://schemas.openxmlformats.org/officeDocument/2006/relationships/hyperlink" Target="https://twitter.com/Happine74837357/status/804843624840175616" TargetMode="External"/><Relationship Id="rId4535" Type="http://schemas.openxmlformats.org/officeDocument/2006/relationships/hyperlink" Target="https://twitter.com/RenaValatka/status/805865663617265668" TargetMode="External"/><Relationship Id="rId3207" Type="http://schemas.openxmlformats.org/officeDocument/2006/relationships/hyperlink" Target="https://twitter.com/BritSchoolGC/status/804859943451066368" TargetMode="External"/><Relationship Id="rId4538" Type="http://schemas.openxmlformats.org/officeDocument/2006/relationships/hyperlink" Target="https://twitter.com/EmocionesCan/status/805868940022910976" TargetMode="External"/><Relationship Id="rId3206" Type="http://schemas.openxmlformats.org/officeDocument/2006/relationships/hyperlink" Target="https://twitter.com/BritSchoolGC" TargetMode="External"/><Relationship Id="rId4537" Type="http://schemas.openxmlformats.org/officeDocument/2006/relationships/hyperlink" Target="https://twitter.com/EmocionesCan" TargetMode="External"/><Relationship Id="rId3209" Type="http://schemas.openxmlformats.org/officeDocument/2006/relationships/hyperlink" Target="https://twitter.com/SyDGlobal147" TargetMode="External"/><Relationship Id="rId3208" Type="http://schemas.openxmlformats.org/officeDocument/2006/relationships/hyperlink" Target="https://pbs.twimg.com/profile_images/743747412934549504/0IyF4J14_normal.jpg" TargetMode="External"/><Relationship Id="rId4539" Type="http://schemas.openxmlformats.org/officeDocument/2006/relationships/hyperlink" Target="https://pbs.twimg.com/profile_images/1508754713/Logos_Perfiles_EECC_-_Sin_borde_y_sin_texto_normal.jpg" TargetMode="External"/><Relationship Id="rId679" Type="http://schemas.openxmlformats.org/officeDocument/2006/relationships/hyperlink" Target="https://twitter.com/nomadcitylpa" TargetMode="External"/><Relationship Id="rId678" Type="http://schemas.openxmlformats.org/officeDocument/2006/relationships/hyperlink" Target="https://pbs.twimg.com/profile_images/661939380370726912/YsXXMKwm_normal.png" TargetMode="External"/><Relationship Id="rId677" Type="http://schemas.openxmlformats.org/officeDocument/2006/relationships/hyperlink" Target="https://twitter.com/sellmytshare/status/803235828654743552" TargetMode="External"/><Relationship Id="rId676" Type="http://schemas.openxmlformats.org/officeDocument/2006/relationships/hyperlink" Target="https://twitter.com/sellmytshare" TargetMode="External"/><Relationship Id="rId671" Type="http://schemas.openxmlformats.org/officeDocument/2006/relationships/hyperlink" Target="https://twitter.com/DolphinPaige/status/803235427683565569" TargetMode="External"/><Relationship Id="rId670" Type="http://schemas.openxmlformats.org/officeDocument/2006/relationships/hyperlink" Target="https://twitter.com/DolphinPaige" TargetMode="External"/><Relationship Id="rId4530" Type="http://schemas.openxmlformats.org/officeDocument/2006/relationships/hyperlink" Target="https://pbs.twimg.com/profile_images/1140754146/PICT1124_normal.jpg" TargetMode="External"/><Relationship Id="rId675" Type="http://schemas.openxmlformats.org/officeDocument/2006/relationships/hyperlink" Target="https://pbs.twimg.com/profile_images/574951436238254081/mV0_9eVK_normal.jpeg" TargetMode="External"/><Relationship Id="rId3201" Type="http://schemas.openxmlformats.org/officeDocument/2006/relationships/hyperlink" Target="https://twitter.com/openroadb4me/status/804841869020495873" TargetMode="External"/><Relationship Id="rId4532" Type="http://schemas.openxmlformats.org/officeDocument/2006/relationships/hyperlink" Target="https://twitter.com/NeptunoSea/status/805864477942050816" TargetMode="External"/><Relationship Id="rId674" Type="http://schemas.openxmlformats.org/officeDocument/2006/relationships/hyperlink" Target="https://twitter.com/Inachiveg/status/803235525255692288" TargetMode="External"/><Relationship Id="rId3200" Type="http://schemas.openxmlformats.org/officeDocument/2006/relationships/hyperlink" Target="https://twitter.com/openroadb4me" TargetMode="External"/><Relationship Id="rId4531" Type="http://schemas.openxmlformats.org/officeDocument/2006/relationships/hyperlink" Target="https://twitter.com/NeptunoSea" TargetMode="External"/><Relationship Id="rId673" Type="http://schemas.openxmlformats.org/officeDocument/2006/relationships/hyperlink" Target="https://twitter.com/Inachiveg" TargetMode="External"/><Relationship Id="rId3203" Type="http://schemas.openxmlformats.org/officeDocument/2006/relationships/hyperlink" Target="https://twitter.com/Happine74837357" TargetMode="External"/><Relationship Id="rId4534" Type="http://schemas.openxmlformats.org/officeDocument/2006/relationships/hyperlink" Target="https://twitter.com/RenaValatka" TargetMode="External"/><Relationship Id="rId672" Type="http://schemas.openxmlformats.org/officeDocument/2006/relationships/hyperlink" Target="https://pbs.twimg.com/profile_images/630404272711143424/mNyW5Ig1_normal.jpg" TargetMode="External"/><Relationship Id="rId3202" Type="http://schemas.openxmlformats.org/officeDocument/2006/relationships/hyperlink" Target="https://pbs.twimg.com/profile_images/378800000698264593/ca953daa44f64dc712d62b32b85c370c_normal.jpeg" TargetMode="External"/><Relationship Id="rId4533" Type="http://schemas.openxmlformats.org/officeDocument/2006/relationships/hyperlink" Target="https://pbs.twimg.com/profile_images/1359875292/shogun_nsc_normal.jpg" TargetMode="External"/><Relationship Id="rId190" Type="http://schemas.openxmlformats.org/officeDocument/2006/relationships/hyperlink" Target="https://twitter.com/jennyquinnquinn" TargetMode="External"/><Relationship Id="rId194" Type="http://schemas.openxmlformats.org/officeDocument/2006/relationships/hyperlink" Target="https://twitter.com/jennyquinnquinn/status/802874807658442753" TargetMode="External"/><Relationship Id="rId193" Type="http://schemas.openxmlformats.org/officeDocument/2006/relationships/hyperlink" Target="https://twitter.com/jennyquinnquinn" TargetMode="External"/><Relationship Id="rId192" Type="http://schemas.openxmlformats.org/officeDocument/2006/relationships/hyperlink" Target="https://pbs.twimg.com/profile_images/558668531018264576/vDsYoWu1_normal.jpeg" TargetMode="External"/><Relationship Id="rId191" Type="http://schemas.openxmlformats.org/officeDocument/2006/relationships/hyperlink" Target="https://twitter.com/jennyquinnquinn/status/802869341653864449" TargetMode="External"/><Relationship Id="rId187" Type="http://schemas.openxmlformats.org/officeDocument/2006/relationships/hyperlink" Target="https://twitter.com/travelsportcopy" TargetMode="External"/><Relationship Id="rId186" Type="http://schemas.openxmlformats.org/officeDocument/2006/relationships/hyperlink" Target="https://pbs.twimg.com/profile_images/3166161455/9c46c5e56f7cf3cef81ae63821b93723_normal.jpeg" TargetMode="External"/><Relationship Id="rId185" Type="http://schemas.openxmlformats.org/officeDocument/2006/relationships/hyperlink" Target="https://twitter.com/skyhighflyfly/status/802864322879832065" TargetMode="External"/><Relationship Id="rId184" Type="http://schemas.openxmlformats.org/officeDocument/2006/relationships/hyperlink" Target="https://twitter.com/skyhighflyfly" TargetMode="External"/><Relationship Id="rId189" Type="http://schemas.openxmlformats.org/officeDocument/2006/relationships/hyperlink" Target="https://pbs.twimg.com/profile_images/3282930185/00dce605b211b38d43c9b0253b622b50_normal.jpeg" TargetMode="External"/><Relationship Id="rId188" Type="http://schemas.openxmlformats.org/officeDocument/2006/relationships/hyperlink" Target="https://twitter.com/travelsportcopy/status/802868406890336256" TargetMode="External"/><Relationship Id="rId183" Type="http://schemas.openxmlformats.org/officeDocument/2006/relationships/hyperlink" Target="https://pbs.twimg.com/profile_images/781374281808769024/2lgwqEGT_normal.jpg" TargetMode="External"/><Relationship Id="rId182" Type="http://schemas.openxmlformats.org/officeDocument/2006/relationships/hyperlink" Target="https://twitter.com/NakashimaOtsu/status/802858326124064768" TargetMode="External"/><Relationship Id="rId181" Type="http://schemas.openxmlformats.org/officeDocument/2006/relationships/hyperlink" Target="https://twitter.com/NakashimaOtsu" TargetMode="External"/><Relationship Id="rId180" Type="http://schemas.openxmlformats.org/officeDocument/2006/relationships/hyperlink" Target="https://pbs.twimg.com/profile_images/499580538487717888/NxEbStHx_normal.jpeg" TargetMode="External"/><Relationship Id="rId176" Type="http://schemas.openxmlformats.org/officeDocument/2006/relationships/hyperlink" Target="https://twitter.com/guanac2/status/802855255750877184" TargetMode="External"/><Relationship Id="rId175" Type="http://schemas.openxmlformats.org/officeDocument/2006/relationships/hyperlink" Target="https://twitter.com/guanac2" TargetMode="External"/><Relationship Id="rId174" Type="http://schemas.openxmlformats.org/officeDocument/2006/relationships/hyperlink" Target="https://pbs.twimg.com/profile_images/570644453866483712/dvbC2x8W_normal.jpeg" TargetMode="External"/><Relationship Id="rId173" Type="http://schemas.openxmlformats.org/officeDocument/2006/relationships/hyperlink" Target="https://twitter.com/islaspromo/status/802854816477282304" TargetMode="External"/><Relationship Id="rId179" Type="http://schemas.openxmlformats.org/officeDocument/2006/relationships/hyperlink" Target="https://twitter.com/GoldByMarina/status/802856551421657088" TargetMode="External"/><Relationship Id="rId178" Type="http://schemas.openxmlformats.org/officeDocument/2006/relationships/hyperlink" Target="https://twitter.com/GoldByMarina" TargetMode="External"/><Relationship Id="rId177" Type="http://schemas.openxmlformats.org/officeDocument/2006/relationships/hyperlink" Target="https://pbs.twimg.com/profile_images/660990494768504833/nZJ5VzRf_normal.jpg" TargetMode="External"/><Relationship Id="rId198" Type="http://schemas.openxmlformats.org/officeDocument/2006/relationships/hyperlink" Target="https://pbs.twimg.com/profile_images/800141800795242496/E13d_4kE_normal.jpg" TargetMode="External"/><Relationship Id="rId197" Type="http://schemas.openxmlformats.org/officeDocument/2006/relationships/hyperlink" Target="https://twitter.com/AriSykez/status/802876636731441152" TargetMode="External"/><Relationship Id="rId196" Type="http://schemas.openxmlformats.org/officeDocument/2006/relationships/hyperlink" Target="https://twitter.com/AriSykez" TargetMode="External"/><Relationship Id="rId195" Type="http://schemas.openxmlformats.org/officeDocument/2006/relationships/hyperlink" Target="https://pbs.twimg.com/profile_images/558668531018264576/vDsYoWu1_normal.jpeg" TargetMode="External"/><Relationship Id="rId199" Type="http://schemas.openxmlformats.org/officeDocument/2006/relationships/hyperlink" Target="https://twitter.com/carly581" TargetMode="External"/><Relationship Id="rId150" Type="http://schemas.openxmlformats.org/officeDocument/2006/relationships/hyperlink" Target="https://pbs.twimg.com/profile_images/802257037526761473/edQBBUlS_normal.jpg" TargetMode="External"/><Relationship Id="rId149" Type="http://schemas.openxmlformats.org/officeDocument/2006/relationships/hyperlink" Target="https://twitter.com/DulcesAlegrias/status/802839765926055936" TargetMode="External"/><Relationship Id="rId148" Type="http://schemas.openxmlformats.org/officeDocument/2006/relationships/hyperlink" Target="https://twitter.com/DulcesAlegrias" TargetMode="External"/><Relationship Id="rId3270" Type="http://schemas.openxmlformats.org/officeDocument/2006/relationships/hyperlink" Target="https://twitter.com/xxmichellexx88/status/804991344846344192" TargetMode="External"/><Relationship Id="rId3272" Type="http://schemas.openxmlformats.org/officeDocument/2006/relationships/hyperlink" Target="https://twitter.com/hoimetliske" TargetMode="External"/><Relationship Id="rId3271" Type="http://schemas.openxmlformats.org/officeDocument/2006/relationships/hyperlink" Target="https://pbs.twimg.com/profile_images/787458541238059008/AgvdQmqy_normal.jpg" TargetMode="External"/><Relationship Id="rId143" Type="http://schemas.openxmlformats.org/officeDocument/2006/relationships/hyperlink" Target="https://twitter.com/AGMTfe/status/802833365808324608" TargetMode="External"/><Relationship Id="rId3274" Type="http://schemas.openxmlformats.org/officeDocument/2006/relationships/hyperlink" Target="https://pbs.twimg.com/profile_images/773126432612610048/7YHoNnKM_normal.jpg" TargetMode="External"/><Relationship Id="rId142" Type="http://schemas.openxmlformats.org/officeDocument/2006/relationships/hyperlink" Target="https://twitter.com/AGMTfe" TargetMode="External"/><Relationship Id="rId3273" Type="http://schemas.openxmlformats.org/officeDocument/2006/relationships/hyperlink" Target="https://twitter.com/hoimetliske/status/804992221779021824" TargetMode="External"/><Relationship Id="rId141" Type="http://schemas.openxmlformats.org/officeDocument/2006/relationships/hyperlink" Target="https://pbs.twimg.com/profile_images/802073872866705408/wMHnHYch_normal.jpg" TargetMode="External"/><Relationship Id="rId3276" Type="http://schemas.openxmlformats.org/officeDocument/2006/relationships/hyperlink" Target="https://twitter.com/INTERVALPLASTIC/status/804996393484029957" TargetMode="External"/><Relationship Id="rId140" Type="http://schemas.openxmlformats.org/officeDocument/2006/relationships/hyperlink" Target="https://twitter.com/LesRandosdeCaco/status/802831942504824832" TargetMode="External"/><Relationship Id="rId3275" Type="http://schemas.openxmlformats.org/officeDocument/2006/relationships/hyperlink" Target="https://twitter.com/INTERVALPLASTIC" TargetMode="External"/><Relationship Id="rId147" Type="http://schemas.openxmlformats.org/officeDocument/2006/relationships/hyperlink" Target="https://pbs.twimg.com/profile_images/800845512836579328/cKh_5hB2_normal.jpg" TargetMode="External"/><Relationship Id="rId3278" Type="http://schemas.openxmlformats.org/officeDocument/2006/relationships/hyperlink" Target="https://twitter.com/AurinkoTenerife" TargetMode="External"/><Relationship Id="rId146" Type="http://schemas.openxmlformats.org/officeDocument/2006/relationships/hyperlink" Target="https://twitter.com/Selhso/status/802839321090883585" TargetMode="External"/><Relationship Id="rId3277" Type="http://schemas.openxmlformats.org/officeDocument/2006/relationships/hyperlink" Target="https://pbs.twimg.com/profile_images/649548167613149184/DCD89O4M_normal.jpg" TargetMode="External"/><Relationship Id="rId145" Type="http://schemas.openxmlformats.org/officeDocument/2006/relationships/hyperlink" Target="https://twitter.com/Selhso" TargetMode="External"/><Relationship Id="rId144" Type="http://schemas.openxmlformats.org/officeDocument/2006/relationships/hyperlink" Target="https://pbs.twimg.com/profile_images/769912055159742464/gMOql2lE_normal.jpg" TargetMode="External"/><Relationship Id="rId3279" Type="http://schemas.openxmlformats.org/officeDocument/2006/relationships/hyperlink" Target="https://twitter.com/AurinkoTenerife/status/805008436748517377" TargetMode="External"/><Relationship Id="rId139" Type="http://schemas.openxmlformats.org/officeDocument/2006/relationships/hyperlink" Target="https://twitter.com/LesRandosdeCaco" TargetMode="External"/><Relationship Id="rId138" Type="http://schemas.openxmlformats.org/officeDocument/2006/relationships/hyperlink" Target="https://pbs.twimg.com/profile_images/614822380859473920/pkG6W2ir_normal.jpg" TargetMode="External"/><Relationship Id="rId137" Type="http://schemas.openxmlformats.org/officeDocument/2006/relationships/hyperlink" Target="https://twitter.com/presasgc/status/802831865853911040" TargetMode="External"/><Relationship Id="rId4590" Type="http://schemas.openxmlformats.org/officeDocument/2006/relationships/hyperlink" Target="https://pbs.twimg.com/profile_images/769142043746660352/Tq79hhjf_normal.jpg" TargetMode="External"/><Relationship Id="rId3261" Type="http://schemas.openxmlformats.org/officeDocument/2006/relationships/hyperlink" Target="https://twitter.com/manubizreye/status/804987971833384960" TargetMode="External"/><Relationship Id="rId4592" Type="http://schemas.openxmlformats.org/officeDocument/2006/relationships/hyperlink" Target="https://twitter.com/Andres5112/status/805889464430133248" TargetMode="External"/><Relationship Id="rId3260" Type="http://schemas.openxmlformats.org/officeDocument/2006/relationships/hyperlink" Target="https://twitter.com/manubizreye" TargetMode="External"/><Relationship Id="rId4591" Type="http://schemas.openxmlformats.org/officeDocument/2006/relationships/hyperlink" Target="https://twitter.com/Andres5112" TargetMode="External"/><Relationship Id="rId132" Type="http://schemas.openxmlformats.org/officeDocument/2006/relationships/hyperlink" Target="https://pbs.twimg.com/profile_images/731471241282871297/LE7uB3IZ_normal.jpg" TargetMode="External"/><Relationship Id="rId3263" Type="http://schemas.openxmlformats.org/officeDocument/2006/relationships/hyperlink" Target="https://twitter.com/onlyapartments" TargetMode="External"/><Relationship Id="rId4594" Type="http://schemas.openxmlformats.org/officeDocument/2006/relationships/hyperlink" Target="https://twitter.com/islaspromo" TargetMode="External"/><Relationship Id="rId131" Type="http://schemas.openxmlformats.org/officeDocument/2006/relationships/hyperlink" Target="https://twitter.com/rickfoliva/status/802831654138052608" TargetMode="External"/><Relationship Id="rId3262" Type="http://schemas.openxmlformats.org/officeDocument/2006/relationships/hyperlink" Target="https://pbs.twimg.com/profile_images/560143207443746816/O9hRgpA9_normal.jpeg" TargetMode="External"/><Relationship Id="rId4593" Type="http://schemas.openxmlformats.org/officeDocument/2006/relationships/hyperlink" Target="https://pbs.twimg.com/profile_images/786417939352317956/izliNCoM_normal.jpg" TargetMode="External"/><Relationship Id="rId130" Type="http://schemas.openxmlformats.org/officeDocument/2006/relationships/hyperlink" Target="https://twitter.com/rickfoliva" TargetMode="External"/><Relationship Id="rId3265" Type="http://schemas.openxmlformats.org/officeDocument/2006/relationships/hyperlink" Target="https://pbs.twimg.com/profile_images/699983023215874052/_ldkgCB1_normal.jpg" TargetMode="External"/><Relationship Id="rId4596" Type="http://schemas.openxmlformats.org/officeDocument/2006/relationships/hyperlink" Target="https://pbs.twimg.com/profile_images/570644453866483712/dvbC2x8W_normal.jpeg" TargetMode="External"/><Relationship Id="rId3264" Type="http://schemas.openxmlformats.org/officeDocument/2006/relationships/hyperlink" Target="https://twitter.com/onlyapartments/status/804988768830849024" TargetMode="External"/><Relationship Id="rId4595" Type="http://schemas.openxmlformats.org/officeDocument/2006/relationships/hyperlink" Target="https://twitter.com/islaspromo/status/805889964726751234" TargetMode="External"/><Relationship Id="rId136" Type="http://schemas.openxmlformats.org/officeDocument/2006/relationships/hyperlink" Target="https://twitter.com/presasgc" TargetMode="External"/><Relationship Id="rId3267" Type="http://schemas.openxmlformats.org/officeDocument/2006/relationships/hyperlink" Target="https://twitter.com/hoimetliske/status/804990639385493504" TargetMode="External"/><Relationship Id="rId4598" Type="http://schemas.openxmlformats.org/officeDocument/2006/relationships/hyperlink" Target="https://twitter.com/MokaGonzalez_/status/805890238019227648" TargetMode="External"/><Relationship Id="rId135" Type="http://schemas.openxmlformats.org/officeDocument/2006/relationships/hyperlink" Target="https://pbs.twimg.com/profile_images/731471241282871297/LE7uB3IZ_normal.jpg" TargetMode="External"/><Relationship Id="rId3266" Type="http://schemas.openxmlformats.org/officeDocument/2006/relationships/hyperlink" Target="https://twitter.com/hoimetliske" TargetMode="External"/><Relationship Id="rId4597" Type="http://schemas.openxmlformats.org/officeDocument/2006/relationships/hyperlink" Target="https://twitter.com/MokaGonzalez_" TargetMode="External"/><Relationship Id="rId134" Type="http://schemas.openxmlformats.org/officeDocument/2006/relationships/hyperlink" Target="https://twitter.com/rickfoliva/status/802831655681585152" TargetMode="External"/><Relationship Id="rId3269" Type="http://schemas.openxmlformats.org/officeDocument/2006/relationships/hyperlink" Target="https://twitter.com/xxmichellexx88" TargetMode="External"/><Relationship Id="rId133" Type="http://schemas.openxmlformats.org/officeDocument/2006/relationships/hyperlink" Target="https://twitter.com/rickfoliva" TargetMode="External"/><Relationship Id="rId3268" Type="http://schemas.openxmlformats.org/officeDocument/2006/relationships/hyperlink" Target="https://pbs.twimg.com/profile_images/773126432612610048/7YHoNnKM_normal.jpg" TargetMode="External"/><Relationship Id="rId4599" Type="http://schemas.openxmlformats.org/officeDocument/2006/relationships/hyperlink" Target="https://pbs.twimg.com/profile_images/805759744292122624/GVNyopcr_normal.jpg" TargetMode="External"/><Relationship Id="rId172" Type="http://schemas.openxmlformats.org/officeDocument/2006/relationships/hyperlink" Target="https://twitter.com/islaspromo" TargetMode="External"/><Relationship Id="rId171" Type="http://schemas.openxmlformats.org/officeDocument/2006/relationships/hyperlink" Target="https://pbs.twimg.com/profile_images/570644453866483712/dvbC2x8W_normal.jpeg" TargetMode="External"/><Relationship Id="rId170" Type="http://schemas.openxmlformats.org/officeDocument/2006/relationships/hyperlink" Target="https://twitter.com/islaspromo/status/802854550382215169" TargetMode="External"/><Relationship Id="rId3290" Type="http://schemas.openxmlformats.org/officeDocument/2006/relationships/hyperlink" Target="https://twitter.com/Selhso" TargetMode="External"/><Relationship Id="rId3292" Type="http://schemas.openxmlformats.org/officeDocument/2006/relationships/hyperlink" Target="https://pbs.twimg.com/profile_images/800845512836579328/cKh_5hB2_normal.jpg" TargetMode="External"/><Relationship Id="rId3291" Type="http://schemas.openxmlformats.org/officeDocument/2006/relationships/hyperlink" Target="https://twitter.com/Selhso/status/805016817391505408" TargetMode="External"/><Relationship Id="rId3294" Type="http://schemas.openxmlformats.org/officeDocument/2006/relationships/hyperlink" Target="https://twitter.com/paisajecanario/status/805017264600780800" TargetMode="External"/><Relationship Id="rId3293" Type="http://schemas.openxmlformats.org/officeDocument/2006/relationships/hyperlink" Target="https://twitter.com/paisajecanario" TargetMode="External"/><Relationship Id="rId165" Type="http://schemas.openxmlformats.org/officeDocument/2006/relationships/hyperlink" Target="https://pbs.twimg.com/profile_images/3461850627/70f1c6c744e939681691ad3a09d64375_normal.png" TargetMode="External"/><Relationship Id="rId3296" Type="http://schemas.openxmlformats.org/officeDocument/2006/relationships/hyperlink" Target="https://twitter.com/Salamanca_SSV" TargetMode="External"/><Relationship Id="rId164" Type="http://schemas.openxmlformats.org/officeDocument/2006/relationships/hyperlink" Target="https://twitter.com/Salamanca_SSV/status/802852827659956224" TargetMode="External"/><Relationship Id="rId3295" Type="http://schemas.openxmlformats.org/officeDocument/2006/relationships/hyperlink" Target="https://pbs.twimg.com/profile_images/789364630850240512/Mw90qAlM_normal.jpg" TargetMode="External"/><Relationship Id="rId163" Type="http://schemas.openxmlformats.org/officeDocument/2006/relationships/hyperlink" Target="https://twitter.com/Salamanca_SSV" TargetMode="External"/><Relationship Id="rId3298" Type="http://schemas.openxmlformats.org/officeDocument/2006/relationships/hyperlink" Target="https://pbs.twimg.com/profile_images/3461850627/70f1c6c744e939681691ad3a09d64375_normal.png" TargetMode="External"/><Relationship Id="rId162" Type="http://schemas.openxmlformats.org/officeDocument/2006/relationships/hyperlink" Target="https://pbs.twimg.com/profile_images/703743884745187328/qEMih7VE_normal.jpg" TargetMode="External"/><Relationship Id="rId3297" Type="http://schemas.openxmlformats.org/officeDocument/2006/relationships/hyperlink" Target="https://twitter.com/Salamanca_SSV/status/805018581280948224" TargetMode="External"/><Relationship Id="rId169" Type="http://schemas.openxmlformats.org/officeDocument/2006/relationships/hyperlink" Target="https://twitter.com/islaspromo" TargetMode="External"/><Relationship Id="rId168" Type="http://schemas.openxmlformats.org/officeDocument/2006/relationships/hyperlink" Target="https://pbs.twimg.com/profile_images/802853371480711168/n_hXbQwc_normal.jpg" TargetMode="External"/><Relationship Id="rId3299" Type="http://schemas.openxmlformats.org/officeDocument/2006/relationships/hyperlink" Target="https://twitter.com/DiscontaES" TargetMode="External"/><Relationship Id="rId167" Type="http://schemas.openxmlformats.org/officeDocument/2006/relationships/hyperlink" Target="https://twitter.com/af41a25f23c74e1/status/802853104618074112" TargetMode="External"/><Relationship Id="rId166" Type="http://schemas.openxmlformats.org/officeDocument/2006/relationships/hyperlink" Target="https://twitter.com/af41a25f23c74e1" TargetMode="External"/><Relationship Id="rId161" Type="http://schemas.openxmlformats.org/officeDocument/2006/relationships/hyperlink" Target="https://twitter.com/iBydaute/status/802851933329330176" TargetMode="External"/><Relationship Id="rId160" Type="http://schemas.openxmlformats.org/officeDocument/2006/relationships/hyperlink" Target="https://twitter.com/iBydaute" TargetMode="External"/><Relationship Id="rId159" Type="http://schemas.openxmlformats.org/officeDocument/2006/relationships/hyperlink" Target="https://pbs.twimg.com/profile_images/785027440498319360/ECZ0F0W2_normal.jpg" TargetMode="External"/><Relationship Id="rId3281" Type="http://schemas.openxmlformats.org/officeDocument/2006/relationships/hyperlink" Target="https://twitter.com/DunasHoteles" TargetMode="External"/><Relationship Id="rId3280" Type="http://schemas.openxmlformats.org/officeDocument/2006/relationships/hyperlink" Target="https://pbs.twimg.com/profile_images/425949963990728704/hnPlGLoM_normal.jpeg" TargetMode="External"/><Relationship Id="rId3283" Type="http://schemas.openxmlformats.org/officeDocument/2006/relationships/hyperlink" Target="https://pbs.twimg.com/profile_images/461470205227454465/4u4KGofw_normal.jpeg" TargetMode="External"/><Relationship Id="rId3282" Type="http://schemas.openxmlformats.org/officeDocument/2006/relationships/hyperlink" Target="https://twitter.com/DunasHoteles/status/805013786293915648" TargetMode="External"/><Relationship Id="rId154" Type="http://schemas.openxmlformats.org/officeDocument/2006/relationships/hyperlink" Target="https://twitter.com/paisajecanario" TargetMode="External"/><Relationship Id="rId3285" Type="http://schemas.openxmlformats.org/officeDocument/2006/relationships/hyperlink" Target="https://twitter.com/FaniMatesanz/status/805014297109729280" TargetMode="External"/><Relationship Id="rId153" Type="http://schemas.openxmlformats.org/officeDocument/2006/relationships/hyperlink" Target="https://pbs.twimg.com/profile_images/3497575836/b2ae6be61f3184c86257069654bfa8d6_normal.jpeg" TargetMode="External"/><Relationship Id="rId3284" Type="http://schemas.openxmlformats.org/officeDocument/2006/relationships/hyperlink" Target="https://twitter.com/FaniMatesanz" TargetMode="External"/><Relationship Id="rId152" Type="http://schemas.openxmlformats.org/officeDocument/2006/relationships/hyperlink" Target="https://twitter.com/asierbaquero/status/802844587719008256" TargetMode="External"/><Relationship Id="rId3287" Type="http://schemas.openxmlformats.org/officeDocument/2006/relationships/hyperlink" Target="https://twitter.com/PamitaRao" TargetMode="External"/><Relationship Id="rId151" Type="http://schemas.openxmlformats.org/officeDocument/2006/relationships/hyperlink" Target="https://twitter.com/asierbaquero" TargetMode="External"/><Relationship Id="rId3286" Type="http://schemas.openxmlformats.org/officeDocument/2006/relationships/hyperlink" Target="https://pbs.twimg.com/profile_images/3376484717/74d2e6c4d6cb4ae3a1a25820abf10edb_normal.jpeg" TargetMode="External"/><Relationship Id="rId158" Type="http://schemas.openxmlformats.org/officeDocument/2006/relationships/hyperlink" Target="https://twitter.com/PhilStubbington/status/802851445150072832" TargetMode="External"/><Relationship Id="rId3289" Type="http://schemas.openxmlformats.org/officeDocument/2006/relationships/hyperlink" Target="https://pbs.twimg.com/profile_images/753485723098050560/oiVzslRh_normal.jpg" TargetMode="External"/><Relationship Id="rId157" Type="http://schemas.openxmlformats.org/officeDocument/2006/relationships/hyperlink" Target="https://twitter.com/PhilStubbington" TargetMode="External"/><Relationship Id="rId3288" Type="http://schemas.openxmlformats.org/officeDocument/2006/relationships/hyperlink" Target="https://twitter.com/PamitaRao/status/805014638446411777" TargetMode="External"/><Relationship Id="rId156" Type="http://schemas.openxmlformats.org/officeDocument/2006/relationships/hyperlink" Target="https://pbs.twimg.com/profile_images/789364630850240512/Mw90qAlM_normal.jpg" TargetMode="External"/><Relationship Id="rId155" Type="http://schemas.openxmlformats.org/officeDocument/2006/relationships/hyperlink" Target="https://twitter.com/paisajecanario/status/802848700083015680" TargetMode="External"/><Relationship Id="rId2820" Type="http://schemas.openxmlformats.org/officeDocument/2006/relationships/hyperlink" Target="https://pbs.twimg.com/profile_images/562677428628516864/nHZudUqH_normal.jpeg" TargetMode="External"/><Relationship Id="rId2821" Type="http://schemas.openxmlformats.org/officeDocument/2006/relationships/hyperlink" Target="https://twitter.com/alixo8" TargetMode="External"/><Relationship Id="rId2822" Type="http://schemas.openxmlformats.org/officeDocument/2006/relationships/hyperlink" Target="https://twitter.com/alixo8/status/804674643009400832" TargetMode="External"/><Relationship Id="rId2823" Type="http://schemas.openxmlformats.org/officeDocument/2006/relationships/hyperlink" Target="https://pbs.twimg.com/profile_images/627910306799333376/CBcG8QO5_normal.jpg" TargetMode="External"/><Relationship Id="rId2824" Type="http://schemas.openxmlformats.org/officeDocument/2006/relationships/hyperlink" Target="https://twitter.com/SimonTurkas" TargetMode="External"/><Relationship Id="rId2825" Type="http://schemas.openxmlformats.org/officeDocument/2006/relationships/hyperlink" Target="https://twitter.com/SimonTurkas/status/804675018168877056" TargetMode="External"/><Relationship Id="rId2826" Type="http://schemas.openxmlformats.org/officeDocument/2006/relationships/hyperlink" Target="https://pbs.twimg.com/profile_images/800292908008144896/TiECGUpd_normal.jpg" TargetMode="External"/><Relationship Id="rId2827" Type="http://schemas.openxmlformats.org/officeDocument/2006/relationships/hyperlink" Target="https://twitter.com/GamalloPilar" TargetMode="External"/><Relationship Id="rId2828" Type="http://schemas.openxmlformats.org/officeDocument/2006/relationships/hyperlink" Target="https://twitter.com/GamalloPilar/status/804675439746805760" TargetMode="External"/><Relationship Id="rId2829" Type="http://schemas.openxmlformats.org/officeDocument/2006/relationships/hyperlink" Target="https://pbs.twimg.com/profile_images/781971431374614528/-3vSomJG_normal.jpg" TargetMode="External"/><Relationship Id="rId2810" Type="http://schemas.openxmlformats.org/officeDocument/2006/relationships/hyperlink" Target="https://twitter.com/FranciscoMaeso/status/804672123176423428" TargetMode="External"/><Relationship Id="rId2811" Type="http://schemas.openxmlformats.org/officeDocument/2006/relationships/hyperlink" Target="https://pbs.twimg.com/profile_images/479353826211033089/loQSm1n5_normal.jpeg" TargetMode="External"/><Relationship Id="rId2812" Type="http://schemas.openxmlformats.org/officeDocument/2006/relationships/hyperlink" Target="https://twitter.com/luisa_dimartino" TargetMode="External"/><Relationship Id="rId2813" Type="http://schemas.openxmlformats.org/officeDocument/2006/relationships/hyperlink" Target="https://twitter.com/luisa_dimartino/status/804672157867446272" TargetMode="External"/><Relationship Id="rId2814" Type="http://schemas.openxmlformats.org/officeDocument/2006/relationships/hyperlink" Target="https://pbs.twimg.com/profile_images/753597627355111424/graqmFEj_normal.jpg" TargetMode="External"/><Relationship Id="rId2815" Type="http://schemas.openxmlformats.org/officeDocument/2006/relationships/hyperlink" Target="https://twitter.com/franhernando17" TargetMode="External"/><Relationship Id="rId2816" Type="http://schemas.openxmlformats.org/officeDocument/2006/relationships/hyperlink" Target="https://twitter.com/franhernando17/status/804672952373563392" TargetMode="External"/><Relationship Id="rId2817" Type="http://schemas.openxmlformats.org/officeDocument/2006/relationships/hyperlink" Target="https://pbs.twimg.com/profile_images/378800000240265196/b38ed1444fb0222812dd132e9ff9c192_normal.jpeg" TargetMode="External"/><Relationship Id="rId2818" Type="http://schemas.openxmlformats.org/officeDocument/2006/relationships/hyperlink" Target="https://twitter.com/adirokuru" TargetMode="External"/><Relationship Id="rId2819" Type="http://schemas.openxmlformats.org/officeDocument/2006/relationships/hyperlink" Target="https://twitter.com/adirokuru/status/804673283241062400" TargetMode="External"/><Relationship Id="rId1510" Type="http://schemas.openxmlformats.org/officeDocument/2006/relationships/hyperlink" Target="https://pbs.twimg.com/profile_images/659235369053986816/gmp1-og6_normal.jpg" TargetMode="External"/><Relationship Id="rId2841" Type="http://schemas.openxmlformats.org/officeDocument/2006/relationships/hyperlink" Target="https://pbs.twimg.com/profile_images/754960714704584704/14dQxsF8_normal.jpg" TargetMode="External"/><Relationship Id="rId1511" Type="http://schemas.openxmlformats.org/officeDocument/2006/relationships/hyperlink" Target="https://twitter.com/15Fuerteventura" TargetMode="External"/><Relationship Id="rId2842" Type="http://schemas.openxmlformats.org/officeDocument/2006/relationships/hyperlink" Target="https://twitter.com/JesusRamos802" TargetMode="External"/><Relationship Id="rId1512" Type="http://schemas.openxmlformats.org/officeDocument/2006/relationships/hyperlink" Target="https://twitter.com/15Fuerteventura/status/803899083878502408" TargetMode="External"/><Relationship Id="rId2843" Type="http://schemas.openxmlformats.org/officeDocument/2006/relationships/hyperlink" Target="https://twitter.com/JesusRamos802/status/804689674874875904" TargetMode="External"/><Relationship Id="rId1513" Type="http://schemas.openxmlformats.org/officeDocument/2006/relationships/hyperlink" Target="https://pbs.twimg.com/profile_images/1450740632/15_brand_pic_normal.jpg" TargetMode="External"/><Relationship Id="rId2844" Type="http://schemas.openxmlformats.org/officeDocument/2006/relationships/hyperlink" Target="https://pbs.twimg.com/profile_images/532317988381523968/EqeIKhVf_normal.jpeg" TargetMode="External"/><Relationship Id="rId1514" Type="http://schemas.openxmlformats.org/officeDocument/2006/relationships/hyperlink" Target="https://twitter.com/OutsmartOOH" TargetMode="External"/><Relationship Id="rId2845" Type="http://schemas.openxmlformats.org/officeDocument/2006/relationships/hyperlink" Target="https://twitter.com/DefAeroNews" TargetMode="External"/><Relationship Id="rId1515" Type="http://schemas.openxmlformats.org/officeDocument/2006/relationships/hyperlink" Target="https://twitter.com/OutsmartOOH/status/803901383523045376" TargetMode="External"/><Relationship Id="rId2846" Type="http://schemas.openxmlformats.org/officeDocument/2006/relationships/hyperlink" Target="https://twitter.com/DefAeroNews/status/804690281027301376" TargetMode="External"/><Relationship Id="rId1516" Type="http://schemas.openxmlformats.org/officeDocument/2006/relationships/hyperlink" Target="https://pbs.twimg.com/profile_images/735094821459660800/qtA_WWsJ_normal.jpg" TargetMode="External"/><Relationship Id="rId2847" Type="http://schemas.openxmlformats.org/officeDocument/2006/relationships/hyperlink" Target="https://pbs.twimg.com/profile_images/557936173302046720/2-yVXxw8_normal.png" TargetMode="External"/><Relationship Id="rId1517" Type="http://schemas.openxmlformats.org/officeDocument/2006/relationships/hyperlink" Target="https://twitter.com/GoToGate12" TargetMode="External"/><Relationship Id="rId2848" Type="http://schemas.openxmlformats.org/officeDocument/2006/relationships/hyperlink" Target="https://twitter.com/ShopAfortunadas" TargetMode="External"/><Relationship Id="rId1518" Type="http://schemas.openxmlformats.org/officeDocument/2006/relationships/hyperlink" Target="https://twitter.com/GoToGate12/status/803901584501514240" TargetMode="External"/><Relationship Id="rId2849" Type="http://schemas.openxmlformats.org/officeDocument/2006/relationships/hyperlink" Target="https://twitter.com/ShopAfortunadas/status/804690500976607232" TargetMode="External"/><Relationship Id="rId1519" Type="http://schemas.openxmlformats.org/officeDocument/2006/relationships/hyperlink" Target="https://pbs.twimg.com/profile_images/791921509547728896/fPLoe7xx_normal.jpg" TargetMode="External"/><Relationship Id="rId2840" Type="http://schemas.openxmlformats.org/officeDocument/2006/relationships/hyperlink" Target="https://twitter.com/CanaryIslandsEN/status/804689122464043009" TargetMode="External"/><Relationship Id="rId2830" Type="http://schemas.openxmlformats.org/officeDocument/2006/relationships/hyperlink" Target="https://twitter.com/Carlos_Holgado" TargetMode="External"/><Relationship Id="rId1500" Type="http://schemas.openxmlformats.org/officeDocument/2006/relationships/hyperlink" Target="https://twitter.com/bh_oceano/status/803893540250144768" TargetMode="External"/><Relationship Id="rId2831" Type="http://schemas.openxmlformats.org/officeDocument/2006/relationships/hyperlink" Target="https://twitter.com/Carlos_Holgado/status/804675776301924352" TargetMode="External"/><Relationship Id="rId1501" Type="http://schemas.openxmlformats.org/officeDocument/2006/relationships/hyperlink" Target="https://pbs.twimg.com/profile_images/794101918943604736/NxlDydce_normal.jpg" TargetMode="External"/><Relationship Id="rId2832" Type="http://schemas.openxmlformats.org/officeDocument/2006/relationships/hyperlink" Target="https://pbs.twimg.com/profile_images/747171372099579904/Whg4Abuo_normal.jpg" TargetMode="External"/><Relationship Id="rId1502" Type="http://schemas.openxmlformats.org/officeDocument/2006/relationships/hyperlink" Target="https://twitter.com/JuanyGar63" TargetMode="External"/><Relationship Id="rId2833" Type="http://schemas.openxmlformats.org/officeDocument/2006/relationships/hyperlink" Target="https://twitter.com/sellmytshare" TargetMode="External"/><Relationship Id="rId1503" Type="http://schemas.openxmlformats.org/officeDocument/2006/relationships/hyperlink" Target="https://twitter.com/JuanyGar63/status/803894694098964480" TargetMode="External"/><Relationship Id="rId2834" Type="http://schemas.openxmlformats.org/officeDocument/2006/relationships/hyperlink" Target="https://twitter.com/sellmytshare/status/804682027480076288" TargetMode="External"/><Relationship Id="rId1504" Type="http://schemas.openxmlformats.org/officeDocument/2006/relationships/hyperlink" Target="https://pbs.twimg.com/profile_images/801521170327617540/CKo1RnBp_normal.jpg" TargetMode="External"/><Relationship Id="rId2835" Type="http://schemas.openxmlformats.org/officeDocument/2006/relationships/hyperlink" Target="https://pbs.twimg.com/profile_images/661939380370726912/YsXXMKwm_normal.png" TargetMode="External"/><Relationship Id="rId1505" Type="http://schemas.openxmlformats.org/officeDocument/2006/relationships/hyperlink" Target="https://twitter.com/My_World4travel" TargetMode="External"/><Relationship Id="rId2836" Type="http://schemas.openxmlformats.org/officeDocument/2006/relationships/hyperlink" Target="https://twitter.com/JulioAl18175505" TargetMode="External"/><Relationship Id="rId1506" Type="http://schemas.openxmlformats.org/officeDocument/2006/relationships/hyperlink" Target="https://twitter.com/My_World4travel/status/803897307062222848" TargetMode="External"/><Relationship Id="rId2837" Type="http://schemas.openxmlformats.org/officeDocument/2006/relationships/hyperlink" Target="https://twitter.com/JulioAl18175505/status/804685572203757568" TargetMode="External"/><Relationship Id="rId1507" Type="http://schemas.openxmlformats.org/officeDocument/2006/relationships/hyperlink" Target="https://pbs.twimg.com/profile_images/803898376676933633/N58_zDyC_normal.jpg" TargetMode="External"/><Relationship Id="rId2838" Type="http://schemas.openxmlformats.org/officeDocument/2006/relationships/hyperlink" Target="https://pbs.twimg.com/profile_images/706839494851436544/7igsf91D_normal.jpg" TargetMode="External"/><Relationship Id="rId1508" Type="http://schemas.openxmlformats.org/officeDocument/2006/relationships/hyperlink" Target="https://twitter.com/ElenaMuvie" TargetMode="External"/><Relationship Id="rId2839" Type="http://schemas.openxmlformats.org/officeDocument/2006/relationships/hyperlink" Target="https://twitter.com/CanaryIslandsEN" TargetMode="External"/><Relationship Id="rId1509" Type="http://schemas.openxmlformats.org/officeDocument/2006/relationships/hyperlink" Target="https://twitter.com/ElenaMuvie/status/803898668793348099" TargetMode="External"/><Relationship Id="rId2800" Type="http://schemas.openxmlformats.org/officeDocument/2006/relationships/hyperlink" Target="https://twitter.com/bridgeofhopelv" TargetMode="External"/><Relationship Id="rId2801" Type="http://schemas.openxmlformats.org/officeDocument/2006/relationships/hyperlink" Target="https://twitter.com/bridgeofhopelv/status/804669159413923840" TargetMode="External"/><Relationship Id="rId2802" Type="http://schemas.openxmlformats.org/officeDocument/2006/relationships/hyperlink" Target="https://pbs.twimg.com/profile_images/604816985944252416/5hNAFPMA_normal.jpg" TargetMode="External"/><Relationship Id="rId2803" Type="http://schemas.openxmlformats.org/officeDocument/2006/relationships/hyperlink" Target="https://twitter.com/misszoeshaw" TargetMode="External"/><Relationship Id="rId2804" Type="http://schemas.openxmlformats.org/officeDocument/2006/relationships/hyperlink" Target="https://twitter.com/misszoeshaw/status/804669427065253888" TargetMode="External"/><Relationship Id="rId2805" Type="http://schemas.openxmlformats.org/officeDocument/2006/relationships/hyperlink" Target="https://pbs.twimg.com/profile_images/633043283883786241/zwu8EWCX_normal.jpg" TargetMode="External"/><Relationship Id="rId2806" Type="http://schemas.openxmlformats.org/officeDocument/2006/relationships/hyperlink" Target="https://twitter.com/bermaxo09" TargetMode="External"/><Relationship Id="rId2807" Type="http://schemas.openxmlformats.org/officeDocument/2006/relationships/hyperlink" Target="https://twitter.com/bermaxo09/status/804670881016512512" TargetMode="External"/><Relationship Id="rId2808" Type="http://schemas.openxmlformats.org/officeDocument/2006/relationships/hyperlink" Target="https://pbs.twimg.com/profile_images/798476790478073856/iOD0HIRa_normal.jpg" TargetMode="External"/><Relationship Id="rId2809" Type="http://schemas.openxmlformats.org/officeDocument/2006/relationships/hyperlink" Target="https://twitter.com/FranciscoMaeso" TargetMode="External"/><Relationship Id="rId1576" Type="http://schemas.openxmlformats.org/officeDocument/2006/relationships/hyperlink" Target="https://pbs.twimg.com/profile_images/499159000076648449/QOv5P43Q_normal.png" TargetMode="External"/><Relationship Id="rId4602" Type="http://schemas.openxmlformats.org/officeDocument/2006/relationships/hyperlink" Target="https://pbs.twimg.com/profile_images/475644614448123904/FiCl2pX4_normal.jpeg" TargetMode="External"/><Relationship Id="rId1577" Type="http://schemas.openxmlformats.org/officeDocument/2006/relationships/hyperlink" Target="https://twitter.com/Sunbonoo" TargetMode="External"/><Relationship Id="rId4601" Type="http://schemas.openxmlformats.org/officeDocument/2006/relationships/hyperlink" Target="https://twitter.com/holyber/status/805890611337371652" TargetMode="External"/><Relationship Id="rId1578" Type="http://schemas.openxmlformats.org/officeDocument/2006/relationships/hyperlink" Target="https://twitter.com/Sunbonoo/status/803910364832428032" TargetMode="External"/><Relationship Id="rId4604" Type="http://schemas.openxmlformats.org/officeDocument/2006/relationships/hyperlink" Target="https://twitter.com/Selhso/status/805890704765554692" TargetMode="External"/><Relationship Id="rId1579" Type="http://schemas.openxmlformats.org/officeDocument/2006/relationships/hyperlink" Target="https://pbs.twimg.com/profile_images/2120421138/logo_normal.jpg" TargetMode="External"/><Relationship Id="rId4603" Type="http://schemas.openxmlformats.org/officeDocument/2006/relationships/hyperlink" Target="https://twitter.com/Selhso" TargetMode="External"/><Relationship Id="rId4606" Type="http://schemas.openxmlformats.org/officeDocument/2006/relationships/hyperlink" Target="https://twitter.com/JulioAl18175505" TargetMode="External"/><Relationship Id="rId4605" Type="http://schemas.openxmlformats.org/officeDocument/2006/relationships/hyperlink" Target="https://pbs.twimg.com/profile_images/800845512836579328/cKh_5hB2_normal.jpg" TargetMode="External"/><Relationship Id="rId4608" Type="http://schemas.openxmlformats.org/officeDocument/2006/relationships/hyperlink" Target="https://pbs.twimg.com/profile_images/706839494851436544/7igsf91D_normal.jpg" TargetMode="External"/><Relationship Id="rId4607" Type="http://schemas.openxmlformats.org/officeDocument/2006/relationships/hyperlink" Target="https://twitter.com/JulioAl18175505/status/805891314806063104" TargetMode="External"/><Relationship Id="rId4609" Type="http://schemas.openxmlformats.org/officeDocument/2006/relationships/hyperlink" Target="https://twitter.com/JulioAl18175505" TargetMode="External"/><Relationship Id="rId987" Type="http://schemas.openxmlformats.org/officeDocument/2006/relationships/hyperlink" Target="https://twitter.com/radiojagger/status/803490143470555137" TargetMode="External"/><Relationship Id="rId986" Type="http://schemas.openxmlformats.org/officeDocument/2006/relationships/hyperlink" Target="https://twitter.com/radiojagger" TargetMode="External"/><Relationship Id="rId985" Type="http://schemas.openxmlformats.org/officeDocument/2006/relationships/hyperlink" Target="https://pbs.twimg.com/profile_images/805484536301780992/2tho24Rf_normal.jpg" TargetMode="External"/><Relationship Id="rId984" Type="http://schemas.openxmlformats.org/officeDocument/2006/relationships/hyperlink" Target="https://twitter.com/MedCruiseGuide/status/803486233016107008" TargetMode="External"/><Relationship Id="rId989" Type="http://schemas.openxmlformats.org/officeDocument/2006/relationships/hyperlink" Target="https://twitter.com/WestcottJane" TargetMode="External"/><Relationship Id="rId988" Type="http://schemas.openxmlformats.org/officeDocument/2006/relationships/hyperlink" Target="https://pbs.twimg.com/profile_images/490522145932722176/zxbyerHr_normal.jpeg" TargetMode="External"/><Relationship Id="rId1570" Type="http://schemas.openxmlformats.org/officeDocument/2006/relationships/hyperlink" Target="https://pbs.twimg.com/profile_images/506732081079013377/VmrRkhPe_normal.jpeg" TargetMode="External"/><Relationship Id="rId1571" Type="http://schemas.openxmlformats.org/officeDocument/2006/relationships/hyperlink" Target="https://twitter.com/travelsupport7" TargetMode="External"/><Relationship Id="rId983" Type="http://schemas.openxmlformats.org/officeDocument/2006/relationships/hyperlink" Target="https://twitter.com/MedCruiseGuide" TargetMode="External"/><Relationship Id="rId1572" Type="http://schemas.openxmlformats.org/officeDocument/2006/relationships/hyperlink" Target="https://twitter.com/travelsupport7/status/803908925460516864" TargetMode="External"/><Relationship Id="rId982" Type="http://schemas.openxmlformats.org/officeDocument/2006/relationships/hyperlink" Target="https://pbs.twimg.com/profile_images/800397584418410496/KmcpxgeS_normal.jpg" TargetMode="External"/><Relationship Id="rId1573" Type="http://schemas.openxmlformats.org/officeDocument/2006/relationships/hyperlink" Target="https://pbs.twimg.com/profile_images/739756655391481857/1iOj5jcg_normal.jpg" TargetMode="External"/><Relationship Id="rId981" Type="http://schemas.openxmlformats.org/officeDocument/2006/relationships/hyperlink" Target="https://twitter.com/MdameVictoria/status/803472534213656576" TargetMode="External"/><Relationship Id="rId1574" Type="http://schemas.openxmlformats.org/officeDocument/2006/relationships/hyperlink" Target="https://twitter.com/LanzMarathon" TargetMode="External"/><Relationship Id="rId4600" Type="http://schemas.openxmlformats.org/officeDocument/2006/relationships/hyperlink" Target="https://twitter.com/holyber" TargetMode="External"/><Relationship Id="rId980" Type="http://schemas.openxmlformats.org/officeDocument/2006/relationships/hyperlink" Target="https://twitter.com/MdameVictoria" TargetMode="External"/><Relationship Id="rId1575" Type="http://schemas.openxmlformats.org/officeDocument/2006/relationships/hyperlink" Target="https://twitter.com/LanzMarathon/status/803909144155684864" TargetMode="External"/><Relationship Id="rId1565" Type="http://schemas.openxmlformats.org/officeDocument/2006/relationships/hyperlink" Target="https://twitter.com/ShopAfortunadas" TargetMode="External"/><Relationship Id="rId2896" Type="http://schemas.openxmlformats.org/officeDocument/2006/relationships/hyperlink" Target="https://twitter.com/lanzarote_visit" TargetMode="External"/><Relationship Id="rId1566" Type="http://schemas.openxmlformats.org/officeDocument/2006/relationships/hyperlink" Target="https://twitter.com/ShopAfortunadas/status/803904787142103040" TargetMode="External"/><Relationship Id="rId2897" Type="http://schemas.openxmlformats.org/officeDocument/2006/relationships/hyperlink" Target="https://twitter.com/lanzarote_visit/status/804710206093619201" TargetMode="External"/><Relationship Id="rId1567" Type="http://schemas.openxmlformats.org/officeDocument/2006/relationships/hyperlink" Target="https://pbs.twimg.com/profile_images/679251177305972736/xtBJP7kS_normal.jpg" TargetMode="External"/><Relationship Id="rId2898" Type="http://schemas.openxmlformats.org/officeDocument/2006/relationships/hyperlink" Target="https://pbs.twimg.com/profile_images/724193378888482816/29UxdxQB_normal.jpg" TargetMode="External"/><Relationship Id="rId1568" Type="http://schemas.openxmlformats.org/officeDocument/2006/relationships/hyperlink" Target="https://twitter.com/ebook_travel" TargetMode="External"/><Relationship Id="rId2899" Type="http://schemas.openxmlformats.org/officeDocument/2006/relationships/hyperlink" Target="https://twitter.com/lapalmarss" TargetMode="External"/><Relationship Id="rId1569" Type="http://schemas.openxmlformats.org/officeDocument/2006/relationships/hyperlink" Target="https://twitter.com/ebook_travel/status/803905009222111232" TargetMode="External"/><Relationship Id="rId976" Type="http://schemas.openxmlformats.org/officeDocument/2006/relationships/hyperlink" Target="https://pbs.twimg.com/profile_images/378800000742091919/261480fe645618a81dbde91651aa976b_normal.jpeg" TargetMode="External"/><Relationship Id="rId975" Type="http://schemas.openxmlformats.org/officeDocument/2006/relationships/hyperlink" Target="https://twitter.com/MihailSchwarz/status/803457475601170433" TargetMode="External"/><Relationship Id="rId974" Type="http://schemas.openxmlformats.org/officeDocument/2006/relationships/hyperlink" Target="https://twitter.com/MihailSchwarz" TargetMode="External"/><Relationship Id="rId973" Type="http://schemas.openxmlformats.org/officeDocument/2006/relationships/hyperlink" Target="https://pbs.twimg.com/profile_images/731990563684225024/TcUPk8Tx_normal.jpg" TargetMode="External"/><Relationship Id="rId979" Type="http://schemas.openxmlformats.org/officeDocument/2006/relationships/hyperlink" Target="https://pbs.twimg.com/profile_images/2277343108/6seamhfrj4kb5xhvkso0_normal.png" TargetMode="External"/><Relationship Id="rId978" Type="http://schemas.openxmlformats.org/officeDocument/2006/relationships/hyperlink" Target="https://twitter.com/NoMore60138254/status/803467354676011008" TargetMode="External"/><Relationship Id="rId977" Type="http://schemas.openxmlformats.org/officeDocument/2006/relationships/hyperlink" Target="https://twitter.com/NoMore60138254" TargetMode="External"/><Relationship Id="rId2890" Type="http://schemas.openxmlformats.org/officeDocument/2006/relationships/hyperlink" Target="https://twitter.com/CarmEnclave" TargetMode="External"/><Relationship Id="rId1560" Type="http://schemas.openxmlformats.org/officeDocument/2006/relationships/hyperlink" Target="https://twitter.com/My_World4travel/status/803902422653562880" TargetMode="External"/><Relationship Id="rId2891" Type="http://schemas.openxmlformats.org/officeDocument/2006/relationships/hyperlink" Target="https://twitter.com/CarmEnclave/status/804700848030973957" TargetMode="External"/><Relationship Id="rId972" Type="http://schemas.openxmlformats.org/officeDocument/2006/relationships/hyperlink" Target="https://twitter.com/irene_cwbfa/status/803449484361564160" TargetMode="External"/><Relationship Id="rId1561" Type="http://schemas.openxmlformats.org/officeDocument/2006/relationships/hyperlink" Target="https://pbs.twimg.com/profile_images/803898376676933633/N58_zDyC_normal.jpg" TargetMode="External"/><Relationship Id="rId2892" Type="http://schemas.openxmlformats.org/officeDocument/2006/relationships/hyperlink" Target="https://pbs.twimg.com/profile_images/729589280939585536/K3zRwFRM_normal.jpg" TargetMode="External"/><Relationship Id="rId971" Type="http://schemas.openxmlformats.org/officeDocument/2006/relationships/hyperlink" Target="https://twitter.com/irene_cwbfa" TargetMode="External"/><Relationship Id="rId1562" Type="http://schemas.openxmlformats.org/officeDocument/2006/relationships/hyperlink" Target="https://twitter.com/johnmacleod19" TargetMode="External"/><Relationship Id="rId2893" Type="http://schemas.openxmlformats.org/officeDocument/2006/relationships/hyperlink" Target="https://twitter.com/TeideVolcano" TargetMode="External"/><Relationship Id="rId970" Type="http://schemas.openxmlformats.org/officeDocument/2006/relationships/hyperlink" Target="https://pbs.twimg.com/profile_images/497164332166156288/UwFnzQJz_normal.png" TargetMode="External"/><Relationship Id="rId1563" Type="http://schemas.openxmlformats.org/officeDocument/2006/relationships/hyperlink" Target="https://twitter.com/johnmacleod19/status/803902591872724993" TargetMode="External"/><Relationship Id="rId2894" Type="http://schemas.openxmlformats.org/officeDocument/2006/relationships/hyperlink" Target="https://twitter.com/TeideVolcano/status/804704587747852288" TargetMode="External"/><Relationship Id="rId1564" Type="http://schemas.openxmlformats.org/officeDocument/2006/relationships/hyperlink" Target="https://pbs.twimg.com/profile_images/796444732129820672/NbXbDSv4_normal.jpg" TargetMode="External"/><Relationship Id="rId2895" Type="http://schemas.openxmlformats.org/officeDocument/2006/relationships/hyperlink" Target="https://pbs.twimg.com/profile_images/677587093607030786/X3reIs6G_normal.jpg" TargetMode="External"/><Relationship Id="rId1598" Type="http://schemas.openxmlformats.org/officeDocument/2006/relationships/hyperlink" Target="https://twitter.com/Dy____" TargetMode="External"/><Relationship Id="rId4624" Type="http://schemas.openxmlformats.org/officeDocument/2006/relationships/hyperlink" Target="https://twitter.com/guusstaaavooo" TargetMode="External"/><Relationship Id="rId1599" Type="http://schemas.openxmlformats.org/officeDocument/2006/relationships/hyperlink" Target="https://twitter.com/Dy____/status/803915701559894016" TargetMode="External"/><Relationship Id="rId4623" Type="http://schemas.openxmlformats.org/officeDocument/2006/relationships/hyperlink" Target="https://abs.twimg.com/sticky/default_profile_images/default_profile_0_normal.png" TargetMode="External"/><Relationship Id="rId4626" Type="http://schemas.openxmlformats.org/officeDocument/2006/relationships/hyperlink" Target="https://pbs.twimg.com/profile_images/542739397100445696/NVjopu_P_normal.jpeg" TargetMode="External"/><Relationship Id="rId4625" Type="http://schemas.openxmlformats.org/officeDocument/2006/relationships/hyperlink" Target="https://twitter.com/guusstaaavooo/status/805893643798200320" TargetMode="External"/><Relationship Id="rId4628" Type="http://schemas.openxmlformats.org/officeDocument/2006/relationships/hyperlink" Target="https://twitter.com/swisshop4uEs/status/805895055177371648" TargetMode="External"/><Relationship Id="rId4627" Type="http://schemas.openxmlformats.org/officeDocument/2006/relationships/hyperlink" Target="https://twitter.com/swisshop4uEs" TargetMode="External"/><Relationship Id="rId4629" Type="http://schemas.openxmlformats.org/officeDocument/2006/relationships/hyperlink" Target="https://pbs.twimg.com/profile_images/378800000213382003/4f562b59f92995b884d2d440f71fc5ce_normal.png" TargetMode="External"/><Relationship Id="rId1590" Type="http://schemas.openxmlformats.org/officeDocument/2006/relationships/hyperlink" Target="https://twitter.com/AlexBramwellGC/status/803914234979618816" TargetMode="External"/><Relationship Id="rId1591" Type="http://schemas.openxmlformats.org/officeDocument/2006/relationships/hyperlink" Target="https://pbs.twimg.com/profile_images/657142929920794624/Z8UQpOEp_normal.jpg" TargetMode="External"/><Relationship Id="rId1592" Type="http://schemas.openxmlformats.org/officeDocument/2006/relationships/hyperlink" Target="https://twitter.com/AineDempsey" TargetMode="External"/><Relationship Id="rId1593" Type="http://schemas.openxmlformats.org/officeDocument/2006/relationships/hyperlink" Target="https://twitter.com/AineDempsey/status/803914639880896512" TargetMode="External"/><Relationship Id="rId1594" Type="http://schemas.openxmlformats.org/officeDocument/2006/relationships/hyperlink" Target="https://pbs.twimg.com/profile_images/758043605919526912/bnjLT_0I_normal.jpg" TargetMode="External"/><Relationship Id="rId4620" Type="http://schemas.openxmlformats.org/officeDocument/2006/relationships/hyperlink" Target="https://pbs.twimg.com/profile_images/706839494851436544/7igsf91D_normal.jpg" TargetMode="External"/><Relationship Id="rId1595" Type="http://schemas.openxmlformats.org/officeDocument/2006/relationships/hyperlink" Target="https://twitter.com/AbuTF_telde" TargetMode="External"/><Relationship Id="rId1596" Type="http://schemas.openxmlformats.org/officeDocument/2006/relationships/hyperlink" Target="https://twitter.com/AbuTF_telde/status/803914914838577152" TargetMode="External"/><Relationship Id="rId4622" Type="http://schemas.openxmlformats.org/officeDocument/2006/relationships/hyperlink" Target="https://twitter.com/cardin_merche/status/805893050505498624" TargetMode="External"/><Relationship Id="rId1597" Type="http://schemas.openxmlformats.org/officeDocument/2006/relationships/hyperlink" Target="https://pbs.twimg.com/profile_images/666188641602043904/W_gPkXeG_normal.jpg" TargetMode="External"/><Relationship Id="rId4621" Type="http://schemas.openxmlformats.org/officeDocument/2006/relationships/hyperlink" Target="https://twitter.com/cardin_merche" TargetMode="External"/><Relationship Id="rId1587" Type="http://schemas.openxmlformats.org/officeDocument/2006/relationships/hyperlink" Target="https://twitter.com/UCAmIIWAAL/status/803913569708494848" TargetMode="External"/><Relationship Id="rId4613" Type="http://schemas.openxmlformats.org/officeDocument/2006/relationships/hyperlink" Target="https://twitter.com/JulioAl18175505/status/805892490230427651" TargetMode="External"/><Relationship Id="rId1588" Type="http://schemas.openxmlformats.org/officeDocument/2006/relationships/hyperlink" Target="https://pbs.twimg.com/profile_images/713310925701427200/i_WxL0Us_normal.jpg" TargetMode="External"/><Relationship Id="rId4612" Type="http://schemas.openxmlformats.org/officeDocument/2006/relationships/hyperlink" Target="https://twitter.com/JulioAl18175505" TargetMode="External"/><Relationship Id="rId1589" Type="http://schemas.openxmlformats.org/officeDocument/2006/relationships/hyperlink" Target="https://twitter.com/AlexBramwellGC" TargetMode="External"/><Relationship Id="rId4615" Type="http://schemas.openxmlformats.org/officeDocument/2006/relationships/hyperlink" Target="https://twitter.com/JulioAl18175505" TargetMode="External"/><Relationship Id="rId4614" Type="http://schemas.openxmlformats.org/officeDocument/2006/relationships/hyperlink" Target="https://pbs.twimg.com/profile_images/706839494851436544/7igsf91D_normal.jpg" TargetMode="External"/><Relationship Id="rId4617" Type="http://schemas.openxmlformats.org/officeDocument/2006/relationships/hyperlink" Target="https://pbs.twimg.com/profile_images/706839494851436544/7igsf91D_normal.jpg" TargetMode="External"/><Relationship Id="rId4616" Type="http://schemas.openxmlformats.org/officeDocument/2006/relationships/hyperlink" Target="https://twitter.com/JulioAl18175505/status/805892600863588352" TargetMode="External"/><Relationship Id="rId4619" Type="http://schemas.openxmlformats.org/officeDocument/2006/relationships/hyperlink" Target="https://twitter.com/JulioAl18175505/status/805892721198198784" TargetMode="External"/><Relationship Id="rId4618" Type="http://schemas.openxmlformats.org/officeDocument/2006/relationships/hyperlink" Target="https://twitter.com/JulioAl18175505" TargetMode="External"/><Relationship Id="rId998" Type="http://schemas.openxmlformats.org/officeDocument/2006/relationships/hyperlink" Target="https://twitter.com/bermaxo09" TargetMode="External"/><Relationship Id="rId997" Type="http://schemas.openxmlformats.org/officeDocument/2006/relationships/hyperlink" Target="https://pbs.twimg.com/profile_images/694439157893107712/KkG57Zcq_normal.jpg" TargetMode="External"/><Relationship Id="rId996" Type="http://schemas.openxmlformats.org/officeDocument/2006/relationships/hyperlink" Target="https://twitter.com/_TenDive/status/803495391371165696" TargetMode="External"/><Relationship Id="rId995" Type="http://schemas.openxmlformats.org/officeDocument/2006/relationships/hyperlink" Target="https://twitter.com/_TenDive" TargetMode="External"/><Relationship Id="rId999" Type="http://schemas.openxmlformats.org/officeDocument/2006/relationships/hyperlink" Target="https://twitter.com/bermaxo09/status/803495911053783040" TargetMode="External"/><Relationship Id="rId990" Type="http://schemas.openxmlformats.org/officeDocument/2006/relationships/hyperlink" Target="https://twitter.com/WestcottJane/status/803492289574305792" TargetMode="External"/><Relationship Id="rId1580" Type="http://schemas.openxmlformats.org/officeDocument/2006/relationships/hyperlink" Target="https://twitter.com/UCAmIIWAAL" TargetMode="External"/><Relationship Id="rId1581" Type="http://schemas.openxmlformats.org/officeDocument/2006/relationships/hyperlink" Target="https://twitter.com/UCAmIIWAAL/status/803912073608568832" TargetMode="External"/><Relationship Id="rId1582" Type="http://schemas.openxmlformats.org/officeDocument/2006/relationships/hyperlink" Target="https://pbs.twimg.com/profile_images/713310925701427200/i_WxL0Us_normal.jpg" TargetMode="External"/><Relationship Id="rId994" Type="http://schemas.openxmlformats.org/officeDocument/2006/relationships/hyperlink" Target="https://abs.twimg.com/sticky/default_profile_images/default_profile_5_normal.png" TargetMode="External"/><Relationship Id="rId1583" Type="http://schemas.openxmlformats.org/officeDocument/2006/relationships/hyperlink" Target="https://twitter.com/jubileejase" TargetMode="External"/><Relationship Id="rId993" Type="http://schemas.openxmlformats.org/officeDocument/2006/relationships/hyperlink" Target="https://twitter.com/ttriciaolander/status/803493071530917888" TargetMode="External"/><Relationship Id="rId1584" Type="http://schemas.openxmlformats.org/officeDocument/2006/relationships/hyperlink" Target="https://twitter.com/jubileejase/status/803912294438752256" TargetMode="External"/><Relationship Id="rId992" Type="http://schemas.openxmlformats.org/officeDocument/2006/relationships/hyperlink" Target="https://twitter.com/ttriciaolander" TargetMode="External"/><Relationship Id="rId1585" Type="http://schemas.openxmlformats.org/officeDocument/2006/relationships/hyperlink" Target="https://pbs.twimg.com/profile_images/755957416328589312/lGUt4SYA_normal.jpg" TargetMode="External"/><Relationship Id="rId4611" Type="http://schemas.openxmlformats.org/officeDocument/2006/relationships/hyperlink" Target="https://pbs.twimg.com/profile_images/706839494851436544/7igsf91D_normal.jpg" TargetMode="External"/><Relationship Id="rId991" Type="http://schemas.openxmlformats.org/officeDocument/2006/relationships/hyperlink" Target="https://pbs.twimg.com/profile_images/754667727030251520/jjofWlyl_normal.jpg" TargetMode="External"/><Relationship Id="rId1586" Type="http://schemas.openxmlformats.org/officeDocument/2006/relationships/hyperlink" Target="https://twitter.com/UCAmIIWAAL" TargetMode="External"/><Relationship Id="rId4610" Type="http://schemas.openxmlformats.org/officeDocument/2006/relationships/hyperlink" Target="https://twitter.com/JulioAl18175505/status/805891351510392833" TargetMode="External"/><Relationship Id="rId1532" Type="http://schemas.openxmlformats.org/officeDocument/2006/relationships/hyperlink" Target="https://twitter.com/Doris_Blog" TargetMode="External"/><Relationship Id="rId2863" Type="http://schemas.openxmlformats.org/officeDocument/2006/relationships/hyperlink" Target="https://twitter.com/RobertoGurgel3" TargetMode="External"/><Relationship Id="rId1533" Type="http://schemas.openxmlformats.org/officeDocument/2006/relationships/hyperlink" Target="https://twitter.com/Doris_Blog/status/803902311265370112" TargetMode="External"/><Relationship Id="rId2864" Type="http://schemas.openxmlformats.org/officeDocument/2006/relationships/hyperlink" Target="https://twitter.com/RobertoGurgel3/status/804694299241811968" TargetMode="External"/><Relationship Id="rId1534" Type="http://schemas.openxmlformats.org/officeDocument/2006/relationships/hyperlink" Target="https://pbs.twimg.com/profile_images/769621211911450624/O-JLlK5O_normal.jpg" TargetMode="External"/><Relationship Id="rId2865" Type="http://schemas.openxmlformats.org/officeDocument/2006/relationships/hyperlink" Target="https://pbs.twimg.com/profile_images/802878340923359232/hFMExXgM_normal.jpg" TargetMode="External"/><Relationship Id="rId1535" Type="http://schemas.openxmlformats.org/officeDocument/2006/relationships/hyperlink" Target="https://twitter.com/DorisShades" TargetMode="External"/><Relationship Id="rId2866" Type="http://schemas.openxmlformats.org/officeDocument/2006/relationships/hyperlink" Target="https://twitter.com/JoeARWright" TargetMode="External"/><Relationship Id="rId1536" Type="http://schemas.openxmlformats.org/officeDocument/2006/relationships/hyperlink" Target="https://twitter.com/DorisShades/status/803902323370102784" TargetMode="External"/><Relationship Id="rId2867" Type="http://schemas.openxmlformats.org/officeDocument/2006/relationships/hyperlink" Target="https://twitter.com/JoeARWright/status/804695806360121345" TargetMode="External"/><Relationship Id="rId1537" Type="http://schemas.openxmlformats.org/officeDocument/2006/relationships/hyperlink" Target="https://pbs.twimg.com/profile_images/777456052094791681/oTN7NDTr_normal.jpg" TargetMode="External"/><Relationship Id="rId2868" Type="http://schemas.openxmlformats.org/officeDocument/2006/relationships/hyperlink" Target="https://pbs.twimg.com/profile_images/661274871721250816/myTbik_I_normal.jpg" TargetMode="External"/><Relationship Id="rId1538" Type="http://schemas.openxmlformats.org/officeDocument/2006/relationships/hyperlink" Target="https://twitter.com/DorisVisits" TargetMode="External"/><Relationship Id="rId2869" Type="http://schemas.openxmlformats.org/officeDocument/2006/relationships/hyperlink" Target="https://twitter.com/trevorreeve" TargetMode="External"/><Relationship Id="rId1539" Type="http://schemas.openxmlformats.org/officeDocument/2006/relationships/hyperlink" Target="https://twitter.com/DorisVisits/status/803902333239357440" TargetMode="External"/><Relationship Id="rId949" Type="http://schemas.openxmlformats.org/officeDocument/2006/relationships/hyperlink" Target="https://pbs.twimg.com/profile_images/688092930607845376/uhsBGH-n_normal.jpg" TargetMode="External"/><Relationship Id="rId948" Type="http://schemas.openxmlformats.org/officeDocument/2006/relationships/hyperlink" Target="https://twitter.com/multitiendaperf/status/803370594163105792" TargetMode="External"/><Relationship Id="rId943" Type="http://schemas.openxmlformats.org/officeDocument/2006/relationships/hyperlink" Target="https://pbs.twimg.com/profile_images/760530182335827968/4Xsb4Npp_normal.jpg" TargetMode="External"/><Relationship Id="rId942" Type="http://schemas.openxmlformats.org/officeDocument/2006/relationships/hyperlink" Target="https://twitter.com/MakedelBot/status/803369469796057088" TargetMode="External"/><Relationship Id="rId941" Type="http://schemas.openxmlformats.org/officeDocument/2006/relationships/hyperlink" Target="https://twitter.com/MakedelBot" TargetMode="External"/><Relationship Id="rId940" Type="http://schemas.openxmlformats.org/officeDocument/2006/relationships/hyperlink" Target="https://pbs.twimg.com/profile_images/704289777378574340/Ecplr2FX_normal.jpg" TargetMode="External"/><Relationship Id="rId947" Type="http://schemas.openxmlformats.org/officeDocument/2006/relationships/hyperlink" Target="https://twitter.com/multitiendaperf" TargetMode="External"/><Relationship Id="rId946" Type="http://schemas.openxmlformats.org/officeDocument/2006/relationships/hyperlink" Target="https://pbs.twimg.com/profile_images/458680487225999360/SKDTUtw8_normal.jpeg" TargetMode="External"/><Relationship Id="rId945" Type="http://schemas.openxmlformats.org/officeDocument/2006/relationships/hyperlink" Target="https://twitter.com/MariaeLeon27/status/803369662998265856" TargetMode="External"/><Relationship Id="rId944" Type="http://schemas.openxmlformats.org/officeDocument/2006/relationships/hyperlink" Target="https://twitter.com/MariaeLeon27" TargetMode="External"/><Relationship Id="rId2860" Type="http://schemas.openxmlformats.org/officeDocument/2006/relationships/hyperlink" Target="https://twitter.com/ertiodelatiza" TargetMode="External"/><Relationship Id="rId1530" Type="http://schemas.openxmlformats.org/officeDocument/2006/relationships/hyperlink" Target="https://twitter.com/ComposerShades/status/803902299844255744" TargetMode="External"/><Relationship Id="rId2861" Type="http://schemas.openxmlformats.org/officeDocument/2006/relationships/hyperlink" Target="https://twitter.com/ertiodelatiza/status/804691902071275520" TargetMode="External"/><Relationship Id="rId1531" Type="http://schemas.openxmlformats.org/officeDocument/2006/relationships/hyperlink" Target="https://pbs.twimg.com/profile_images/783382917640781824/AqM_zAOY_normal.jpg" TargetMode="External"/><Relationship Id="rId2862" Type="http://schemas.openxmlformats.org/officeDocument/2006/relationships/hyperlink" Target="https://pbs.twimg.com/profile_images/622838142559764480/_AQjWGzH_normal.jpg" TargetMode="External"/><Relationship Id="rId1521" Type="http://schemas.openxmlformats.org/officeDocument/2006/relationships/hyperlink" Target="https://twitter.com/swisshop4uEs/status/803901814919852032" TargetMode="External"/><Relationship Id="rId2852" Type="http://schemas.openxmlformats.org/officeDocument/2006/relationships/hyperlink" Target="https://twitter.com/enduriaholidays/status/804691184543301633" TargetMode="External"/><Relationship Id="rId1522" Type="http://schemas.openxmlformats.org/officeDocument/2006/relationships/hyperlink" Target="https://pbs.twimg.com/profile_images/378800000213382003/4f562b59f92995b884d2d440f71fc5ce_normal.png" TargetMode="External"/><Relationship Id="rId2853" Type="http://schemas.openxmlformats.org/officeDocument/2006/relationships/hyperlink" Target="https://pbs.twimg.com/profile_images/726026649356128258/xCSaP1IW_normal.jpg" TargetMode="External"/><Relationship Id="rId1523" Type="http://schemas.openxmlformats.org/officeDocument/2006/relationships/hyperlink" Target="https://twitter.com/BulaQuo" TargetMode="External"/><Relationship Id="rId2854" Type="http://schemas.openxmlformats.org/officeDocument/2006/relationships/hyperlink" Target="https://twitter.com/dvalle1997" TargetMode="External"/><Relationship Id="rId1524" Type="http://schemas.openxmlformats.org/officeDocument/2006/relationships/hyperlink" Target="https://twitter.com/BulaQuo/status/803902276603617280" TargetMode="External"/><Relationship Id="rId2855" Type="http://schemas.openxmlformats.org/officeDocument/2006/relationships/hyperlink" Target="https://twitter.com/dvalle1997/status/804691415800356869" TargetMode="External"/><Relationship Id="rId1525" Type="http://schemas.openxmlformats.org/officeDocument/2006/relationships/hyperlink" Target="https://pbs.twimg.com/profile_images/652397579418910721/FOCz2BMO_normal.jpg" TargetMode="External"/><Relationship Id="rId2856" Type="http://schemas.openxmlformats.org/officeDocument/2006/relationships/hyperlink" Target="https://pbs.twimg.com/profile_images/747568393302253569/igRueA2m_normal.jpg" TargetMode="External"/><Relationship Id="rId1526" Type="http://schemas.openxmlformats.org/officeDocument/2006/relationships/hyperlink" Target="https://twitter.com/BulaQuoMovieUSA" TargetMode="External"/><Relationship Id="rId2857" Type="http://schemas.openxmlformats.org/officeDocument/2006/relationships/hyperlink" Target="https://twitter.com/anthonypecchi" TargetMode="External"/><Relationship Id="rId1527" Type="http://schemas.openxmlformats.org/officeDocument/2006/relationships/hyperlink" Target="https://twitter.com/BulaQuoMovieUSA/status/803902285772374016" TargetMode="External"/><Relationship Id="rId2858" Type="http://schemas.openxmlformats.org/officeDocument/2006/relationships/hyperlink" Target="https://twitter.com/anthonypecchi/status/804691809276456965" TargetMode="External"/><Relationship Id="rId1528" Type="http://schemas.openxmlformats.org/officeDocument/2006/relationships/hyperlink" Target="https://pbs.twimg.com/profile_images/655396294127652864/ez4zcU7V_normal.jpg" TargetMode="External"/><Relationship Id="rId2859" Type="http://schemas.openxmlformats.org/officeDocument/2006/relationships/hyperlink" Target="https://pbs.twimg.com/profile_images/733370298247024642/LBDvJEWD_normal.jpg" TargetMode="External"/><Relationship Id="rId1529" Type="http://schemas.openxmlformats.org/officeDocument/2006/relationships/hyperlink" Target="https://twitter.com/ComposerShades" TargetMode="External"/><Relationship Id="rId939" Type="http://schemas.openxmlformats.org/officeDocument/2006/relationships/hyperlink" Target="https://twitter.com/26rachel96/status/803369336480079873" TargetMode="External"/><Relationship Id="rId938" Type="http://schemas.openxmlformats.org/officeDocument/2006/relationships/hyperlink" Target="https://twitter.com/26rachel96" TargetMode="External"/><Relationship Id="rId937" Type="http://schemas.openxmlformats.org/officeDocument/2006/relationships/hyperlink" Target="https://pbs.twimg.com/profile_images/704289777378574340/Ecplr2FX_normal.jpg" TargetMode="External"/><Relationship Id="rId932" Type="http://schemas.openxmlformats.org/officeDocument/2006/relationships/hyperlink" Target="https://twitter.com/26rachel96" TargetMode="External"/><Relationship Id="rId931" Type="http://schemas.openxmlformats.org/officeDocument/2006/relationships/hyperlink" Target="https://pbs.twimg.com/profile_images/378800000061994811/33278fcf427161cc1589241e184a7e56_normal.jpeg" TargetMode="External"/><Relationship Id="rId930" Type="http://schemas.openxmlformats.org/officeDocument/2006/relationships/hyperlink" Target="https://twitter.com/PRevelchione/status/803365117605847041" TargetMode="External"/><Relationship Id="rId936" Type="http://schemas.openxmlformats.org/officeDocument/2006/relationships/hyperlink" Target="https://twitter.com/26rachel96/status/803368702628556800" TargetMode="External"/><Relationship Id="rId935" Type="http://schemas.openxmlformats.org/officeDocument/2006/relationships/hyperlink" Target="https://twitter.com/26rachel96" TargetMode="External"/><Relationship Id="rId934" Type="http://schemas.openxmlformats.org/officeDocument/2006/relationships/hyperlink" Target="https://pbs.twimg.com/profile_images/704289777378574340/Ecplr2FX_normal.jpg" TargetMode="External"/><Relationship Id="rId933" Type="http://schemas.openxmlformats.org/officeDocument/2006/relationships/hyperlink" Target="https://twitter.com/26rachel96/status/803368302194126849" TargetMode="External"/><Relationship Id="rId2850" Type="http://schemas.openxmlformats.org/officeDocument/2006/relationships/hyperlink" Target="https://pbs.twimg.com/profile_images/679251177305972736/xtBJP7kS_normal.jpg" TargetMode="External"/><Relationship Id="rId1520" Type="http://schemas.openxmlformats.org/officeDocument/2006/relationships/hyperlink" Target="https://twitter.com/swisshop4uEs" TargetMode="External"/><Relationship Id="rId2851" Type="http://schemas.openxmlformats.org/officeDocument/2006/relationships/hyperlink" Target="https://twitter.com/enduriaholidays" TargetMode="External"/><Relationship Id="rId1554" Type="http://schemas.openxmlformats.org/officeDocument/2006/relationships/hyperlink" Target="https://twitter.com/Shades_Of_Bad_/status/803902393826111488" TargetMode="External"/><Relationship Id="rId2885" Type="http://schemas.openxmlformats.org/officeDocument/2006/relationships/hyperlink" Target="https://twitter.com/luisevanegas/status/804699504180076544" TargetMode="External"/><Relationship Id="rId1555" Type="http://schemas.openxmlformats.org/officeDocument/2006/relationships/hyperlink" Target="https://pbs.twimg.com/profile_images/605126470994903041/ANadzfFp_normal.jpg" TargetMode="External"/><Relationship Id="rId2886" Type="http://schemas.openxmlformats.org/officeDocument/2006/relationships/hyperlink" Target="https://pbs.twimg.com/profile_images/732401805783629826/QCm7qEAJ_normal.jpg" TargetMode="External"/><Relationship Id="rId1556" Type="http://schemas.openxmlformats.org/officeDocument/2006/relationships/hyperlink" Target="https://twitter.com/ShadesDirector" TargetMode="External"/><Relationship Id="rId2887" Type="http://schemas.openxmlformats.org/officeDocument/2006/relationships/hyperlink" Target="https://twitter.com/canariashub" TargetMode="External"/><Relationship Id="rId1557" Type="http://schemas.openxmlformats.org/officeDocument/2006/relationships/hyperlink" Target="https://twitter.com/ShadesDirector/status/803902406077595648" TargetMode="External"/><Relationship Id="rId2888" Type="http://schemas.openxmlformats.org/officeDocument/2006/relationships/hyperlink" Target="https://twitter.com/canariashub/status/804700240712527872" TargetMode="External"/><Relationship Id="rId1558" Type="http://schemas.openxmlformats.org/officeDocument/2006/relationships/hyperlink" Target="https://pbs.twimg.com/profile_images/769622463344959489/FhJxVtM2_normal.jpg" TargetMode="External"/><Relationship Id="rId2889" Type="http://schemas.openxmlformats.org/officeDocument/2006/relationships/hyperlink" Target="https://pbs.twimg.com/profile_images/530724422085132288/a6DCavsq_normal.png" TargetMode="External"/><Relationship Id="rId1559" Type="http://schemas.openxmlformats.org/officeDocument/2006/relationships/hyperlink" Target="https://twitter.com/My_World4travel" TargetMode="External"/><Relationship Id="rId965" Type="http://schemas.openxmlformats.org/officeDocument/2006/relationships/hyperlink" Target="https://twitter.com/TripsMax" TargetMode="External"/><Relationship Id="rId964" Type="http://schemas.openxmlformats.org/officeDocument/2006/relationships/hyperlink" Target="https://pbs.twimg.com/profile_images/674073236964028416/oB8ssbq5_normal.jpg" TargetMode="External"/><Relationship Id="rId963" Type="http://schemas.openxmlformats.org/officeDocument/2006/relationships/hyperlink" Target="https://twitter.com/plasticsub37/status/803411479961731076" TargetMode="External"/><Relationship Id="rId962" Type="http://schemas.openxmlformats.org/officeDocument/2006/relationships/hyperlink" Target="https://twitter.com/plasticsub37" TargetMode="External"/><Relationship Id="rId969" Type="http://schemas.openxmlformats.org/officeDocument/2006/relationships/hyperlink" Target="https://twitter.com/AirTravellerorg/status/803436950938001409" TargetMode="External"/><Relationship Id="rId968" Type="http://schemas.openxmlformats.org/officeDocument/2006/relationships/hyperlink" Target="https://twitter.com/AirTravellerorg" TargetMode="External"/><Relationship Id="rId967" Type="http://schemas.openxmlformats.org/officeDocument/2006/relationships/hyperlink" Target="https://pbs.twimg.com/profile_images/722276690668314624/DVEMR4Mc_normal.jpg" TargetMode="External"/><Relationship Id="rId966" Type="http://schemas.openxmlformats.org/officeDocument/2006/relationships/hyperlink" Target="https://twitter.com/TripsMax/status/803429545516929024" TargetMode="External"/><Relationship Id="rId2880" Type="http://schemas.openxmlformats.org/officeDocument/2006/relationships/hyperlink" Target="https://pbs.twimg.com/profile_images/597042515267735553/XREgUOsZ_normal.jpg" TargetMode="External"/><Relationship Id="rId961" Type="http://schemas.openxmlformats.org/officeDocument/2006/relationships/hyperlink" Target="https://pbs.twimg.com/profile_images/694538941903544320/Nzq-yhrU_normal.jpg" TargetMode="External"/><Relationship Id="rId1550" Type="http://schemas.openxmlformats.org/officeDocument/2006/relationships/hyperlink" Target="https://twitter.com/GuestActorShade" TargetMode="External"/><Relationship Id="rId2881" Type="http://schemas.openxmlformats.org/officeDocument/2006/relationships/hyperlink" Target="https://twitter.com/GoToGate12" TargetMode="External"/><Relationship Id="rId960" Type="http://schemas.openxmlformats.org/officeDocument/2006/relationships/hyperlink" Target="https://twitter.com/MistressAl/status/803403462369284096" TargetMode="External"/><Relationship Id="rId1551" Type="http://schemas.openxmlformats.org/officeDocument/2006/relationships/hyperlink" Target="https://twitter.com/GuestActorShade/status/803902385991127044" TargetMode="External"/><Relationship Id="rId2882" Type="http://schemas.openxmlformats.org/officeDocument/2006/relationships/hyperlink" Target="https://twitter.com/GoToGate12/status/804698954495655936" TargetMode="External"/><Relationship Id="rId1552" Type="http://schemas.openxmlformats.org/officeDocument/2006/relationships/hyperlink" Target="https://pbs.twimg.com/profile_images/777552444800765952/Vo7e7swC_normal.jpg" TargetMode="External"/><Relationship Id="rId2883" Type="http://schemas.openxmlformats.org/officeDocument/2006/relationships/hyperlink" Target="https://pbs.twimg.com/profile_images/791921509547728896/fPLoe7xx_normal.jpg" TargetMode="External"/><Relationship Id="rId1553" Type="http://schemas.openxmlformats.org/officeDocument/2006/relationships/hyperlink" Target="https://twitter.com/Shades_Of_Bad_" TargetMode="External"/><Relationship Id="rId2884" Type="http://schemas.openxmlformats.org/officeDocument/2006/relationships/hyperlink" Target="https://twitter.com/luisevanegas" TargetMode="External"/><Relationship Id="rId1543" Type="http://schemas.openxmlformats.org/officeDocument/2006/relationships/hyperlink" Target="https://pbs.twimg.com/profile_images/777545822254825472/0-x9uu3s_normal.jpg" TargetMode="External"/><Relationship Id="rId2874" Type="http://schemas.openxmlformats.org/officeDocument/2006/relationships/hyperlink" Target="https://pbs.twimg.com/profile_images/1801866749/image_normal.jpg" TargetMode="External"/><Relationship Id="rId1544" Type="http://schemas.openxmlformats.org/officeDocument/2006/relationships/hyperlink" Target="https://twitter.com/FilmCheatGuide" TargetMode="External"/><Relationship Id="rId2875" Type="http://schemas.openxmlformats.org/officeDocument/2006/relationships/hyperlink" Target="https://twitter.com/ebook_travel" TargetMode="External"/><Relationship Id="rId1545" Type="http://schemas.openxmlformats.org/officeDocument/2006/relationships/hyperlink" Target="https://twitter.com/FilmCheatGuide/status/803902358539345923" TargetMode="External"/><Relationship Id="rId2876" Type="http://schemas.openxmlformats.org/officeDocument/2006/relationships/hyperlink" Target="https://twitter.com/ebook_travel/status/804698290252120064" TargetMode="External"/><Relationship Id="rId1546" Type="http://schemas.openxmlformats.org/officeDocument/2006/relationships/hyperlink" Target="https://pbs.twimg.com/profile_images/633973215384223745/lkA98fRS_normal.jpg" TargetMode="External"/><Relationship Id="rId2877" Type="http://schemas.openxmlformats.org/officeDocument/2006/relationships/hyperlink" Target="https://pbs.twimg.com/profile_images/506732081079013377/VmrRkhPe_normal.jpeg" TargetMode="External"/><Relationship Id="rId1547" Type="http://schemas.openxmlformats.org/officeDocument/2006/relationships/hyperlink" Target="https://twitter.com/Freightmovie" TargetMode="External"/><Relationship Id="rId2878" Type="http://schemas.openxmlformats.org/officeDocument/2006/relationships/hyperlink" Target="https://twitter.com/Uraniburg" TargetMode="External"/><Relationship Id="rId1548" Type="http://schemas.openxmlformats.org/officeDocument/2006/relationships/hyperlink" Target="https://twitter.com/Freightmovie/status/803902374725251073" TargetMode="External"/><Relationship Id="rId2879" Type="http://schemas.openxmlformats.org/officeDocument/2006/relationships/hyperlink" Target="https://twitter.com/Uraniburg/status/804698530099134465" TargetMode="External"/><Relationship Id="rId1549" Type="http://schemas.openxmlformats.org/officeDocument/2006/relationships/hyperlink" Target="https://pbs.twimg.com/profile_images/635723237780013056/Gk_5eJ-F_normal.jpg" TargetMode="External"/><Relationship Id="rId959" Type="http://schemas.openxmlformats.org/officeDocument/2006/relationships/hyperlink" Target="https://twitter.com/MistressAl" TargetMode="External"/><Relationship Id="rId954" Type="http://schemas.openxmlformats.org/officeDocument/2006/relationships/hyperlink" Target="https://twitter.com/wildhighlander/status/803390182628139008" TargetMode="External"/><Relationship Id="rId953" Type="http://schemas.openxmlformats.org/officeDocument/2006/relationships/hyperlink" Target="https://twitter.com/wildhighlander" TargetMode="External"/><Relationship Id="rId952" Type="http://schemas.openxmlformats.org/officeDocument/2006/relationships/hyperlink" Target="https://pbs.twimg.com/profile_images/801007789334265856/Myj73CWN_normal.jpg" TargetMode="External"/><Relationship Id="rId951" Type="http://schemas.openxmlformats.org/officeDocument/2006/relationships/hyperlink" Target="https://twitter.com/travelsaurous/status/803384250540183552" TargetMode="External"/><Relationship Id="rId958" Type="http://schemas.openxmlformats.org/officeDocument/2006/relationships/hyperlink" Target="https://pbs.twimg.com/profile_images/1508754713/Logos_Perfiles_EECC_-_Sin_borde_y_sin_texto_normal.jpg" TargetMode="External"/><Relationship Id="rId957" Type="http://schemas.openxmlformats.org/officeDocument/2006/relationships/hyperlink" Target="https://twitter.com/EmocionesCan/status/803395813439369216" TargetMode="External"/><Relationship Id="rId956" Type="http://schemas.openxmlformats.org/officeDocument/2006/relationships/hyperlink" Target="https://twitter.com/EmocionesCan" TargetMode="External"/><Relationship Id="rId955" Type="http://schemas.openxmlformats.org/officeDocument/2006/relationships/hyperlink" Target="https://pbs.twimg.com/profile_images/3751795314/3055b18546cde27291729eb2d3a36443_normal.jpeg" TargetMode="External"/><Relationship Id="rId950" Type="http://schemas.openxmlformats.org/officeDocument/2006/relationships/hyperlink" Target="https://twitter.com/travelsaurous" TargetMode="External"/><Relationship Id="rId2870" Type="http://schemas.openxmlformats.org/officeDocument/2006/relationships/hyperlink" Target="https://twitter.com/trevorreeve/status/804696041085931520" TargetMode="External"/><Relationship Id="rId1540" Type="http://schemas.openxmlformats.org/officeDocument/2006/relationships/hyperlink" Target="https://pbs.twimg.com/profile_images/668416648211222529/-2knYf0__normal.jpg" TargetMode="External"/><Relationship Id="rId2871" Type="http://schemas.openxmlformats.org/officeDocument/2006/relationships/hyperlink" Target="https://pbs.twimg.com/profile_images/682124716266635264/xYlLYCDr_normal.jpg" TargetMode="External"/><Relationship Id="rId1541" Type="http://schemas.openxmlformats.org/officeDocument/2006/relationships/hyperlink" Target="https://twitter.com/DorisVisitsUK" TargetMode="External"/><Relationship Id="rId2872" Type="http://schemas.openxmlformats.org/officeDocument/2006/relationships/hyperlink" Target="https://twitter.com/PaulGotts" TargetMode="External"/><Relationship Id="rId1542" Type="http://schemas.openxmlformats.org/officeDocument/2006/relationships/hyperlink" Target="https://twitter.com/DorisVisitsUK/status/803902341481111553" TargetMode="External"/><Relationship Id="rId2873" Type="http://schemas.openxmlformats.org/officeDocument/2006/relationships/hyperlink" Target="https://twitter.com/PaulGotts/status/804697056824664068" TargetMode="External"/><Relationship Id="rId2027" Type="http://schemas.openxmlformats.org/officeDocument/2006/relationships/hyperlink" Target="https://twitter.com/bermaxo09" TargetMode="External"/><Relationship Id="rId3359" Type="http://schemas.openxmlformats.org/officeDocument/2006/relationships/hyperlink" Target="https://pbs.twimg.com/profile_images/1519010345/yo_normal.jpg" TargetMode="External"/><Relationship Id="rId2028" Type="http://schemas.openxmlformats.org/officeDocument/2006/relationships/hyperlink" Target="https://twitter.com/bermaxo09/status/804234936425259008" TargetMode="External"/><Relationship Id="rId3358" Type="http://schemas.openxmlformats.org/officeDocument/2006/relationships/hyperlink" Target="https://twitter.com/sergon2000/status/805048774334808065" TargetMode="External"/><Relationship Id="rId4689" Type="http://schemas.openxmlformats.org/officeDocument/2006/relationships/hyperlink" Target="https://pbs.twimg.com/profile_images/765266327804190720/3kytWWcC_normal.jpg" TargetMode="External"/><Relationship Id="rId2029" Type="http://schemas.openxmlformats.org/officeDocument/2006/relationships/hyperlink" Target="https://pbs.twimg.com/profile_images/798476790478073856/iOD0HIRa_normal.jpg" TargetMode="External"/><Relationship Id="rId107" Type="http://schemas.openxmlformats.org/officeDocument/2006/relationships/hyperlink" Target="https://twitter.com/HildegardWerth/status/802828007052288000" TargetMode="External"/><Relationship Id="rId106" Type="http://schemas.openxmlformats.org/officeDocument/2006/relationships/hyperlink" Target="https://twitter.com/HildegardWerth" TargetMode="External"/><Relationship Id="rId105" Type="http://schemas.openxmlformats.org/officeDocument/2006/relationships/hyperlink" Target="https://pbs.twimg.com/profile_images/528647616423157760/LFpSUGJa_normal.jpeg" TargetMode="External"/><Relationship Id="rId104" Type="http://schemas.openxmlformats.org/officeDocument/2006/relationships/hyperlink" Target="https://twitter.com/paikea_nz/status/802826857095843841" TargetMode="External"/><Relationship Id="rId109" Type="http://schemas.openxmlformats.org/officeDocument/2006/relationships/hyperlink" Target="https://twitter.com/sergon2000" TargetMode="External"/><Relationship Id="rId4680" Type="http://schemas.openxmlformats.org/officeDocument/2006/relationships/hyperlink" Target="https://pbs.twimg.com/profile_images/722353442321260544/juVRAeF1_normal.jpg" TargetMode="External"/><Relationship Id="rId108" Type="http://schemas.openxmlformats.org/officeDocument/2006/relationships/hyperlink" Target="https://pbs.twimg.com/profile_images/584640372015505408/lJKjOceU_normal.jpg" TargetMode="External"/><Relationship Id="rId3351" Type="http://schemas.openxmlformats.org/officeDocument/2006/relationships/hyperlink" Target="https://twitter.com/holyber" TargetMode="External"/><Relationship Id="rId4682" Type="http://schemas.openxmlformats.org/officeDocument/2006/relationships/hyperlink" Target="https://twitter.com/CositasCanarias/status/805919585069395968" TargetMode="External"/><Relationship Id="rId2020" Type="http://schemas.openxmlformats.org/officeDocument/2006/relationships/hyperlink" Target="https://pbs.twimg.com/profile_images/589413376721223680/wkdqK_uJ_normal.jpg" TargetMode="External"/><Relationship Id="rId3350" Type="http://schemas.openxmlformats.org/officeDocument/2006/relationships/hyperlink" Target="https://pbs.twimg.com/profile_images/498751016653692928/dz-aHJpf_normal.jpeg" TargetMode="External"/><Relationship Id="rId4681" Type="http://schemas.openxmlformats.org/officeDocument/2006/relationships/hyperlink" Target="https://twitter.com/CositasCanarias" TargetMode="External"/><Relationship Id="rId2021" Type="http://schemas.openxmlformats.org/officeDocument/2006/relationships/hyperlink" Target="https://twitter.com/HanaDulSae" TargetMode="External"/><Relationship Id="rId3353" Type="http://schemas.openxmlformats.org/officeDocument/2006/relationships/hyperlink" Target="https://pbs.twimg.com/profile_images/475644614448123904/FiCl2pX4_normal.jpeg" TargetMode="External"/><Relationship Id="rId4684" Type="http://schemas.openxmlformats.org/officeDocument/2006/relationships/hyperlink" Target="https://twitter.com/Carmenvizcaino6" TargetMode="External"/><Relationship Id="rId2022" Type="http://schemas.openxmlformats.org/officeDocument/2006/relationships/hyperlink" Target="https://twitter.com/HanaDulSae/status/804233966177894400" TargetMode="External"/><Relationship Id="rId3352" Type="http://schemas.openxmlformats.org/officeDocument/2006/relationships/hyperlink" Target="https://twitter.com/holyber/status/805043668004536322" TargetMode="External"/><Relationship Id="rId4683" Type="http://schemas.openxmlformats.org/officeDocument/2006/relationships/hyperlink" Target="https://pbs.twimg.com/profile_images/722353442321260544/juVRAeF1_normal.jpg" TargetMode="External"/><Relationship Id="rId103" Type="http://schemas.openxmlformats.org/officeDocument/2006/relationships/hyperlink" Target="https://twitter.com/paikea_nz" TargetMode="External"/><Relationship Id="rId2023" Type="http://schemas.openxmlformats.org/officeDocument/2006/relationships/hyperlink" Target="https://pbs.twimg.com/profile_images/649904283853430785/SLf2N9wW_normal.jpg" TargetMode="External"/><Relationship Id="rId3355" Type="http://schemas.openxmlformats.org/officeDocument/2006/relationships/hyperlink" Target="https://twitter.com/LpaVisit/status/805048331143618560" TargetMode="External"/><Relationship Id="rId4686" Type="http://schemas.openxmlformats.org/officeDocument/2006/relationships/hyperlink" Target="https://pbs.twimg.com/profile_images/718187273674756096/jzdck1tc_normal.jpg" TargetMode="External"/><Relationship Id="rId102" Type="http://schemas.openxmlformats.org/officeDocument/2006/relationships/hyperlink" Target="https://pbs.twimg.com/profile_images/793018260774121473/6jjA7111_normal.jpg" TargetMode="External"/><Relationship Id="rId2024" Type="http://schemas.openxmlformats.org/officeDocument/2006/relationships/hyperlink" Target="https://twitter.com/bermaxo09" TargetMode="External"/><Relationship Id="rId3354" Type="http://schemas.openxmlformats.org/officeDocument/2006/relationships/hyperlink" Target="https://twitter.com/LpaVisit" TargetMode="External"/><Relationship Id="rId4685" Type="http://schemas.openxmlformats.org/officeDocument/2006/relationships/hyperlink" Target="https://twitter.com/Carmenvizcaino6/status/805919657182040064" TargetMode="External"/><Relationship Id="rId101" Type="http://schemas.openxmlformats.org/officeDocument/2006/relationships/hyperlink" Target="https://twitter.com/JohnLalana/status/802825747866025984" TargetMode="External"/><Relationship Id="rId2025" Type="http://schemas.openxmlformats.org/officeDocument/2006/relationships/hyperlink" Target="https://twitter.com/bermaxo09/status/804234285653835776" TargetMode="External"/><Relationship Id="rId3357" Type="http://schemas.openxmlformats.org/officeDocument/2006/relationships/hyperlink" Target="https://twitter.com/sergon2000" TargetMode="External"/><Relationship Id="rId4688" Type="http://schemas.openxmlformats.org/officeDocument/2006/relationships/hyperlink" Target="https://twitter.com/MariolaTNFGC84/status/805921392944447488" TargetMode="External"/><Relationship Id="rId100" Type="http://schemas.openxmlformats.org/officeDocument/2006/relationships/hyperlink" Target="https://twitter.com/JohnLalana" TargetMode="External"/><Relationship Id="rId2026" Type="http://schemas.openxmlformats.org/officeDocument/2006/relationships/hyperlink" Target="https://pbs.twimg.com/profile_images/798476790478073856/iOD0HIRa_normal.jpg" TargetMode="External"/><Relationship Id="rId3356" Type="http://schemas.openxmlformats.org/officeDocument/2006/relationships/hyperlink" Target="https://pbs.twimg.com/profile_images/656385242819907584/6_e-4aUc_normal.jpg" TargetMode="External"/><Relationship Id="rId4687" Type="http://schemas.openxmlformats.org/officeDocument/2006/relationships/hyperlink" Target="https://twitter.com/MariolaTNFGC84" TargetMode="External"/><Relationship Id="rId2016" Type="http://schemas.openxmlformats.org/officeDocument/2006/relationships/hyperlink" Target="https://twitter.com/KarlosAlipio/status/804233767409872896" TargetMode="External"/><Relationship Id="rId3348" Type="http://schemas.openxmlformats.org/officeDocument/2006/relationships/hyperlink" Target="https://twitter.com/petra_v_leeuwen" TargetMode="External"/><Relationship Id="rId4679" Type="http://schemas.openxmlformats.org/officeDocument/2006/relationships/hyperlink" Target="https://twitter.com/CositasCanarias/status/805919535362691073" TargetMode="External"/><Relationship Id="rId2017" Type="http://schemas.openxmlformats.org/officeDocument/2006/relationships/hyperlink" Target="https://pbs.twimg.com/profile_images/553505598214795265/eZDHgh3u_normal.jpeg" TargetMode="External"/><Relationship Id="rId3347" Type="http://schemas.openxmlformats.org/officeDocument/2006/relationships/hyperlink" Target="https://pbs.twimg.com/profile_images/570644453866483712/dvbC2x8W_normal.jpeg" TargetMode="External"/><Relationship Id="rId4678" Type="http://schemas.openxmlformats.org/officeDocument/2006/relationships/hyperlink" Target="https://twitter.com/CositasCanarias" TargetMode="External"/><Relationship Id="rId2018" Type="http://schemas.openxmlformats.org/officeDocument/2006/relationships/hyperlink" Target="https://twitter.com/masa_MS_" TargetMode="External"/><Relationship Id="rId2019" Type="http://schemas.openxmlformats.org/officeDocument/2006/relationships/hyperlink" Target="https://twitter.com/masa_MS_/status/804233809830940672" TargetMode="External"/><Relationship Id="rId3349" Type="http://schemas.openxmlformats.org/officeDocument/2006/relationships/hyperlink" Target="https://twitter.com/petra_v_leeuwen/status/805042883732578304" TargetMode="External"/><Relationship Id="rId3340" Type="http://schemas.openxmlformats.org/officeDocument/2006/relationships/hyperlink" Target="https://twitter.com/pornenter/status/805038791861932032" TargetMode="External"/><Relationship Id="rId4671" Type="http://schemas.openxmlformats.org/officeDocument/2006/relationships/hyperlink" Target="https://pbs.twimg.com/profile_images/649051054693294082/uOHIvDCc_normal.jpg" TargetMode="External"/><Relationship Id="rId4670" Type="http://schemas.openxmlformats.org/officeDocument/2006/relationships/hyperlink" Target="https://twitter.com/aljicp/status/805911832129077248" TargetMode="External"/><Relationship Id="rId2010" Type="http://schemas.openxmlformats.org/officeDocument/2006/relationships/hyperlink" Target="https://twitter.com/PiolinaColt/status/804230855359164416" TargetMode="External"/><Relationship Id="rId3342" Type="http://schemas.openxmlformats.org/officeDocument/2006/relationships/hyperlink" Target="https://twitter.com/No1ifill" TargetMode="External"/><Relationship Id="rId4673" Type="http://schemas.openxmlformats.org/officeDocument/2006/relationships/hyperlink" Target="https://twitter.com/swisshop4uEs/status/805917562240372740" TargetMode="External"/><Relationship Id="rId2011" Type="http://schemas.openxmlformats.org/officeDocument/2006/relationships/hyperlink" Target="https://pbs.twimg.com/profile_images/793381257967198208/xTQCBddN_normal.jpg" TargetMode="External"/><Relationship Id="rId3341" Type="http://schemas.openxmlformats.org/officeDocument/2006/relationships/hyperlink" Target="https://pbs.twimg.com/profile_images/757593993584766976/_8t_BDRB_normal.jpg" TargetMode="External"/><Relationship Id="rId4672" Type="http://schemas.openxmlformats.org/officeDocument/2006/relationships/hyperlink" Target="https://twitter.com/swisshop4uEs" TargetMode="External"/><Relationship Id="rId2012" Type="http://schemas.openxmlformats.org/officeDocument/2006/relationships/hyperlink" Target="https://twitter.com/swisshop4uEs" TargetMode="External"/><Relationship Id="rId3344" Type="http://schemas.openxmlformats.org/officeDocument/2006/relationships/hyperlink" Target="https://pbs.twimg.com/profile_images/3016955759/b06bb799862af51e6e11a84e70bffc9d_normal.jpeg" TargetMode="External"/><Relationship Id="rId4675" Type="http://schemas.openxmlformats.org/officeDocument/2006/relationships/hyperlink" Target="https://twitter.com/Salamanca_SSV" TargetMode="External"/><Relationship Id="rId2013" Type="http://schemas.openxmlformats.org/officeDocument/2006/relationships/hyperlink" Target="https://twitter.com/swisshop4uEs/status/804233756739563520" TargetMode="External"/><Relationship Id="rId3343" Type="http://schemas.openxmlformats.org/officeDocument/2006/relationships/hyperlink" Target="https://twitter.com/No1ifill/status/805042012814770176" TargetMode="External"/><Relationship Id="rId4674" Type="http://schemas.openxmlformats.org/officeDocument/2006/relationships/hyperlink" Target="https://pbs.twimg.com/profile_images/378800000213382003/4f562b59f92995b884d2d440f71fc5ce_normal.png" TargetMode="External"/><Relationship Id="rId2014" Type="http://schemas.openxmlformats.org/officeDocument/2006/relationships/hyperlink" Target="https://pbs.twimg.com/profile_images/378800000213382003/4f562b59f92995b884d2d440f71fc5ce_normal.png" TargetMode="External"/><Relationship Id="rId3346" Type="http://schemas.openxmlformats.org/officeDocument/2006/relationships/hyperlink" Target="https://twitter.com/islaspromo/status/805042135087087617" TargetMode="External"/><Relationship Id="rId4677" Type="http://schemas.openxmlformats.org/officeDocument/2006/relationships/hyperlink" Target="https://pbs.twimg.com/profile_images/3461850627/70f1c6c744e939681691ad3a09d64375_normal.png" TargetMode="External"/><Relationship Id="rId2015" Type="http://schemas.openxmlformats.org/officeDocument/2006/relationships/hyperlink" Target="https://twitter.com/KarlosAlipio" TargetMode="External"/><Relationship Id="rId3345" Type="http://schemas.openxmlformats.org/officeDocument/2006/relationships/hyperlink" Target="https://twitter.com/islaspromo" TargetMode="External"/><Relationship Id="rId4676" Type="http://schemas.openxmlformats.org/officeDocument/2006/relationships/hyperlink" Target="https://twitter.com/Salamanca_SSV/status/805918107281879041" TargetMode="External"/><Relationship Id="rId2049" Type="http://schemas.openxmlformats.org/officeDocument/2006/relationships/hyperlink" Target="https://twitter.com/KeyserSoSo/status/804244940809207812" TargetMode="External"/><Relationship Id="rId129" Type="http://schemas.openxmlformats.org/officeDocument/2006/relationships/hyperlink" Target="https://pbs.twimg.com/profile_images/731471241282871297/LE7uB3IZ_normal.jpg" TargetMode="External"/><Relationship Id="rId128" Type="http://schemas.openxmlformats.org/officeDocument/2006/relationships/hyperlink" Target="https://twitter.com/rickfoliva/status/802831651269177344" TargetMode="External"/><Relationship Id="rId127" Type="http://schemas.openxmlformats.org/officeDocument/2006/relationships/hyperlink" Target="https://twitter.com/rickfoliva" TargetMode="External"/><Relationship Id="rId126" Type="http://schemas.openxmlformats.org/officeDocument/2006/relationships/hyperlink" Target="https://pbs.twimg.com/profile_images/731471241282871297/LE7uB3IZ_normal.jpg" TargetMode="External"/><Relationship Id="rId3371" Type="http://schemas.openxmlformats.org/officeDocument/2006/relationships/hyperlink" Target="https://pbs.twimg.com/profile_images/659310953503334400/p4bMqDd0_normal.jpg" TargetMode="External"/><Relationship Id="rId2040" Type="http://schemas.openxmlformats.org/officeDocument/2006/relationships/hyperlink" Target="https://twitter.com/SuneHolidays/status/804241129268985856" TargetMode="External"/><Relationship Id="rId3370" Type="http://schemas.openxmlformats.org/officeDocument/2006/relationships/hyperlink" Target="https://twitter.com/LuxurySpainTrav/status/805065191717294080" TargetMode="External"/><Relationship Id="rId121" Type="http://schemas.openxmlformats.org/officeDocument/2006/relationships/hyperlink" Target="https://twitter.com/enduriaholidays" TargetMode="External"/><Relationship Id="rId2041" Type="http://schemas.openxmlformats.org/officeDocument/2006/relationships/hyperlink" Target="https://pbs.twimg.com/profile_images/686922727480029184/9ztyb32p_normal.jpg" TargetMode="External"/><Relationship Id="rId3373" Type="http://schemas.openxmlformats.org/officeDocument/2006/relationships/hyperlink" Target="https://twitter.com/bethgarrotxa/status/805069156227772416" TargetMode="External"/><Relationship Id="rId120" Type="http://schemas.openxmlformats.org/officeDocument/2006/relationships/hyperlink" Target="https://pbs.twimg.com/profile_images/3461850627/70f1c6c744e939681691ad3a09d64375_normal.png" TargetMode="External"/><Relationship Id="rId2042" Type="http://schemas.openxmlformats.org/officeDocument/2006/relationships/hyperlink" Target="https://twitter.com/mrgaryhollywood" TargetMode="External"/><Relationship Id="rId3372" Type="http://schemas.openxmlformats.org/officeDocument/2006/relationships/hyperlink" Target="https://twitter.com/bethgarrotxa" TargetMode="External"/><Relationship Id="rId2043" Type="http://schemas.openxmlformats.org/officeDocument/2006/relationships/hyperlink" Target="https://twitter.com/mrgaryhollywood/status/804241245908430848" TargetMode="External"/><Relationship Id="rId3375" Type="http://schemas.openxmlformats.org/officeDocument/2006/relationships/hyperlink" Target="https://twitter.com/JimmyDa15361694" TargetMode="External"/><Relationship Id="rId2044" Type="http://schemas.openxmlformats.org/officeDocument/2006/relationships/hyperlink" Target="https://pbs.twimg.com/profile_images/768044411976646656/on8rcxYg_normal.jpg" TargetMode="External"/><Relationship Id="rId3374" Type="http://schemas.openxmlformats.org/officeDocument/2006/relationships/hyperlink" Target="https://pbs.twimg.com/profile_images/2784461956/37b6d95f5bcac37b93611f81029dd365_normal.jpeg" TargetMode="External"/><Relationship Id="rId125" Type="http://schemas.openxmlformats.org/officeDocument/2006/relationships/hyperlink" Target="https://twitter.com/rickfoliva/status/802831649541095424" TargetMode="External"/><Relationship Id="rId2045" Type="http://schemas.openxmlformats.org/officeDocument/2006/relationships/hyperlink" Target="https://twitter.com/AncelErnesto" TargetMode="External"/><Relationship Id="rId3377" Type="http://schemas.openxmlformats.org/officeDocument/2006/relationships/hyperlink" Target="https://pbs.twimg.com/profile_images/805063252275240960/YGXc0Joi_normal.jpg" TargetMode="External"/><Relationship Id="rId124" Type="http://schemas.openxmlformats.org/officeDocument/2006/relationships/hyperlink" Target="https://twitter.com/rickfoliva" TargetMode="External"/><Relationship Id="rId2046" Type="http://schemas.openxmlformats.org/officeDocument/2006/relationships/hyperlink" Target="https://twitter.com/AncelErnesto/status/804241854980100096" TargetMode="External"/><Relationship Id="rId3376" Type="http://schemas.openxmlformats.org/officeDocument/2006/relationships/hyperlink" Target="https://twitter.com/JimmyDa15361694/status/805070870691610624" TargetMode="External"/><Relationship Id="rId123" Type="http://schemas.openxmlformats.org/officeDocument/2006/relationships/hyperlink" Target="https://pbs.twimg.com/profile_images/726026649356128258/xCSaP1IW_normal.jpg" TargetMode="External"/><Relationship Id="rId2047" Type="http://schemas.openxmlformats.org/officeDocument/2006/relationships/hyperlink" Target="https://pbs.twimg.com/profile_images/753546097239392256/iklYmrWv_normal.jpg" TargetMode="External"/><Relationship Id="rId3379" Type="http://schemas.openxmlformats.org/officeDocument/2006/relationships/hyperlink" Target="https://twitter.com/LesRandosdeCaco/status/805071773914005504" TargetMode="External"/><Relationship Id="rId122" Type="http://schemas.openxmlformats.org/officeDocument/2006/relationships/hyperlink" Target="https://twitter.com/enduriaholidays/status/802830874349883392" TargetMode="External"/><Relationship Id="rId2048" Type="http://schemas.openxmlformats.org/officeDocument/2006/relationships/hyperlink" Target="https://twitter.com/KeyserSoSo" TargetMode="External"/><Relationship Id="rId3378" Type="http://schemas.openxmlformats.org/officeDocument/2006/relationships/hyperlink" Target="https://twitter.com/LesRandosdeCaco" TargetMode="External"/><Relationship Id="rId2038" Type="http://schemas.openxmlformats.org/officeDocument/2006/relationships/hyperlink" Target="https://pbs.twimg.com/profile_images/2876962028/0da4632330b4e5046168e921c4efd88f_normal.jpeg" TargetMode="External"/><Relationship Id="rId2039" Type="http://schemas.openxmlformats.org/officeDocument/2006/relationships/hyperlink" Target="https://twitter.com/SuneHolidays" TargetMode="External"/><Relationship Id="rId3369" Type="http://schemas.openxmlformats.org/officeDocument/2006/relationships/hyperlink" Target="https://twitter.com/LuxurySpainTrav" TargetMode="External"/><Relationship Id="rId118" Type="http://schemas.openxmlformats.org/officeDocument/2006/relationships/hyperlink" Target="https://twitter.com/Salamanca_SSV" TargetMode="External"/><Relationship Id="rId117" Type="http://schemas.openxmlformats.org/officeDocument/2006/relationships/hyperlink" Target="https://pbs.twimg.com/profile_images/754960714704584704/14dQxsF8_normal.jpg" TargetMode="External"/><Relationship Id="rId116" Type="http://schemas.openxmlformats.org/officeDocument/2006/relationships/hyperlink" Target="https://twitter.com/CanaryIslandsEN/status/802829888306761728" TargetMode="External"/><Relationship Id="rId115" Type="http://schemas.openxmlformats.org/officeDocument/2006/relationships/hyperlink" Target="https://twitter.com/CanaryIslandsEN" TargetMode="External"/><Relationship Id="rId3360" Type="http://schemas.openxmlformats.org/officeDocument/2006/relationships/hyperlink" Target="https://twitter.com/RLGieling" TargetMode="External"/><Relationship Id="rId4691" Type="http://schemas.openxmlformats.org/officeDocument/2006/relationships/hyperlink" Target="https://twitter.com/MartaCBas/status/805921495419617280" TargetMode="External"/><Relationship Id="rId119" Type="http://schemas.openxmlformats.org/officeDocument/2006/relationships/hyperlink" Target="https://twitter.com/Salamanca_SSV/status/802830473001127936" TargetMode="External"/><Relationship Id="rId4690" Type="http://schemas.openxmlformats.org/officeDocument/2006/relationships/hyperlink" Target="https://twitter.com/MartaCBas" TargetMode="External"/><Relationship Id="rId110" Type="http://schemas.openxmlformats.org/officeDocument/2006/relationships/hyperlink" Target="https://twitter.com/sergon2000/status/802828291912724480" TargetMode="External"/><Relationship Id="rId2030" Type="http://schemas.openxmlformats.org/officeDocument/2006/relationships/hyperlink" Target="https://twitter.com/hiketenerife" TargetMode="External"/><Relationship Id="rId3362" Type="http://schemas.openxmlformats.org/officeDocument/2006/relationships/hyperlink" Target="https://pbs.twimg.com/profile_images/739040004022935556/1zrwUw2h_normal.jpg" TargetMode="External"/><Relationship Id="rId4693" Type="http://schemas.openxmlformats.org/officeDocument/2006/relationships/hyperlink" Target="https://twitter.com/MariolaTNFGC84" TargetMode="External"/><Relationship Id="rId2031" Type="http://schemas.openxmlformats.org/officeDocument/2006/relationships/hyperlink" Target="https://twitter.com/hiketenerife/status/804235874661793792" TargetMode="External"/><Relationship Id="rId3361" Type="http://schemas.openxmlformats.org/officeDocument/2006/relationships/hyperlink" Target="https://twitter.com/RLGieling/status/805051811497439233" TargetMode="External"/><Relationship Id="rId4692" Type="http://schemas.openxmlformats.org/officeDocument/2006/relationships/hyperlink" Target="https://pbs.twimg.com/profile_images/494421675228672001/_7vB4PPL_normal.jpeg" TargetMode="External"/><Relationship Id="rId2032" Type="http://schemas.openxmlformats.org/officeDocument/2006/relationships/hyperlink" Target="https://pbs.twimg.com/profile_images/742939785229180928/ZvQoGsVk_normal.jpg" TargetMode="External"/><Relationship Id="rId3364" Type="http://schemas.openxmlformats.org/officeDocument/2006/relationships/hyperlink" Target="https://twitter.com/MokaGonzalez_/status/805062538060791808" TargetMode="External"/><Relationship Id="rId4695" Type="http://schemas.openxmlformats.org/officeDocument/2006/relationships/hyperlink" Target="https://pbs.twimg.com/profile_images/765266327804190720/3kytWWcC_normal.jpg" TargetMode="External"/><Relationship Id="rId2033" Type="http://schemas.openxmlformats.org/officeDocument/2006/relationships/hyperlink" Target="https://twitter.com/holyber" TargetMode="External"/><Relationship Id="rId3363" Type="http://schemas.openxmlformats.org/officeDocument/2006/relationships/hyperlink" Target="https://twitter.com/MokaGonzalez_" TargetMode="External"/><Relationship Id="rId4694" Type="http://schemas.openxmlformats.org/officeDocument/2006/relationships/hyperlink" Target="https://twitter.com/MariolaTNFGC84/status/805921646251048960" TargetMode="External"/><Relationship Id="rId114" Type="http://schemas.openxmlformats.org/officeDocument/2006/relationships/hyperlink" Target="https://pbs.twimg.com/profile_images/564672024304300032/WqQtnNas_normal.png" TargetMode="External"/><Relationship Id="rId2034" Type="http://schemas.openxmlformats.org/officeDocument/2006/relationships/hyperlink" Target="https://twitter.com/holyber/status/804235956874256384" TargetMode="External"/><Relationship Id="rId3366" Type="http://schemas.openxmlformats.org/officeDocument/2006/relationships/hyperlink" Target="https://twitter.com/stani320" TargetMode="External"/><Relationship Id="rId4697" Type="http://schemas.openxmlformats.org/officeDocument/2006/relationships/hyperlink" Target="https://twitter.com/rita_armas/status/805924241073901568" TargetMode="External"/><Relationship Id="rId113" Type="http://schemas.openxmlformats.org/officeDocument/2006/relationships/hyperlink" Target="https://twitter.com/DailosPerez/status/802829273149112321" TargetMode="External"/><Relationship Id="rId2035" Type="http://schemas.openxmlformats.org/officeDocument/2006/relationships/hyperlink" Target="https://pbs.twimg.com/profile_images/475644614448123904/FiCl2pX4_normal.jpeg" TargetMode="External"/><Relationship Id="rId3365" Type="http://schemas.openxmlformats.org/officeDocument/2006/relationships/hyperlink" Target="https://pbs.twimg.com/profile_images/805759744292122624/GVNyopcr_normal.jpg" TargetMode="External"/><Relationship Id="rId4696" Type="http://schemas.openxmlformats.org/officeDocument/2006/relationships/hyperlink" Target="https://twitter.com/rita_armas" TargetMode="External"/><Relationship Id="rId112" Type="http://schemas.openxmlformats.org/officeDocument/2006/relationships/hyperlink" Target="https://twitter.com/DailosPerez" TargetMode="External"/><Relationship Id="rId2036" Type="http://schemas.openxmlformats.org/officeDocument/2006/relationships/hyperlink" Target="https://twitter.com/Cervantesschool" TargetMode="External"/><Relationship Id="rId3368" Type="http://schemas.openxmlformats.org/officeDocument/2006/relationships/hyperlink" Target="https://pbs.twimg.com/profile_images/597076476278788096/_4hbSxb7_normal.jpg" TargetMode="External"/><Relationship Id="rId4699" Type="http://schemas.openxmlformats.org/officeDocument/2006/relationships/hyperlink" Target="https://twitter.com/Cristalhia" TargetMode="External"/><Relationship Id="rId111" Type="http://schemas.openxmlformats.org/officeDocument/2006/relationships/hyperlink" Target="https://pbs.twimg.com/profile_images/1519010345/yo_normal.jpg" TargetMode="External"/><Relationship Id="rId2037" Type="http://schemas.openxmlformats.org/officeDocument/2006/relationships/hyperlink" Target="https://twitter.com/Cervantesschool/status/804240305709006848" TargetMode="External"/><Relationship Id="rId3367" Type="http://schemas.openxmlformats.org/officeDocument/2006/relationships/hyperlink" Target="https://twitter.com/stani320/status/805064981549027328" TargetMode="External"/><Relationship Id="rId4698" Type="http://schemas.openxmlformats.org/officeDocument/2006/relationships/hyperlink" Target="https://pbs.twimg.com/profile_images/803193193969938433/9ax5YVB__normal.jpg" TargetMode="External"/><Relationship Id="rId3315" Type="http://schemas.openxmlformats.org/officeDocument/2006/relationships/hyperlink" Target="https://twitter.com/bermaxo09" TargetMode="External"/><Relationship Id="rId4646" Type="http://schemas.openxmlformats.org/officeDocument/2006/relationships/hyperlink" Target="https://twitter.com/MariolaTNFGC84/status/805901979453190144" TargetMode="External"/><Relationship Id="rId3314" Type="http://schemas.openxmlformats.org/officeDocument/2006/relationships/hyperlink" Target="https://pbs.twimg.com/profile_images/534721192725590016/-eRJyb3Z_normal.jpeg" TargetMode="External"/><Relationship Id="rId4645" Type="http://schemas.openxmlformats.org/officeDocument/2006/relationships/hyperlink" Target="https://twitter.com/MariolaTNFGC84" TargetMode="External"/><Relationship Id="rId3317" Type="http://schemas.openxmlformats.org/officeDocument/2006/relationships/hyperlink" Target="https://pbs.twimg.com/profile_images/798476790478073856/iOD0HIRa_normal.jpg" TargetMode="External"/><Relationship Id="rId4648" Type="http://schemas.openxmlformats.org/officeDocument/2006/relationships/hyperlink" Target="https://twitter.com/nubialonso" TargetMode="External"/><Relationship Id="rId3316" Type="http://schemas.openxmlformats.org/officeDocument/2006/relationships/hyperlink" Target="https://twitter.com/bermaxo09/status/805029580369231873" TargetMode="External"/><Relationship Id="rId4647" Type="http://schemas.openxmlformats.org/officeDocument/2006/relationships/hyperlink" Target="https://pbs.twimg.com/profile_images/765266327804190720/3kytWWcC_normal.jpg" TargetMode="External"/><Relationship Id="rId3319" Type="http://schemas.openxmlformats.org/officeDocument/2006/relationships/hyperlink" Target="https://twitter.com/bermaxo09/status/805030160449806337" TargetMode="External"/><Relationship Id="rId3318" Type="http://schemas.openxmlformats.org/officeDocument/2006/relationships/hyperlink" Target="https://twitter.com/bermaxo09" TargetMode="External"/><Relationship Id="rId4649" Type="http://schemas.openxmlformats.org/officeDocument/2006/relationships/hyperlink" Target="https://twitter.com/nubialonso/status/805905269519777792" TargetMode="External"/><Relationship Id="rId4640" Type="http://schemas.openxmlformats.org/officeDocument/2006/relationships/hyperlink" Target="https://twitter.com/adayrocamora/status/805899687467319297" TargetMode="External"/><Relationship Id="rId3311" Type="http://schemas.openxmlformats.org/officeDocument/2006/relationships/hyperlink" Target="https://pbs.twimg.com/profile_images/2784461956/37b6d95f5bcac37b93611f81029dd365_normal.jpeg" TargetMode="External"/><Relationship Id="rId4642" Type="http://schemas.openxmlformats.org/officeDocument/2006/relationships/hyperlink" Target="https://twitter.com/joserodrigue299" TargetMode="External"/><Relationship Id="rId3310" Type="http://schemas.openxmlformats.org/officeDocument/2006/relationships/hyperlink" Target="https://twitter.com/bethgarrotxa/status/805025134582992897" TargetMode="External"/><Relationship Id="rId4641" Type="http://schemas.openxmlformats.org/officeDocument/2006/relationships/hyperlink" Target="https://pbs.twimg.com/profile_images/735815847265116160/iqJKEkoB_normal.jpg" TargetMode="External"/><Relationship Id="rId3313" Type="http://schemas.openxmlformats.org/officeDocument/2006/relationships/hyperlink" Target="https://twitter.com/samsungnoterosi/status/805026475414028288" TargetMode="External"/><Relationship Id="rId4644" Type="http://schemas.openxmlformats.org/officeDocument/2006/relationships/hyperlink" Target="https://pbs.twimg.com/profile_images/793780053435834368/vM6XMMw8_normal.jpg" TargetMode="External"/><Relationship Id="rId3312" Type="http://schemas.openxmlformats.org/officeDocument/2006/relationships/hyperlink" Target="https://twitter.com/samsungnoterosi" TargetMode="External"/><Relationship Id="rId4643" Type="http://schemas.openxmlformats.org/officeDocument/2006/relationships/hyperlink" Target="https://twitter.com/joserodrigue299/status/805901259064639490" TargetMode="External"/><Relationship Id="rId3304" Type="http://schemas.openxmlformats.org/officeDocument/2006/relationships/hyperlink" Target="https://twitter.com/bermaxo09/status/805023562692259840" TargetMode="External"/><Relationship Id="rId4635" Type="http://schemas.openxmlformats.org/officeDocument/2006/relationships/hyperlink" Target="https://pbs.twimg.com/profile_images/788036315493392384/8VV01kYT_normal.jpg" TargetMode="External"/><Relationship Id="rId3303" Type="http://schemas.openxmlformats.org/officeDocument/2006/relationships/hyperlink" Target="https://twitter.com/bermaxo09" TargetMode="External"/><Relationship Id="rId4634" Type="http://schemas.openxmlformats.org/officeDocument/2006/relationships/hyperlink" Target="https://twitter.com/luisma_92/status/805898938222084096" TargetMode="External"/><Relationship Id="rId3306" Type="http://schemas.openxmlformats.org/officeDocument/2006/relationships/hyperlink" Target="https://twitter.com/bermaxo09" TargetMode="External"/><Relationship Id="rId4637" Type="http://schemas.openxmlformats.org/officeDocument/2006/relationships/hyperlink" Target="https://twitter.com/Maraguasan/status/805898939308371968" TargetMode="External"/><Relationship Id="rId3305" Type="http://schemas.openxmlformats.org/officeDocument/2006/relationships/hyperlink" Target="https://pbs.twimg.com/profile_images/798476790478073856/iOD0HIRa_normal.jpg" TargetMode="External"/><Relationship Id="rId4636" Type="http://schemas.openxmlformats.org/officeDocument/2006/relationships/hyperlink" Target="https://twitter.com/Maraguasan" TargetMode="External"/><Relationship Id="rId3308" Type="http://schemas.openxmlformats.org/officeDocument/2006/relationships/hyperlink" Target="https://pbs.twimg.com/profile_images/798476790478073856/iOD0HIRa_normal.jpg" TargetMode="External"/><Relationship Id="rId4639" Type="http://schemas.openxmlformats.org/officeDocument/2006/relationships/hyperlink" Target="https://twitter.com/adayrocamora" TargetMode="External"/><Relationship Id="rId3307" Type="http://schemas.openxmlformats.org/officeDocument/2006/relationships/hyperlink" Target="https://twitter.com/bermaxo09/status/805024058324713473" TargetMode="External"/><Relationship Id="rId4638" Type="http://schemas.openxmlformats.org/officeDocument/2006/relationships/hyperlink" Target="https://pbs.twimg.com/profile_images/712302333007425536/7DFqcsZO_normal.jpg" TargetMode="External"/><Relationship Id="rId3309" Type="http://schemas.openxmlformats.org/officeDocument/2006/relationships/hyperlink" Target="https://twitter.com/bethgarrotxa" TargetMode="External"/><Relationship Id="rId3300" Type="http://schemas.openxmlformats.org/officeDocument/2006/relationships/hyperlink" Target="http://Disconta.es" TargetMode="External"/><Relationship Id="rId4631" Type="http://schemas.openxmlformats.org/officeDocument/2006/relationships/hyperlink" Target="https://twitter.com/paisajecanario/status/805898875064250369" TargetMode="External"/><Relationship Id="rId4630" Type="http://schemas.openxmlformats.org/officeDocument/2006/relationships/hyperlink" Target="https://twitter.com/paisajecanario" TargetMode="External"/><Relationship Id="rId3302" Type="http://schemas.openxmlformats.org/officeDocument/2006/relationships/hyperlink" Target="https://pbs.twimg.com/profile_images/660517985719705600/Kf335A7J_normal.png" TargetMode="External"/><Relationship Id="rId4633" Type="http://schemas.openxmlformats.org/officeDocument/2006/relationships/hyperlink" Target="https://twitter.com/luisma_92" TargetMode="External"/><Relationship Id="rId3301" Type="http://schemas.openxmlformats.org/officeDocument/2006/relationships/hyperlink" Target="https://twitter.com/DiscontaES/status/805023276238065664" TargetMode="External"/><Relationship Id="rId4632" Type="http://schemas.openxmlformats.org/officeDocument/2006/relationships/hyperlink" Target="https://pbs.twimg.com/profile_images/789364630850240512/Mw90qAlM_normal.jpg" TargetMode="External"/><Relationship Id="rId2005" Type="http://schemas.openxmlformats.org/officeDocument/2006/relationships/hyperlink" Target="https://pbs.twimg.com/profile_images/798476790478073856/iOD0HIRa_normal.jpg" TargetMode="External"/><Relationship Id="rId3337" Type="http://schemas.openxmlformats.org/officeDocument/2006/relationships/hyperlink" Target="https://twitter.com/jucyjo7/status/805038662165680128" TargetMode="External"/><Relationship Id="rId4668" Type="http://schemas.openxmlformats.org/officeDocument/2006/relationships/hyperlink" Target="https://pbs.twimg.com/profile_images/649051054693294082/uOHIvDCc_normal.jpg" TargetMode="External"/><Relationship Id="rId2006" Type="http://schemas.openxmlformats.org/officeDocument/2006/relationships/hyperlink" Target="https://twitter.com/bermaxo09" TargetMode="External"/><Relationship Id="rId3336" Type="http://schemas.openxmlformats.org/officeDocument/2006/relationships/hyperlink" Target="https://twitter.com/jucyjo7" TargetMode="External"/><Relationship Id="rId4667" Type="http://schemas.openxmlformats.org/officeDocument/2006/relationships/hyperlink" Target="https://twitter.com/aljicp/status/805910768604643328" TargetMode="External"/><Relationship Id="rId2007" Type="http://schemas.openxmlformats.org/officeDocument/2006/relationships/hyperlink" Target="https://twitter.com/bermaxo09/status/804229783735455745" TargetMode="External"/><Relationship Id="rId3339" Type="http://schemas.openxmlformats.org/officeDocument/2006/relationships/hyperlink" Target="https://twitter.com/pornenter" TargetMode="External"/><Relationship Id="rId2008" Type="http://schemas.openxmlformats.org/officeDocument/2006/relationships/hyperlink" Target="https://pbs.twimg.com/profile_images/798476790478073856/iOD0HIRa_normal.jpg" TargetMode="External"/><Relationship Id="rId3338" Type="http://schemas.openxmlformats.org/officeDocument/2006/relationships/hyperlink" Target="https://pbs.twimg.com/profile_images/453030903187800064/zSBavjt9_normal.jpeg" TargetMode="External"/><Relationship Id="rId4669" Type="http://schemas.openxmlformats.org/officeDocument/2006/relationships/hyperlink" Target="https://twitter.com/aljicp" TargetMode="External"/><Relationship Id="rId2009" Type="http://schemas.openxmlformats.org/officeDocument/2006/relationships/hyperlink" Target="https://twitter.com/PiolinaColt" TargetMode="External"/><Relationship Id="rId4660" Type="http://schemas.openxmlformats.org/officeDocument/2006/relationships/hyperlink" Target="https://twitter.com/aljicp" TargetMode="External"/><Relationship Id="rId3331" Type="http://schemas.openxmlformats.org/officeDocument/2006/relationships/hyperlink" Target="https://twitter.com/BabesPromo2/status/805038137235927041" TargetMode="External"/><Relationship Id="rId4662" Type="http://schemas.openxmlformats.org/officeDocument/2006/relationships/hyperlink" Target="https://pbs.twimg.com/profile_images/649051054693294082/uOHIvDCc_normal.jpg" TargetMode="External"/><Relationship Id="rId2000" Type="http://schemas.openxmlformats.org/officeDocument/2006/relationships/hyperlink" Target="https://twitter.com/bermaxo09" TargetMode="External"/><Relationship Id="rId3330" Type="http://schemas.openxmlformats.org/officeDocument/2006/relationships/hyperlink" Target="https://twitter.com/BabesPromo2" TargetMode="External"/><Relationship Id="rId4661" Type="http://schemas.openxmlformats.org/officeDocument/2006/relationships/hyperlink" Target="https://twitter.com/aljicp/status/805907891391778816" TargetMode="External"/><Relationship Id="rId2001" Type="http://schemas.openxmlformats.org/officeDocument/2006/relationships/hyperlink" Target="https://twitter.com/bermaxo09/status/804227880926543872" TargetMode="External"/><Relationship Id="rId3333" Type="http://schemas.openxmlformats.org/officeDocument/2006/relationships/hyperlink" Target="https://twitter.com/onlyhotgirlzz" TargetMode="External"/><Relationship Id="rId4664" Type="http://schemas.openxmlformats.org/officeDocument/2006/relationships/hyperlink" Target="https://twitter.com/aljicp/status/805909262006358016" TargetMode="External"/><Relationship Id="rId2002" Type="http://schemas.openxmlformats.org/officeDocument/2006/relationships/hyperlink" Target="https://pbs.twimg.com/profile_images/798476790478073856/iOD0HIRa_normal.jpg" TargetMode="External"/><Relationship Id="rId3332" Type="http://schemas.openxmlformats.org/officeDocument/2006/relationships/hyperlink" Target="https://pbs.twimg.com/profile_images/785328438177632256/oYFAw687_normal.jpg" TargetMode="External"/><Relationship Id="rId4663" Type="http://schemas.openxmlformats.org/officeDocument/2006/relationships/hyperlink" Target="https://twitter.com/aljicp" TargetMode="External"/><Relationship Id="rId2003" Type="http://schemas.openxmlformats.org/officeDocument/2006/relationships/hyperlink" Target="https://twitter.com/bermaxo09" TargetMode="External"/><Relationship Id="rId3335" Type="http://schemas.openxmlformats.org/officeDocument/2006/relationships/hyperlink" Target="https://pbs.twimg.com/profile_images/700023220917944320/43BV-aqx_normal.jpg" TargetMode="External"/><Relationship Id="rId4666" Type="http://schemas.openxmlformats.org/officeDocument/2006/relationships/hyperlink" Target="https://twitter.com/aljicp" TargetMode="External"/><Relationship Id="rId2004" Type="http://schemas.openxmlformats.org/officeDocument/2006/relationships/hyperlink" Target="https://twitter.com/bermaxo09/status/804229377504505856" TargetMode="External"/><Relationship Id="rId3334" Type="http://schemas.openxmlformats.org/officeDocument/2006/relationships/hyperlink" Target="https://twitter.com/onlyhotgirlzz/status/805038232891228160" TargetMode="External"/><Relationship Id="rId4665" Type="http://schemas.openxmlformats.org/officeDocument/2006/relationships/hyperlink" Target="https://pbs.twimg.com/profile_images/649051054693294082/uOHIvDCc_normal.jpg" TargetMode="External"/><Relationship Id="rId3326" Type="http://schemas.openxmlformats.org/officeDocument/2006/relationships/hyperlink" Target="https://pbs.twimg.com/profile_images/798476790478073856/iOD0HIRa_normal.jpg" TargetMode="External"/><Relationship Id="rId4657" Type="http://schemas.openxmlformats.org/officeDocument/2006/relationships/hyperlink" Target="https://twitter.com/aljicp" TargetMode="External"/><Relationship Id="rId3325" Type="http://schemas.openxmlformats.org/officeDocument/2006/relationships/hyperlink" Target="https://twitter.com/bermaxo09/status/805032387054862337" TargetMode="External"/><Relationship Id="rId4656" Type="http://schemas.openxmlformats.org/officeDocument/2006/relationships/hyperlink" Target="https://pbs.twimg.com/profile_images/649051054693294082/uOHIvDCc_normal.jpg" TargetMode="External"/><Relationship Id="rId3328" Type="http://schemas.openxmlformats.org/officeDocument/2006/relationships/hyperlink" Target="https://twitter.com/bermaxo09/status/805034497221808128" TargetMode="External"/><Relationship Id="rId4659" Type="http://schemas.openxmlformats.org/officeDocument/2006/relationships/hyperlink" Target="https://pbs.twimg.com/profile_images/649051054693294082/uOHIvDCc_normal.jpg" TargetMode="External"/><Relationship Id="rId3327" Type="http://schemas.openxmlformats.org/officeDocument/2006/relationships/hyperlink" Target="https://twitter.com/bermaxo09" TargetMode="External"/><Relationship Id="rId4658" Type="http://schemas.openxmlformats.org/officeDocument/2006/relationships/hyperlink" Target="https://twitter.com/aljicp/status/805907476310847488" TargetMode="External"/><Relationship Id="rId3329" Type="http://schemas.openxmlformats.org/officeDocument/2006/relationships/hyperlink" Target="https://pbs.twimg.com/profile_images/798476790478073856/iOD0HIRa_normal.jpg" TargetMode="External"/><Relationship Id="rId3320" Type="http://schemas.openxmlformats.org/officeDocument/2006/relationships/hyperlink" Target="https://pbs.twimg.com/profile_images/798476790478073856/iOD0HIRa_normal.jpg" TargetMode="External"/><Relationship Id="rId4651" Type="http://schemas.openxmlformats.org/officeDocument/2006/relationships/hyperlink" Target="https://twitter.com/nubialonso" TargetMode="External"/><Relationship Id="rId4650" Type="http://schemas.openxmlformats.org/officeDocument/2006/relationships/hyperlink" Target="https://pbs.twimg.com/profile_images/642570754161287168/0z29K6ho_normal.jpg" TargetMode="External"/><Relationship Id="rId3322" Type="http://schemas.openxmlformats.org/officeDocument/2006/relationships/hyperlink" Target="https://twitter.com/bermaxo09/status/805031051110322176" TargetMode="External"/><Relationship Id="rId4653" Type="http://schemas.openxmlformats.org/officeDocument/2006/relationships/hyperlink" Target="https://pbs.twimg.com/profile_images/642570754161287168/0z29K6ho_normal.jpg" TargetMode="External"/><Relationship Id="rId3321" Type="http://schemas.openxmlformats.org/officeDocument/2006/relationships/hyperlink" Target="https://twitter.com/bermaxo09" TargetMode="External"/><Relationship Id="rId4652" Type="http://schemas.openxmlformats.org/officeDocument/2006/relationships/hyperlink" Target="https://twitter.com/nubialonso/status/805906127334637568" TargetMode="External"/><Relationship Id="rId3324" Type="http://schemas.openxmlformats.org/officeDocument/2006/relationships/hyperlink" Target="https://twitter.com/bermaxo09" TargetMode="External"/><Relationship Id="rId4655" Type="http://schemas.openxmlformats.org/officeDocument/2006/relationships/hyperlink" Target="https://twitter.com/aljicp/status/805906738796969985" TargetMode="External"/><Relationship Id="rId3323" Type="http://schemas.openxmlformats.org/officeDocument/2006/relationships/hyperlink" Target="https://pbs.twimg.com/profile_images/798476790478073856/iOD0HIRa_normal.jpg" TargetMode="External"/><Relationship Id="rId4654" Type="http://schemas.openxmlformats.org/officeDocument/2006/relationships/hyperlink" Target="https://twitter.com/aljicp" TargetMode="External"/><Relationship Id="rId2090" Type="http://schemas.openxmlformats.org/officeDocument/2006/relationships/hyperlink" Target="https://twitter.com/enduriaholidays" TargetMode="External"/><Relationship Id="rId2091" Type="http://schemas.openxmlformats.org/officeDocument/2006/relationships/hyperlink" Target="https://twitter.com/enduriaholidays/status/804253746284920832" TargetMode="External"/><Relationship Id="rId2092" Type="http://schemas.openxmlformats.org/officeDocument/2006/relationships/hyperlink" Target="https://pbs.twimg.com/profile_images/726026649356128258/xCSaP1IW_normal.jpg" TargetMode="External"/><Relationship Id="rId2093" Type="http://schemas.openxmlformats.org/officeDocument/2006/relationships/hyperlink" Target="https://twitter.com/TwiTenerifeGolf" TargetMode="External"/><Relationship Id="rId2094" Type="http://schemas.openxmlformats.org/officeDocument/2006/relationships/hyperlink" Target="https://twitter.com/TwiTenerifeGolf/status/804256049289199616" TargetMode="External"/><Relationship Id="rId2095" Type="http://schemas.openxmlformats.org/officeDocument/2006/relationships/hyperlink" Target="https://pbs.twimg.com/profile_images/723156330673000448/xa2FT8Re_normal.jpg" TargetMode="External"/><Relationship Id="rId2096" Type="http://schemas.openxmlformats.org/officeDocument/2006/relationships/hyperlink" Target="https://twitter.com/DeeeTeeeV" TargetMode="External"/><Relationship Id="rId2097" Type="http://schemas.openxmlformats.org/officeDocument/2006/relationships/hyperlink" Target="https://twitter.com/DeeeTeeeV/status/804256246484373505" TargetMode="External"/><Relationship Id="rId2098" Type="http://schemas.openxmlformats.org/officeDocument/2006/relationships/hyperlink" Target="https://pbs.twimg.com/profile_images/783033765027340288/2mXCXyxy_normal.jpg" TargetMode="External"/><Relationship Id="rId2099" Type="http://schemas.openxmlformats.org/officeDocument/2006/relationships/hyperlink" Target="https://twitter.com/AlexBramwellGC" TargetMode="External"/><Relationship Id="rId3391" Type="http://schemas.openxmlformats.org/officeDocument/2006/relationships/hyperlink" Target="https://twitter.com/soc1albutterfly/status/805078100279263232" TargetMode="External"/><Relationship Id="rId2060" Type="http://schemas.openxmlformats.org/officeDocument/2006/relationships/hyperlink" Target="https://twitter.com/arieln0044" TargetMode="External"/><Relationship Id="rId3390" Type="http://schemas.openxmlformats.org/officeDocument/2006/relationships/hyperlink" Target="https://twitter.com/soc1albutterfly" TargetMode="External"/><Relationship Id="rId2061" Type="http://schemas.openxmlformats.org/officeDocument/2006/relationships/hyperlink" Target="https://twitter.com/arieln0044/status/804248014609121280" TargetMode="External"/><Relationship Id="rId3393" Type="http://schemas.openxmlformats.org/officeDocument/2006/relationships/hyperlink" Target="https://twitter.com/GonaRonaldo" TargetMode="External"/><Relationship Id="rId2062" Type="http://schemas.openxmlformats.org/officeDocument/2006/relationships/hyperlink" Target="https://pbs.twimg.com/profile_images/776857833052733444/s3xCVGsS_normal.jpg" TargetMode="External"/><Relationship Id="rId3392" Type="http://schemas.openxmlformats.org/officeDocument/2006/relationships/hyperlink" Target="https://pbs.twimg.com/profile_images/740082483857915906/LzpS5BXB_normal.jpg" TargetMode="External"/><Relationship Id="rId2063" Type="http://schemas.openxmlformats.org/officeDocument/2006/relationships/hyperlink" Target="https://twitter.com/FrancisJ410" TargetMode="External"/><Relationship Id="rId3395" Type="http://schemas.openxmlformats.org/officeDocument/2006/relationships/hyperlink" Target="https://pbs.twimg.com/profile_images/478304113529483264/I24JsRB1_normal.jpeg" TargetMode="External"/><Relationship Id="rId2064" Type="http://schemas.openxmlformats.org/officeDocument/2006/relationships/hyperlink" Target="https://twitter.com/FrancisJ410/status/804249588542664704" TargetMode="External"/><Relationship Id="rId3394" Type="http://schemas.openxmlformats.org/officeDocument/2006/relationships/hyperlink" Target="https://twitter.com/GonaRonaldo/status/805079524622921728" TargetMode="External"/><Relationship Id="rId2065" Type="http://schemas.openxmlformats.org/officeDocument/2006/relationships/hyperlink" Target="https://pbs.twimg.com/profile_images/798638576560967680/A5eU5E5u_normal.jpg" TargetMode="External"/><Relationship Id="rId3397" Type="http://schemas.openxmlformats.org/officeDocument/2006/relationships/hyperlink" Target="https://twitter.com/travelerapps/status/805100286876516352" TargetMode="External"/><Relationship Id="rId2066" Type="http://schemas.openxmlformats.org/officeDocument/2006/relationships/hyperlink" Target="https://twitter.com/AguaNieblaGaroe" TargetMode="External"/><Relationship Id="rId3396" Type="http://schemas.openxmlformats.org/officeDocument/2006/relationships/hyperlink" Target="https://twitter.com/travelerapps" TargetMode="External"/><Relationship Id="rId2067" Type="http://schemas.openxmlformats.org/officeDocument/2006/relationships/hyperlink" Target="https://twitter.com/AguaNieblaGaroe/status/804249892247994368" TargetMode="External"/><Relationship Id="rId3399" Type="http://schemas.openxmlformats.org/officeDocument/2006/relationships/hyperlink" Target="https://twitter.com/MatthewHirtes" TargetMode="External"/><Relationship Id="rId2068" Type="http://schemas.openxmlformats.org/officeDocument/2006/relationships/hyperlink" Target="https://pbs.twimg.com/profile_images/731445392399798273/zFWAYaay_normal.jpg" TargetMode="External"/><Relationship Id="rId3398" Type="http://schemas.openxmlformats.org/officeDocument/2006/relationships/hyperlink" Target="https://pbs.twimg.com/profile_images/725487065257807872/MF0imL9g_normal.jpg" TargetMode="External"/><Relationship Id="rId2069" Type="http://schemas.openxmlformats.org/officeDocument/2006/relationships/hyperlink" Target="https://twitter.com/jesus_fontecha" TargetMode="External"/><Relationship Id="rId3380" Type="http://schemas.openxmlformats.org/officeDocument/2006/relationships/hyperlink" Target="https://pbs.twimg.com/profile_images/802073872866705408/wMHnHYch_normal.jpg" TargetMode="External"/><Relationship Id="rId2050" Type="http://schemas.openxmlformats.org/officeDocument/2006/relationships/hyperlink" Target="https://pbs.twimg.com/profile_images/592798998773235713/aPa65SQO_normal.jpg" TargetMode="External"/><Relationship Id="rId3382" Type="http://schemas.openxmlformats.org/officeDocument/2006/relationships/hyperlink" Target="https://twitter.com/AlmendrosSpain/status/805078099817889793" TargetMode="External"/><Relationship Id="rId2051" Type="http://schemas.openxmlformats.org/officeDocument/2006/relationships/hyperlink" Target="https://twitter.com/CanaryIslandsEN" TargetMode="External"/><Relationship Id="rId3381" Type="http://schemas.openxmlformats.org/officeDocument/2006/relationships/hyperlink" Target="https://twitter.com/AlmendrosSpain" TargetMode="External"/><Relationship Id="rId2052" Type="http://schemas.openxmlformats.org/officeDocument/2006/relationships/hyperlink" Target="https://twitter.com/CanaryIslandsEN/status/804247412743213056" TargetMode="External"/><Relationship Id="rId3384" Type="http://schemas.openxmlformats.org/officeDocument/2006/relationships/hyperlink" Target="https://twitter.com/Dido_in_Spain" TargetMode="External"/><Relationship Id="rId2053" Type="http://schemas.openxmlformats.org/officeDocument/2006/relationships/hyperlink" Target="https://pbs.twimg.com/profile_images/754960714704584704/14dQxsF8_normal.jpg" TargetMode="External"/><Relationship Id="rId3383" Type="http://schemas.openxmlformats.org/officeDocument/2006/relationships/hyperlink" Target="https://pbs.twimg.com/profile_images/459381901417918464/KT-m5UB0_normal.jpeg" TargetMode="External"/><Relationship Id="rId2054" Type="http://schemas.openxmlformats.org/officeDocument/2006/relationships/hyperlink" Target="https://twitter.com/enduriaholidays" TargetMode="External"/><Relationship Id="rId3386" Type="http://schemas.openxmlformats.org/officeDocument/2006/relationships/hyperlink" Target="https://pbs.twimg.com/profile_images/529650976492232705/7fNPI032_normal.jpeg" TargetMode="External"/><Relationship Id="rId2055" Type="http://schemas.openxmlformats.org/officeDocument/2006/relationships/hyperlink" Target="https://twitter.com/enduriaholidays/status/804247450785644545" TargetMode="External"/><Relationship Id="rId3385" Type="http://schemas.openxmlformats.org/officeDocument/2006/relationships/hyperlink" Target="https://twitter.com/Dido_in_Spain/status/805078099843026948" TargetMode="External"/><Relationship Id="rId2056" Type="http://schemas.openxmlformats.org/officeDocument/2006/relationships/hyperlink" Target="https://pbs.twimg.com/profile_images/726026649356128258/xCSaP1IW_normal.jpg" TargetMode="External"/><Relationship Id="rId3388" Type="http://schemas.openxmlformats.org/officeDocument/2006/relationships/hyperlink" Target="https://twitter.com/SoButterfly_VA/status/805078100224655360" TargetMode="External"/><Relationship Id="rId2057" Type="http://schemas.openxmlformats.org/officeDocument/2006/relationships/hyperlink" Target="https://twitter.com/GoldByMarina" TargetMode="External"/><Relationship Id="rId3387" Type="http://schemas.openxmlformats.org/officeDocument/2006/relationships/hyperlink" Target="https://twitter.com/SoButterfly_VA" TargetMode="External"/><Relationship Id="rId2058" Type="http://schemas.openxmlformats.org/officeDocument/2006/relationships/hyperlink" Target="https://twitter.com/GoldByMarina/status/804247604603318272" TargetMode="External"/><Relationship Id="rId2059" Type="http://schemas.openxmlformats.org/officeDocument/2006/relationships/hyperlink" Target="https://pbs.twimg.com/profile_images/499580538487717888/NxEbStHx_normal.jpeg" TargetMode="External"/><Relationship Id="rId3389" Type="http://schemas.openxmlformats.org/officeDocument/2006/relationships/hyperlink" Target="https://pbs.twimg.com/profile_images/647381778622246912/U7XAx0PV_normal.jpg" TargetMode="External"/><Relationship Id="rId2080" Type="http://schemas.openxmlformats.org/officeDocument/2006/relationships/hyperlink" Target="https://pbs.twimg.com/profile_images/794174807533375488/_JynikQ4_normal.jpg" TargetMode="External"/><Relationship Id="rId2081" Type="http://schemas.openxmlformats.org/officeDocument/2006/relationships/hyperlink" Target="https://twitter.com/UCAmIIWAAL" TargetMode="External"/><Relationship Id="rId2082" Type="http://schemas.openxmlformats.org/officeDocument/2006/relationships/hyperlink" Target="https://twitter.com/UCAmIIWAAL/status/804252157704806401" TargetMode="External"/><Relationship Id="rId2083" Type="http://schemas.openxmlformats.org/officeDocument/2006/relationships/hyperlink" Target="https://pbs.twimg.com/profile_images/713310925701427200/i_WxL0Us_normal.jpg" TargetMode="External"/><Relationship Id="rId2084" Type="http://schemas.openxmlformats.org/officeDocument/2006/relationships/hyperlink" Target="https://twitter.com/jamesbecks" TargetMode="External"/><Relationship Id="rId2085" Type="http://schemas.openxmlformats.org/officeDocument/2006/relationships/hyperlink" Target="https://twitter.com/jamesbecks/status/804252813006110720" TargetMode="External"/><Relationship Id="rId2086" Type="http://schemas.openxmlformats.org/officeDocument/2006/relationships/hyperlink" Target="https://pbs.twimg.com/profile_images/794174807533375488/_JynikQ4_normal.jpg" TargetMode="External"/><Relationship Id="rId2087" Type="http://schemas.openxmlformats.org/officeDocument/2006/relationships/hyperlink" Target="https://twitter.com/CanaryIslandsEN" TargetMode="External"/><Relationship Id="rId2088" Type="http://schemas.openxmlformats.org/officeDocument/2006/relationships/hyperlink" Target="https://twitter.com/CanaryIslandsEN/status/804253731923656704" TargetMode="External"/><Relationship Id="rId2089" Type="http://schemas.openxmlformats.org/officeDocument/2006/relationships/hyperlink" Target="https://pbs.twimg.com/profile_images/754960714704584704/14dQxsF8_normal.jpg" TargetMode="External"/><Relationship Id="rId2070" Type="http://schemas.openxmlformats.org/officeDocument/2006/relationships/hyperlink" Target="https://twitter.com/jesus_fontecha/status/804250158607241217" TargetMode="External"/><Relationship Id="rId2071" Type="http://schemas.openxmlformats.org/officeDocument/2006/relationships/hyperlink" Target="https://pbs.twimg.com/profile_images/664582137182560256/lrFbiPa7_normal.jpg" TargetMode="External"/><Relationship Id="rId2072" Type="http://schemas.openxmlformats.org/officeDocument/2006/relationships/hyperlink" Target="https://twitter.com/UCAmIIWAAL" TargetMode="External"/><Relationship Id="rId2073" Type="http://schemas.openxmlformats.org/officeDocument/2006/relationships/hyperlink" Target="https://twitter.com/UCAmIIWAAL/status/804250338677129217" TargetMode="External"/><Relationship Id="rId2074" Type="http://schemas.openxmlformats.org/officeDocument/2006/relationships/hyperlink" Target="https://pbs.twimg.com/profile_images/713310925701427200/i_WxL0Us_normal.jpg" TargetMode="External"/><Relationship Id="rId2075" Type="http://schemas.openxmlformats.org/officeDocument/2006/relationships/hyperlink" Target="https://twitter.com/ViajesTeide" TargetMode="External"/><Relationship Id="rId2076" Type="http://schemas.openxmlformats.org/officeDocument/2006/relationships/hyperlink" Target="https://twitter.com/ViajesTeide/status/804250864680636416" TargetMode="External"/><Relationship Id="rId2077" Type="http://schemas.openxmlformats.org/officeDocument/2006/relationships/hyperlink" Target="https://pbs.twimg.com/profile_images/720168052789276672/NYZtZh9H_normal.jpg" TargetMode="External"/><Relationship Id="rId2078" Type="http://schemas.openxmlformats.org/officeDocument/2006/relationships/hyperlink" Target="https://twitter.com/jamesbecks" TargetMode="External"/><Relationship Id="rId2079" Type="http://schemas.openxmlformats.org/officeDocument/2006/relationships/hyperlink" Target="https://twitter.com/jamesbecks/status/804251258836123648" TargetMode="External"/><Relationship Id="rId2940" Type="http://schemas.openxmlformats.org/officeDocument/2006/relationships/hyperlink" Target="https://pbs.twimg.com/profile_images/723156330673000448/xa2FT8Re_normal.jpg" TargetMode="External"/><Relationship Id="rId1610" Type="http://schemas.openxmlformats.org/officeDocument/2006/relationships/hyperlink" Target="https://twitter.com/betom_p" TargetMode="External"/><Relationship Id="rId2941" Type="http://schemas.openxmlformats.org/officeDocument/2006/relationships/hyperlink" Target="https://twitter.com/paisajecanario" TargetMode="External"/><Relationship Id="rId1611" Type="http://schemas.openxmlformats.org/officeDocument/2006/relationships/hyperlink" Target="https://twitter.com/betom_p/status/803922782400561152" TargetMode="External"/><Relationship Id="rId2942" Type="http://schemas.openxmlformats.org/officeDocument/2006/relationships/hyperlink" Target="https://twitter.com/paisajecanario/status/804728446706401281" TargetMode="External"/><Relationship Id="rId1612" Type="http://schemas.openxmlformats.org/officeDocument/2006/relationships/hyperlink" Target="https://pbs.twimg.com/profile_images/666297990370476032/HlkY6dw5_normal.png" TargetMode="External"/><Relationship Id="rId2943" Type="http://schemas.openxmlformats.org/officeDocument/2006/relationships/hyperlink" Target="https://pbs.twimg.com/profile_images/789364630850240512/Mw90qAlM_normal.jpg" TargetMode="External"/><Relationship Id="rId1613" Type="http://schemas.openxmlformats.org/officeDocument/2006/relationships/hyperlink" Target="https://twitter.com/jozef_simo" TargetMode="External"/><Relationship Id="rId2944" Type="http://schemas.openxmlformats.org/officeDocument/2006/relationships/hyperlink" Target="https://twitter.com/NatLeguyDuchene" TargetMode="External"/><Relationship Id="rId1614" Type="http://schemas.openxmlformats.org/officeDocument/2006/relationships/hyperlink" Target="https://twitter.com/jozef_simo/status/803924187526074368" TargetMode="External"/><Relationship Id="rId2945" Type="http://schemas.openxmlformats.org/officeDocument/2006/relationships/hyperlink" Target="https://twitter.com/NatLeguyDuchene/status/804728485692534784" TargetMode="External"/><Relationship Id="rId1615" Type="http://schemas.openxmlformats.org/officeDocument/2006/relationships/hyperlink" Target="https://pbs.twimg.com/profile_images/729214262405693443/gT7ejtgO_normal.jpg" TargetMode="External"/><Relationship Id="rId2946" Type="http://schemas.openxmlformats.org/officeDocument/2006/relationships/hyperlink" Target="https://pbs.twimg.com/profile_images/790213069179875329/f90DsNYx_normal.jpg" TargetMode="External"/><Relationship Id="rId1616" Type="http://schemas.openxmlformats.org/officeDocument/2006/relationships/hyperlink" Target="https://twitter.com/DunasHoteles" TargetMode="External"/><Relationship Id="rId2947" Type="http://schemas.openxmlformats.org/officeDocument/2006/relationships/hyperlink" Target="https://twitter.com/LesRandosdeCaco" TargetMode="External"/><Relationship Id="rId907" Type="http://schemas.openxmlformats.org/officeDocument/2006/relationships/hyperlink" Target="https://pbs.twimg.com/profile_images/506732081079013377/VmrRkhPe_normal.jpeg" TargetMode="External"/><Relationship Id="rId1617" Type="http://schemas.openxmlformats.org/officeDocument/2006/relationships/hyperlink" Target="https://twitter.com/DunasHoteles/status/803924194060804096" TargetMode="External"/><Relationship Id="rId2948" Type="http://schemas.openxmlformats.org/officeDocument/2006/relationships/hyperlink" Target="https://twitter.com/LesRandosdeCaco/status/804730647159930880" TargetMode="External"/><Relationship Id="rId906" Type="http://schemas.openxmlformats.org/officeDocument/2006/relationships/hyperlink" Target="https://twitter.com/ebook_travel/status/803354858380292096" TargetMode="External"/><Relationship Id="rId1618" Type="http://schemas.openxmlformats.org/officeDocument/2006/relationships/hyperlink" Target="https://pbs.twimg.com/profile_images/461470205227454465/4u4KGofw_normal.jpeg" TargetMode="External"/><Relationship Id="rId2949" Type="http://schemas.openxmlformats.org/officeDocument/2006/relationships/hyperlink" Target="https://pbs.twimg.com/profile_images/802073872866705408/wMHnHYch_normal.jpg" TargetMode="External"/><Relationship Id="rId905" Type="http://schemas.openxmlformats.org/officeDocument/2006/relationships/hyperlink" Target="https://twitter.com/ebook_travel" TargetMode="External"/><Relationship Id="rId1619" Type="http://schemas.openxmlformats.org/officeDocument/2006/relationships/hyperlink" Target="https://twitter.com/DaQuteTravel" TargetMode="External"/><Relationship Id="rId904" Type="http://schemas.openxmlformats.org/officeDocument/2006/relationships/hyperlink" Target="https://pbs.twimg.com/profile_images/542516716161355776/jVb28Etr_normal.jpeg" TargetMode="External"/><Relationship Id="rId909" Type="http://schemas.openxmlformats.org/officeDocument/2006/relationships/hyperlink" Target="https://twitter.com/myartpainting/status/803354858938105858" TargetMode="External"/><Relationship Id="rId908" Type="http://schemas.openxmlformats.org/officeDocument/2006/relationships/hyperlink" Target="https://twitter.com/myartpainting" TargetMode="External"/><Relationship Id="rId903" Type="http://schemas.openxmlformats.org/officeDocument/2006/relationships/hyperlink" Target="https://twitter.com/mhall55nine/status/803353718372515840" TargetMode="External"/><Relationship Id="rId902" Type="http://schemas.openxmlformats.org/officeDocument/2006/relationships/hyperlink" Target="https://twitter.com/mhall55nine" TargetMode="External"/><Relationship Id="rId901" Type="http://schemas.openxmlformats.org/officeDocument/2006/relationships/hyperlink" Target="https://pbs.twimg.com/profile_images/737796747418697728/8xgd3nQv_normal.jpg" TargetMode="External"/><Relationship Id="rId900" Type="http://schemas.openxmlformats.org/officeDocument/2006/relationships/hyperlink" Target="https://twitter.com/Love4AnimalsNL/status/803350455996780545" TargetMode="External"/><Relationship Id="rId2930" Type="http://schemas.openxmlformats.org/officeDocument/2006/relationships/hyperlink" Target="https://twitter.com/liammercer93/status/804727890097082368" TargetMode="External"/><Relationship Id="rId1600" Type="http://schemas.openxmlformats.org/officeDocument/2006/relationships/hyperlink" Target="https://pbs.twimg.com/profile_images/1547306345/image_normal.jpg" TargetMode="External"/><Relationship Id="rId2931" Type="http://schemas.openxmlformats.org/officeDocument/2006/relationships/hyperlink" Target="https://pbs.twimg.com/profile_images/689912573559463936/a2K3QIME_normal.jpg" TargetMode="External"/><Relationship Id="rId1601" Type="http://schemas.openxmlformats.org/officeDocument/2006/relationships/hyperlink" Target="https://twitter.com/Monaco_Beach" TargetMode="External"/><Relationship Id="rId2932" Type="http://schemas.openxmlformats.org/officeDocument/2006/relationships/hyperlink" Target="https://twitter.com/HJardinTropical" TargetMode="External"/><Relationship Id="rId1602" Type="http://schemas.openxmlformats.org/officeDocument/2006/relationships/hyperlink" Target="https://twitter.com/Monaco_Beach/status/803916492035211264" TargetMode="External"/><Relationship Id="rId2933" Type="http://schemas.openxmlformats.org/officeDocument/2006/relationships/hyperlink" Target="https://twitter.com/HJardinTropical/status/804728155646918656" TargetMode="External"/><Relationship Id="rId1603" Type="http://schemas.openxmlformats.org/officeDocument/2006/relationships/hyperlink" Target="https://pbs.twimg.com/profile_images/757231951577219073/RHd31C5i_normal.jpg" TargetMode="External"/><Relationship Id="rId2934" Type="http://schemas.openxmlformats.org/officeDocument/2006/relationships/hyperlink" Target="https://pbs.twimg.com/profile_images/740530029243817984/J5ujzFIw_normal.jpg" TargetMode="External"/><Relationship Id="rId1604" Type="http://schemas.openxmlformats.org/officeDocument/2006/relationships/hyperlink" Target="https://twitter.com/BodegaPenitente" TargetMode="External"/><Relationship Id="rId2935" Type="http://schemas.openxmlformats.org/officeDocument/2006/relationships/hyperlink" Target="https://twitter.com/LoqueveoTfe" TargetMode="External"/><Relationship Id="rId1605" Type="http://schemas.openxmlformats.org/officeDocument/2006/relationships/hyperlink" Target="https://twitter.com/BodegaPenitente/status/803917154693292032" TargetMode="External"/><Relationship Id="rId2936" Type="http://schemas.openxmlformats.org/officeDocument/2006/relationships/hyperlink" Target="https://twitter.com/LoqueveoTfe/status/804728209992519680" TargetMode="External"/><Relationship Id="rId1606" Type="http://schemas.openxmlformats.org/officeDocument/2006/relationships/hyperlink" Target="https://pbs.twimg.com/profile_images/1486122850/logo_el_penitente_fondo_burdeos_normal.jpg" TargetMode="External"/><Relationship Id="rId2937" Type="http://schemas.openxmlformats.org/officeDocument/2006/relationships/hyperlink" Target="https://pbs.twimg.com/profile_images/794313170936614912/DgBYnoSu_normal.jpg" TargetMode="External"/><Relationship Id="rId1607" Type="http://schemas.openxmlformats.org/officeDocument/2006/relationships/hyperlink" Target="https://twitter.com/SiamDrago" TargetMode="External"/><Relationship Id="rId2938" Type="http://schemas.openxmlformats.org/officeDocument/2006/relationships/hyperlink" Target="https://twitter.com/TwiTenerifeGolf" TargetMode="External"/><Relationship Id="rId1608" Type="http://schemas.openxmlformats.org/officeDocument/2006/relationships/hyperlink" Target="https://twitter.com/SiamDrago/status/803918093454020608" TargetMode="External"/><Relationship Id="rId2939" Type="http://schemas.openxmlformats.org/officeDocument/2006/relationships/hyperlink" Target="https://twitter.com/TwiTenerifeGolf/status/804728281547292673" TargetMode="External"/><Relationship Id="rId1609" Type="http://schemas.openxmlformats.org/officeDocument/2006/relationships/hyperlink" Target="https://pbs.twimg.com/profile_images/708234097152421888/js-q__EL_normal.jpg" TargetMode="External"/><Relationship Id="rId1631" Type="http://schemas.openxmlformats.org/officeDocument/2006/relationships/hyperlink" Target="https://twitter.com/airports_hotels" TargetMode="External"/><Relationship Id="rId2962" Type="http://schemas.openxmlformats.org/officeDocument/2006/relationships/hyperlink" Target="https://twitter.com/TCanaryIslands" TargetMode="External"/><Relationship Id="rId1632" Type="http://schemas.openxmlformats.org/officeDocument/2006/relationships/hyperlink" Target="https://twitter.com/airports_hotels/status/803938739470954496" TargetMode="External"/><Relationship Id="rId2963" Type="http://schemas.openxmlformats.org/officeDocument/2006/relationships/hyperlink" Target="https://twitter.com/TCanaryIslands/status/804737171232030720" TargetMode="External"/><Relationship Id="rId1633" Type="http://schemas.openxmlformats.org/officeDocument/2006/relationships/hyperlink" Target="https://pbs.twimg.com/profile_images/789169766342627332/b_eAAMe7_normal.jpg" TargetMode="External"/><Relationship Id="rId2964" Type="http://schemas.openxmlformats.org/officeDocument/2006/relationships/hyperlink" Target="https://pbs.twimg.com/profile_images/552891002885640192/iZsYUlO-_normal.jpeg" TargetMode="External"/><Relationship Id="rId1634" Type="http://schemas.openxmlformats.org/officeDocument/2006/relationships/hyperlink" Target="https://twitter.com/TwiTenerifeGolf" TargetMode="External"/><Relationship Id="rId2965" Type="http://schemas.openxmlformats.org/officeDocument/2006/relationships/hyperlink" Target="https://twitter.com/TenerifeBonjour" TargetMode="External"/><Relationship Id="rId1635" Type="http://schemas.openxmlformats.org/officeDocument/2006/relationships/hyperlink" Target="https://twitter.com/TwiTenerifeGolf/status/803938882312138754" TargetMode="External"/><Relationship Id="rId2966" Type="http://schemas.openxmlformats.org/officeDocument/2006/relationships/hyperlink" Target="https://twitter.com/TenerifeBonjour/status/804737220708102144" TargetMode="External"/><Relationship Id="rId1636" Type="http://schemas.openxmlformats.org/officeDocument/2006/relationships/hyperlink" Target="https://pbs.twimg.com/profile_images/723156330673000448/xa2FT8Re_normal.jpg" TargetMode="External"/><Relationship Id="rId2967" Type="http://schemas.openxmlformats.org/officeDocument/2006/relationships/hyperlink" Target="https://pbs.twimg.com/profile_images/570942627195068416/kiZSWpnz_normal.jpeg" TargetMode="External"/><Relationship Id="rId1637" Type="http://schemas.openxmlformats.org/officeDocument/2006/relationships/hyperlink" Target="https://twitter.com/1986_adry" TargetMode="External"/><Relationship Id="rId2968" Type="http://schemas.openxmlformats.org/officeDocument/2006/relationships/hyperlink" Target="https://twitter.com/ViajeEnOferta" TargetMode="External"/><Relationship Id="rId1638" Type="http://schemas.openxmlformats.org/officeDocument/2006/relationships/hyperlink" Target="https://twitter.com/1986_adry/status/803946181919461376" TargetMode="External"/><Relationship Id="rId2969" Type="http://schemas.openxmlformats.org/officeDocument/2006/relationships/hyperlink" Target="https://twitter.com/ViajeEnOferta/status/804738307175419908" TargetMode="External"/><Relationship Id="rId929" Type="http://schemas.openxmlformats.org/officeDocument/2006/relationships/hyperlink" Target="https://twitter.com/PRevelchione" TargetMode="External"/><Relationship Id="rId1639" Type="http://schemas.openxmlformats.org/officeDocument/2006/relationships/hyperlink" Target="https://pbs.twimg.com/profile_images/781760438786818048/3JVaYbLQ_normal.jpg" TargetMode="External"/><Relationship Id="rId928" Type="http://schemas.openxmlformats.org/officeDocument/2006/relationships/hyperlink" Target="https://pbs.twimg.com/profile_images/764390664142454785/QRDRzILj_normal.jpg" TargetMode="External"/><Relationship Id="rId927" Type="http://schemas.openxmlformats.org/officeDocument/2006/relationships/hyperlink" Target="https://twitter.com/diveniki/status/803362755608805376" TargetMode="External"/><Relationship Id="rId926" Type="http://schemas.openxmlformats.org/officeDocument/2006/relationships/hyperlink" Target="https://twitter.com/diveniki" TargetMode="External"/><Relationship Id="rId921" Type="http://schemas.openxmlformats.org/officeDocument/2006/relationships/hyperlink" Target="https://twitter.com/totaltenerife/status/803360106616332292" TargetMode="External"/><Relationship Id="rId920" Type="http://schemas.openxmlformats.org/officeDocument/2006/relationships/hyperlink" Target="https://twitter.com/totaltenerife" TargetMode="External"/><Relationship Id="rId925" Type="http://schemas.openxmlformats.org/officeDocument/2006/relationships/hyperlink" Target="https://pbs.twimg.com/profile_images/570644453866483712/dvbC2x8W_normal.jpeg" TargetMode="External"/><Relationship Id="rId924" Type="http://schemas.openxmlformats.org/officeDocument/2006/relationships/hyperlink" Target="https://twitter.com/islaspromo/status/803362686515998720" TargetMode="External"/><Relationship Id="rId923" Type="http://schemas.openxmlformats.org/officeDocument/2006/relationships/hyperlink" Target="https://twitter.com/islaspromo" TargetMode="External"/><Relationship Id="rId922" Type="http://schemas.openxmlformats.org/officeDocument/2006/relationships/hyperlink" Target="https://pbs.twimg.com/profile_images/686553191345975296/F8l5vG5x_normal.jpg" TargetMode="External"/><Relationship Id="rId2960" Type="http://schemas.openxmlformats.org/officeDocument/2006/relationships/hyperlink" Target="https://twitter.com/hotrod4276/status/804735995698524160" TargetMode="External"/><Relationship Id="rId1630" Type="http://schemas.openxmlformats.org/officeDocument/2006/relationships/hyperlink" Target="https://pbs.twimg.com/profile_images/1519010345/yo_normal.jpg" TargetMode="External"/><Relationship Id="rId2961" Type="http://schemas.openxmlformats.org/officeDocument/2006/relationships/hyperlink" Target="https://pbs.twimg.com/profile_images/2332883226/6iWjB1WQ_normal" TargetMode="External"/><Relationship Id="rId1620" Type="http://schemas.openxmlformats.org/officeDocument/2006/relationships/hyperlink" Target="https://twitter.com/DaQuteTravel/status/803925757881909248" TargetMode="External"/><Relationship Id="rId2951" Type="http://schemas.openxmlformats.org/officeDocument/2006/relationships/hyperlink" Target="https://twitter.com/GoldByMarina/status/804732093125316609" TargetMode="External"/><Relationship Id="rId1621" Type="http://schemas.openxmlformats.org/officeDocument/2006/relationships/hyperlink" Target="https://pbs.twimg.com/profile_images/544142152201408513/Uu6dGgSu_normal.jpeg" TargetMode="External"/><Relationship Id="rId2952" Type="http://schemas.openxmlformats.org/officeDocument/2006/relationships/hyperlink" Target="https://pbs.twimg.com/profile_images/499580538487717888/NxEbStHx_normal.jpeg" TargetMode="External"/><Relationship Id="rId1622" Type="http://schemas.openxmlformats.org/officeDocument/2006/relationships/hyperlink" Target="https://twitter.com/icelollySupport" TargetMode="External"/><Relationship Id="rId2953" Type="http://schemas.openxmlformats.org/officeDocument/2006/relationships/hyperlink" Target="https://twitter.com/TomCanaryGC" TargetMode="External"/><Relationship Id="rId1623" Type="http://schemas.openxmlformats.org/officeDocument/2006/relationships/hyperlink" Target="https://twitter.com/icelollySupport/status/803926157548720128" TargetMode="External"/><Relationship Id="rId2954" Type="http://schemas.openxmlformats.org/officeDocument/2006/relationships/hyperlink" Target="https://twitter.com/TomCanaryGC/status/804734160258605056" TargetMode="External"/><Relationship Id="rId1624" Type="http://schemas.openxmlformats.org/officeDocument/2006/relationships/hyperlink" Target="https://pbs.twimg.com/profile_images/760849350985678849/nhuC4QJW_normal.jpg" TargetMode="External"/><Relationship Id="rId2955" Type="http://schemas.openxmlformats.org/officeDocument/2006/relationships/hyperlink" Target="https://pbs.twimg.com/profile_images/797265461075443712/-ap1T37u_normal.jpg" TargetMode="External"/><Relationship Id="rId1625" Type="http://schemas.openxmlformats.org/officeDocument/2006/relationships/hyperlink" Target="https://twitter.com/RakheeV" TargetMode="External"/><Relationship Id="rId2956" Type="http://schemas.openxmlformats.org/officeDocument/2006/relationships/hyperlink" Target="https://twitter.com/ericdavignontw" TargetMode="External"/><Relationship Id="rId1626" Type="http://schemas.openxmlformats.org/officeDocument/2006/relationships/hyperlink" Target="https://twitter.com/RakheeV/status/803927807709495297" TargetMode="External"/><Relationship Id="rId2957" Type="http://schemas.openxmlformats.org/officeDocument/2006/relationships/hyperlink" Target="https://twitter.com/ericdavignontw/status/804735118493487104" TargetMode="External"/><Relationship Id="rId1627" Type="http://schemas.openxmlformats.org/officeDocument/2006/relationships/hyperlink" Target="https://pbs.twimg.com/profile_images/742026136801161217/evJgSUlG_normal.jpg" TargetMode="External"/><Relationship Id="rId2958" Type="http://schemas.openxmlformats.org/officeDocument/2006/relationships/hyperlink" Target="https://pbs.twimg.com/profile_images/1612075069/P28-10-11_12.08_normal.jpg" TargetMode="External"/><Relationship Id="rId918" Type="http://schemas.openxmlformats.org/officeDocument/2006/relationships/hyperlink" Target="https://twitter.com/Ceciu_/status/803360083086286848" TargetMode="External"/><Relationship Id="rId1628" Type="http://schemas.openxmlformats.org/officeDocument/2006/relationships/hyperlink" Target="https://twitter.com/sergon2000" TargetMode="External"/><Relationship Id="rId2959" Type="http://schemas.openxmlformats.org/officeDocument/2006/relationships/hyperlink" Target="https://twitter.com/hotrod4276" TargetMode="External"/><Relationship Id="rId917" Type="http://schemas.openxmlformats.org/officeDocument/2006/relationships/hyperlink" Target="https://twitter.com/Ceciu_" TargetMode="External"/><Relationship Id="rId1629" Type="http://schemas.openxmlformats.org/officeDocument/2006/relationships/hyperlink" Target="https://twitter.com/sergon2000/status/803928632708263936" TargetMode="External"/><Relationship Id="rId916" Type="http://schemas.openxmlformats.org/officeDocument/2006/relationships/hyperlink" Target="https://pbs.twimg.com/profile_images/661504929606057984/Q5xrk4Oc_normal.jpg" TargetMode="External"/><Relationship Id="rId915" Type="http://schemas.openxmlformats.org/officeDocument/2006/relationships/hyperlink" Target="https://twitter.com/FlavoursandFros/status/803358330378928131" TargetMode="External"/><Relationship Id="rId919" Type="http://schemas.openxmlformats.org/officeDocument/2006/relationships/hyperlink" Target="https://pbs.twimg.com/profile_images/683315649712648194/DjyW-n3Y_normal.jpg" TargetMode="External"/><Relationship Id="rId910" Type="http://schemas.openxmlformats.org/officeDocument/2006/relationships/hyperlink" Target="https://pbs.twimg.com/profile_images/526134339122122752/6C-Im_He_normal.jpeg" TargetMode="External"/><Relationship Id="rId914" Type="http://schemas.openxmlformats.org/officeDocument/2006/relationships/hyperlink" Target="https://twitter.com/FlavoursandFros" TargetMode="External"/><Relationship Id="rId913" Type="http://schemas.openxmlformats.org/officeDocument/2006/relationships/hyperlink" Target="https://pbs.twimg.com/profile_images/758359054007709696/aWD6LYHE_normal.jpg" TargetMode="External"/><Relationship Id="rId912" Type="http://schemas.openxmlformats.org/officeDocument/2006/relationships/hyperlink" Target="https://twitter.com/leochik89/status/803358253396553728" TargetMode="External"/><Relationship Id="rId911" Type="http://schemas.openxmlformats.org/officeDocument/2006/relationships/hyperlink" Target="https://twitter.com/leochik89" TargetMode="External"/><Relationship Id="rId2950" Type="http://schemas.openxmlformats.org/officeDocument/2006/relationships/hyperlink" Target="https://twitter.com/GoldByMarina" TargetMode="External"/><Relationship Id="rId2900" Type="http://schemas.openxmlformats.org/officeDocument/2006/relationships/hyperlink" Target="https://twitter.com/lapalmarss/status/804710377179201536" TargetMode="External"/><Relationship Id="rId2901" Type="http://schemas.openxmlformats.org/officeDocument/2006/relationships/hyperlink" Target="https://pbs.twimg.com/profile_images/620195113227132928/wpTI27qE_normal.jpg" TargetMode="External"/><Relationship Id="rId2902" Type="http://schemas.openxmlformats.org/officeDocument/2006/relationships/hyperlink" Target="https://twitter.com/asanji05" TargetMode="External"/><Relationship Id="rId2903" Type="http://schemas.openxmlformats.org/officeDocument/2006/relationships/hyperlink" Target="https://twitter.com/asanji05/status/804713358398291968" TargetMode="External"/><Relationship Id="rId2904" Type="http://schemas.openxmlformats.org/officeDocument/2006/relationships/hyperlink" Target="https://pbs.twimg.com/profile_images/696333745100615680/6F4ZCEq3_normal.jpg" TargetMode="External"/><Relationship Id="rId2905" Type="http://schemas.openxmlformats.org/officeDocument/2006/relationships/hyperlink" Target="https://twitter.com/FormattHitech" TargetMode="External"/><Relationship Id="rId2906" Type="http://schemas.openxmlformats.org/officeDocument/2006/relationships/hyperlink" Target="https://twitter.com/FormattHitech/status/804716031663022082" TargetMode="External"/><Relationship Id="rId2907" Type="http://schemas.openxmlformats.org/officeDocument/2006/relationships/hyperlink" Target="https://pbs.twimg.com/profile_images/3292777873/0de056123e40f6e051f0bdb8c2c07de3_normal.jpeg" TargetMode="External"/><Relationship Id="rId2908" Type="http://schemas.openxmlformats.org/officeDocument/2006/relationships/hyperlink" Target="https://twitter.com/Hayes_1971" TargetMode="External"/><Relationship Id="rId2909" Type="http://schemas.openxmlformats.org/officeDocument/2006/relationships/hyperlink" Target="https://twitter.com/Hayes_1971/status/804717087587442688" TargetMode="External"/><Relationship Id="rId2920" Type="http://schemas.openxmlformats.org/officeDocument/2006/relationships/hyperlink" Target="https://twitter.com/MokaGonzalez_" TargetMode="External"/><Relationship Id="rId2921" Type="http://schemas.openxmlformats.org/officeDocument/2006/relationships/hyperlink" Target="https://twitter.com/MokaGonzalez_/status/804724934949924864" TargetMode="External"/><Relationship Id="rId2922" Type="http://schemas.openxmlformats.org/officeDocument/2006/relationships/hyperlink" Target="https://pbs.twimg.com/profile_images/805759744292122624/GVNyopcr_normal.jpg" TargetMode="External"/><Relationship Id="rId2923" Type="http://schemas.openxmlformats.org/officeDocument/2006/relationships/hyperlink" Target="https://twitter.com/Escranc" TargetMode="External"/><Relationship Id="rId2924" Type="http://schemas.openxmlformats.org/officeDocument/2006/relationships/hyperlink" Target="https://twitter.com/Escranc/status/804725514502098944" TargetMode="External"/><Relationship Id="rId2925" Type="http://schemas.openxmlformats.org/officeDocument/2006/relationships/hyperlink" Target="https://pbs.twimg.com/profile_images/453566433549492224/oclqYhSs_normal.jpeg" TargetMode="External"/><Relationship Id="rId2926" Type="http://schemas.openxmlformats.org/officeDocument/2006/relationships/hyperlink" Target="https://twitter.com/GrantTurnbull_" TargetMode="External"/><Relationship Id="rId2927" Type="http://schemas.openxmlformats.org/officeDocument/2006/relationships/hyperlink" Target="https://twitter.com/GrantTurnbull_/status/804727170266464256" TargetMode="External"/><Relationship Id="rId2928" Type="http://schemas.openxmlformats.org/officeDocument/2006/relationships/hyperlink" Target="https://pbs.twimg.com/profile_images/729675617973719041/GzGFhrNo_normal.jpg" TargetMode="External"/><Relationship Id="rId2929" Type="http://schemas.openxmlformats.org/officeDocument/2006/relationships/hyperlink" Target="https://twitter.com/liammercer93" TargetMode="External"/><Relationship Id="rId2910" Type="http://schemas.openxmlformats.org/officeDocument/2006/relationships/hyperlink" Target="https://pbs.twimg.com/profile_images/798564974826258432/2ITaIKRl_normal.jpg" TargetMode="External"/><Relationship Id="rId2911" Type="http://schemas.openxmlformats.org/officeDocument/2006/relationships/hyperlink" Target="https://twitter.com/javierperezglez" TargetMode="External"/><Relationship Id="rId2912" Type="http://schemas.openxmlformats.org/officeDocument/2006/relationships/hyperlink" Target="https://twitter.com/javierperezglez/status/804720005166206976" TargetMode="External"/><Relationship Id="rId2913" Type="http://schemas.openxmlformats.org/officeDocument/2006/relationships/hyperlink" Target="https://pbs.twimg.com/profile_images/681619418800066560/wpg9Wt8l_normal.jpg" TargetMode="External"/><Relationship Id="rId2914" Type="http://schemas.openxmlformats.org/officeDocument/2006/relationships/hyperlink" Target="https://twitter.com/LasPalmasProp" TargetMode="External"/><Relationship Id="rId2915" Type="http://schemas.openxmlformats.org/officeDocument/2006/relationships/hyperlink" Target="https://twitter.com/LasPalmasProp/status/804722483895144448" TargetMode="External"/><Relationship Id="rId2916" Type="http://schemas.openxmlformats.org/officeDocument/2006/relationships/hyperlink" Target="https://pbs.twimg.com/profile_images/744132316134514688/7FDa8yP-_normal.jpg" TargetMode="External"/><Relationship Id="rId2917" Type="http://schemas.openxmlformats.org/officeDocument/2006/relationships/hyperlink" Target="https://twitter.com/pabloexcursions" TargetMode="External"/><Relationship Id="rId2918" Type="http://schemas.openxmlformats.org/officeDocument/2006/relationships/hyperlink" Target="https://twitter.com/pabloexcursions/status/804724522431770624" TargetMode="External"/><Relationship Id="rId2919" Type="http://schemas.openxmlformats.org/officeDocument/2006/relationships/hyperlink" Target="https://pbs.twimg.com/profile_images/795287889051525121/lnv-LO1p_normal.jpg" TargetMode="External"/><Relationship Id="rId1697" Type="http://schemas.openxmlformats.org/officeDocument/2006/relationships/hyperlink" Target="https://twitter.com/MatthewHirtes" TargetMode="External"/><Relationship Id="rId4723" Type="http://schemas.openxmlformats.org/officeDocument/2006/relationships/hyperlink" Target="https://twitter.com/de1969" TargetMode="External"/><Relationship Id="rId1698" Type="http://schemas.openxmlformats.org/officeDocument/2006/relationships/hyperlink" Target="https://twitter.com/MatthewHirtes/status/803988616582139904" TargetMode="External"/><Relationship Id="rId4722" Type="http://schemas.openxmlformats.org/officeDocument/2006/relationships/hyperlink" Target="https://pbs.twimg.com/profile_images/2882758712/12b371fa0215f5747eecc910e918ee79_normal.jpeg" TargetMode="External"/><Relationship Id="rId1699" Type="http://schemas.openxmlformats.org/officeDocument/2006/relationships/hyperlink" Target="https://pbs.twimg.com/profile_images/2882758712/12b371fa0215f5747eecc910e918ee79_normal.jpeg" TargetMode="External"/><Relationship Id="rId4725" Type="http://schemas.openxmlformats.org/officeDocument/2006/relationships/hyperlink" Target="https://pbs.twimg.com/profile_images/1617162796/S4010009_normal.JPG" TargetMode="External"/><Relationship Id="rId4724" Type="http://schemas.openxmlformats.org/officeDocument/2006/relationships/hyperlink" Target="https://twitter.com/de1969/status/805988979275399168" TargetMode="External"/><Relationship Id="rId4727" Type="http://schemas.openxmlformats.org/officeDocument/2006/relationships/hyperlink" Target="https://twitter.com/MatthewHirtes/status/806012796307697664" TargetMode="External"/><Relationship Id="rId4726" Type="http://schemas.openxmlformats.org/officeDocument/2006/relationships/hyperlink" Target="https://twitter.com/MatthewHirtes" TargetMode="External"/><Relationship Id="rId4729" Type="http://schemas.openxmlformats.org/officeDocument/2006/relationships/hyperlink" Target="https://twitter.com/golftenerife" TargetMode="External"/><Relationship Id="rId4728" Type="http://schemas.openxmlformats.org/officeDocument/2006/relationships/hyperlink" Target="https://pbs.twimg.com/profile_images/2882758712/12b371fa0215f5747eecc910e918ee79_normal.jpeg" TargetMode="External"/><Relationship Id="rId866" Type="http://schemas.openxmlformats.org/officeDocument/2006/relationships/hyperlink" Target="https://twitter.com/DiegoPG3" TargetMode="External"/><Relationship Id="rId865" Type="http://schemas.openxmlformats.org/officeDocument/2006/relationships/hyperlink" Target="https://pbs.twimg.com/profile_images/313296815/maspalomashotel_normal.jpg" TargetMode="External"/><Relationship Id="rId864" Type="http://schemas.openxmlformats.org/officeDocument/2006/relationships/hyperlink" Target="https://twitter.com/_maspalomas/status/803338689699082244" TargetMode="External"/><Relationship Id="rId863" Type="http://schemas.openxmlformats.org/officeDocument/2006/relationships/hyperlink" Target="https://twitter.com/_maspalomas" TargetMode="External"/><Relationship Id="rId869" Type="http://schemas.openxmlformats.org/officeDocument/2006/relationships/hyperlink" Target="https://twitter.com/bermaxo09" TargetMode="External"/><Relationship Id="rId868" Type="http://schemas.openxmlformats.org/officeDocument/2006/relationships/hyperlink" Target="https://pbs.twimg.com/profile_images/784545151322652678/e_UcRJjj_normal.jpg" TargetMode="External"/><Relationship Id="rId867" Type="http://schemas.openxmlformats.org/officeDocument/2006/relationships/hyperlink" Target="https://twitter.com/DiegoPG3/status/803338828769591296" TargetMode="External"/><Relationship Id="rId1690" Type="http://schemas.openxmlformats.org/officeDocument/2006/relationships/hyperlink" Target="https://pbs.twimg.com/profile_images/704311778809778176/2XMcOhJ7_normal.jpg" TargetMode="External"/><Relationship Id="rId1691" Type="http://schemas.openxmlformats.org/officeDocument/2006/relationships/hyperlink" Target="https://twitter.com/valerych" TargetMode="External"/><Relationship Id="rId1692" Type="http://schemas.openxmlformats.org/officeDocument/2006/relationships/hyperlink" Target="https://twitter.com/valerych/status/803982681486880774" TargetMode="External"/><Relationship Id="rId862" Type="http://schemas.openxmlformats.org/officeDocument/2006/relationships/hyperlink" Target="https://pbs.twimg.com/profile_images/313296815/maspalomashotel_normal.jpg" TargetMode="External"/><Relationship Id="rId1693" Type="http://schemas.openxmlformats.org/officeDocument/2006/relationships/hyperlink" Target="https://pbs.twimg.com/profile_images/1254933072/aacopia_normal.jpg" TargetMode="External"/><Relationship Id="rId861" Type="http://schemas.openxmlformats.org/officeDocument/2006/relationships/hyperlink" Target="https://twitter.com/_maspalomas/status/803338575962050560" TargetMode="External"/><Relationship Id="rId1694" Type="http://schemas.openxmlformats.org/officeDocument/2006/relationships/hyperlink" Target="https://twitter.com/bermaxo09" TargetMode="External"/><Relationship Id="rId860" Type="http://schemas.openxmlformats.org/officeDocument/2006/relationships/hyperlink" Target="https://twitter.com/_maspalomas" TargetMode="External"/><Relationship Id="rId1695" Type="http://schemas.openxmlformats.org/officeDocument/2006/relationships/hyperlink" Target="https://twitter.com/bermaxo09/status/803983308950540288" TargetMode="External"/><Relationship Id="rId4721" Type="http://schemas.openxmlformats.org/officeDocument/2006/relationships/hyperlink" Target="https://twitter.com/MatthewHirtes/status/805967751206629376" TargetMode="External"/><Relationship Id="rId1696" Type="http://schemas.openxmlformats.org/officeDocument/2006/relationships/hyperlink" Target="https://pbs.twimg.com/profile_images/798476790478073856/iOD0HIRa_normal.jpg" TargetMode="External"/><Relationship Id="rId4720" Type="http://schemas.openxmlformats.org/officeDocument/2006/relationships/hyperlink" Target="https://twitter.com/MatthewHirtes" TargetMode="External"/><Relationship Id="rId1686" Type="http://schemas.openxmlformats.org/officeDocument/2006/relationships/hyperlink" Target="https://twitter.com/araphant/status/803979611612872704" TargetMode="External"/><Relationship Id="rId4712" Type="http://schemas.openxmlformats.org/officeDocument/2006/relationships/hyperlink" Target="https://twitter.com/sergon2000/status/805949563244789760" TargetMode="External"/><Relationship Id="rId1687" Type="http://schemas.openxmlformats.org/officeDocument/2006/relationships/hyperlink" Target="https://pbs.twimg.com/profile_images/766456983880859648/oybOBjZB_normal.jpg" TargetMode="External"/><Relationship Id="rId4711" Type="http://schemas.openxmlformats.org/officeDocument/2006/relationships/hyperlink" Target="https://twitter.com/sergon2000" TargetMode="External"/><Relationship Id="rId1688" Type="http://schemas.openxmlformats.org/officeDocument/2006/relationships/hyperlink" Target="https://twitter.com/coworkinthesun" TargetMode="External"/><Relationship Id="rId4714" Type="http://schemas.openxmlformats.org/officeDocument/2006/relationships/hyperlink" Target="https://twitter.com/AcostaTenta" TargetMode="External"/><Relationship Id="rId1689" Type="http://schemas.openxmlformats.org/officeDocument/2006/relationships/hyperlink" Target="https://twitter.com/coworkinthesun/status/803981686027485184" TargetMode="External"/><Relationship Id="rId4713" Type="http://schemas.openxmlformats.org/officeDocument/2006/relationships/hyperlink" Target="https://pbs.twimg.com/profile_images/1519010345/yo_normal.jpg" TargetMode="External"/><Relationship Id="rId4716" Type="http://schemas.openxmlformats.org/officeDocument/2006/relationships/hyperlink" Target="https://pbs.twimg.com/profile_images/510495281172201474/BWdjJtsG_normal.jpeg" TargetMode="External"/><Relationship Id="rId4715" Type="http://schemas.openxmlformats.org/officeDocument/2006/relationships/hyperlink" Target="https://twitter.com/AcostaTenta/status/805959950426116096" TargetMode="External"/><Relationship Id="rId4718" Type="http://schemas.openxmlformats.org/officeDocument/2006/relationships/hyperlink" Target="https://twitter.com/ebook_travel/status/805961248487645185" TargetMode="External"/><Relationship Id="rId4717" Type="http://schemas.openxmlformats.org/officeDocument/2006/relationships/hyperlink" Target="https://twitter.com/ebook_travel" TargetMode="External"/><Relationship Id="rId4719" Type="http://schemas.openxmlformats.org/officeDocument/2006/relationships/hyperlink" Target="https://pbs.twimg.com/profile_images/506732081079013377/VmrRkhPe_normal.jpeg" TargetMode="External"/><Relationship Id="rId855" Type="http://schemas.openxmlformats.org/officeDocument/2006/relationships/hyperlink" Target="https://twitter.com/Love4AnimalsNL/status/803335781712592896" TargetMode="External"/><Relationship Id="rId854" Type="http://schemas.openxmlformats.org/officeDocument/2006/relationships/hyperlink" Target="https://twitter.com/Love4AnimalsNL" TargetMode="External"/><Relationship Id="rId853" Type="http://schemas.openxmlformats.org/officeDocument/2006/relationships/hyperlink" Target="https://pbs.twimg.com/profile_images/593861736261939201/5IpELztZ_normal.jpg" TargetMode="External"/><Relationship Id="rId852" Type="http://schemas.openxmlformats.org/officeDocument/2006/relationships/hyperlink" Target="https://twitter.com/WilfBen/status/803329949050474496" TargetMode="External"/><Relationship Id="rId859" Type="http://schemas.openxmlformats.org/officeDocument/2006/relationships/hyperlink" Target="https://pbs.twimg.com/profile_images/798476790478073856/iOD0HIRa_normal.jpg" TargetMode="External"/><Relationship Id="rId858" Type="http://schemas.openxmlformats.org/officeDocument/2006/relationships/hyperlink" Target="https://twitter.com/bermaxo09/status/803338056753410048" TargetMode="External"/><Relationship Id="rId857" Type="http://schemas.openxmlformats.org/officeDocument/2006/relationships/hyperlink" Target="https://twitter.com/bermaxo09" TargetMode="External"/><Relationship Id="rId856" Type="http://schemas.openxmlformats.org/officeDocument/2006/relationships/hyperlink" Target="https://pbs.twimg.com/profile_images/737796747418697728/8xgd3nQv_normal.jpg" TargetMode="External"/><Relationship Id="rId1680" Type="http://schemas.openxmlformats.org/officeDocument/2006/relationships/hyperlink" Target="https://twitter.com/auto_reisen/status/803975879739244546" TargetMode="External"/><Relationship Id="rId1681" Type="http://schemas.openxmlformats.org/officeDocument/2006/relationships/hyperlink" Target="https://pbs.twimg.com/profile_images/753537830752845824/CAcHgdYu_normal.jpg" TargetMode="External"/><Relationship Id="rId851" Type="http://schemas.openxmlformats.org/officeDocument/2006/relationships/hyperlink" Target="https://twitter.com/WilfBen" TargetMode="External"/><Relationship Id="rId1682" Type="http://schemas.openxmlformats.org/officeDocument/2006/relationships/hyperlink" Target="https://twitter.com/teatenerife" TargetMode="External"/><Relationship Id="rId850" Type="http://schemas.openxmlformats.org/officeDocument/2006/relationships/hyperlink" Target="https://pbs.twimg.com/profile_images/777155469026684928/BFD8N8nn_normal.jpg" TargetMode="External"/><Relationship Id="rId1683" Type="http://schemas.openxmlformats.org/officeDocument/2006/relationships/hyperlink" Target="https://twitter.com/teatenerife/status/803979401050411008" TargetMode="External"/><Relationship Id="rId1684" Type="http://schemas.openxmlformats.org/officeDocument/2006/relationships/hyperlink" Target="https://pbs.twimg.com/profile_images/2225814755/TEA_normal.jpg" TargetMode="External"/><Relationship Id="rId4710" Type="http://schemas.openxmlformats.org/officeDocument/2006/relationships/hyperlink" Target="https://pbs.twimg.com/profile_images/602243058860576769/DjcsHobh_normal.jpg" TargetMode="External"/><Relationship Id="rId1685" Type="http://schemas.openxmlformats.org/officeDocument/2006/relationships/hyperlink" Target="https://twitter.com/araphant" TargetMode="External"/><Relationship Id="rId3414" Type="http://schemas.openxmlformats.org/officeDocument/2006/relationships/hyperlink" Target="https://twitter.com/Visidesigner" TargetMode="External"/><Relationship Id="rId4745" Type="http://schemas.openxmlformats.org/officeDocument/2006/relationships/hyperlink" Target="https://twitter.com/CanaryIsSailing/status/806049209757683712" TargetMode="External"/><Relationship Id="rId3413" Type="http://schemas.openxmlformats.org/officeDocument/2006/relationships/hyperlink" Target="https://pbs.twimg.com/profile_images/690284858552250368/8M1qZWOt_normal.jpg" TargetMode="External"/><Relationship Id="rId4744" Type="http://schemas.openxmlformats.org/officeDocument/2006/relationships/hyperlink" Target="https://twitter.com/CanaryIsSailing" TargetMode="External"/><Relationship Id="rId3416" Type="http://schemas.openxmlformats.org/officeDocument/2006/relationships/hyperlink" Target="https://pbs.twimg.com/profile_images/540864884054188032/hrV0hjKN_normal.jpeg" TargetMode="External"/><Relationship Id="rId4747" Type="http://schemas.openxmlformats.org/officeDocument/2006/relationships/hyperlink" Target="https://twitter.com/Alan1967" TargetMode="External"/><Relationship Id="rId3415" Type="http://schemas.openxmlformats.org/officeDocument/2006/relationships/hyperlink" Target="https://twitter.com/Visidesigner/status/805114837059731457" TargetMode="External"/><Relationship Id="rId4746" Type="http://schemas.openxmlformats.org/officeDocument/2006/relationships/hyperlink" Target="https://pbs.twimg.com/profile_images/666361971730718720/_ygWhwJQ_normal.jpg" TargetMode="External"/><Relationship Id="rId3418" Type="http://schemas.openxmlformats.org/officeDocument/2006/relationships/hyperlink" Target="https://twitter.com/ShopAfortunadas/status/805115898885472257" TargetMode="External"/><Relationship Id="rId4749" Type="http://schemas.openxmlformats.org/officeDocument/2006/relationships/hyperlink" Target="https://pbs.twimg.com/profile_images/747866630064046080/_zsHSPL7_normal.jpg" TargetMode="External"/><Relationship Id="rId3417" Type="http://schemas.openxmlformats.org/officeDocument/2006/relationships/hyperlink" Target="https://twitter.com/ShopAfortunadas" TargetMode="External"/><Relationship Id="rId4748" Type="http://schemas.openxmlformats.org/officeDocument/2006/relationships/hyperlink" Target="https://twitter.com/Alan1967/status/806049360635105280" TargetMode="External"/><Relationship Id="rId3419" Type="http://schemas.openxmlformats.org/officeDocument/2006/relationships/hyperlink" Target="https://pbs.twimg.com/profile_images/679251177305972736/xtBJP7kS_normal.jpg" TargetMode="External"/><Relationship Id="rId888" Type="http://schemas.openxmlformats.org/officeDocument/2006/relationships/hyperlink" Target="https://twitter.com/PLdesign_stores/status/803340561256239104" TargetMode="External"/><Relationship Id="rId887" Type="http://schemas.openxmlformats.org/officeDocument/2006/relationships/hyperlink" Target="https://twitter.com/PLdesign_stores" TargetMode="External"/><Relationship Id="rId886" Type="http://schemas.openxmlformats.org/officeDocument/2006/relationships/hyperlink" Target="https://pbs.twimg.com/profile_images/798476790478073856/iOD0HIRa_normal.jpg" TargetMode="External"/><Relationship Id="rId885" Type="http://schemas.openxmlformats.org/officeDocument/2006/relationships/hyperlink" Target="https://twitter.com/bermaxo09/status/803340511230758912" TargetMode="External"/><Relationship Id="rId889" Type="http://schemas.openxmlformats.org/officeDocument/2006/relationships/hyperlink" Target="https://pbs.twimg.com/profile_images/681161570022518788/f7ecESJR_normal.jpg" TargetMode="External"/><Relationship Id="rId880" Type="http://schemas.openxmlformats.org/officeDocument/2006/relationships/hyperlink" Target="https://pbs.twimg.com/profile_images/805421919499599872/n2ZioPrx_normal.jpg" TargetMode="External"/><Relationship Id="rId884" Type="http://schemas.openxmlformats.org/officeDocument/2006/relationships/hyperlink" Target="https://twitter.com/bermaxo09" TargetMode="External"/><Relationship Id="rId3410" Type="http://schemas.openxmlformats.org/officeDocument/2006/relationships/hyperlink" Target="https://pbs.twimg.com/profile_images/3497575836/b2ae6be61f3184c86257069654bfa8d6_normal.jpeg" TargetMode="External"/><Relationship Id="rId4741" Type="http://schemas.openxmlformats.org/officeDocument/2006/relationships/hyperlink" Target="https://twitter.com/PilarValerio5" TargetMode="External"/><Relationship Id="rId883" Type="http://schemas.openxmlformats.org/officeDocument/2006/relationships/hyperlink" Target="https://pbs.twimg.com/profile_images/794493458392248320/z5N_2K6v_normal.jpg" TargetMode="External"/><Relationship Id="rId4740" Type="http://schemas.openxmlformats.org/officeDocument/2006/relationships/hyperlink" Target="https://pbs.twimg.com/profile_images/796797870439538690/9WHTMY7h_normal.jpg" TargetMode="External"/><Relationship Id="rId882" Type="http://schemas.openxmlformats.org/officeDocument/2006/relationships/hyperlink" Target="https://twitter.com/H_Jardintecina/status/803340218866761733" TargetMode="External"/><Relationship Id="rId3412" Type="http://schemas.openxmlformats.org/officeDocument/2006/relationships/hyperlink" Target="https://twitter.com/visi_maria/status/805114397362372608" TargetMode="External"/><Relationship Id="rId4743" Type="http://schemas.openxmlformats.org/officeDocument/2006/relationships/hyperlink" Target="https://pbs.twimg.com/profile_images/742479411266494465/zmrBvJeU_normal.jpg" TargetMode="External"/><Relationship Id="rId881" Type="http://schemas.openxmlformats.org/officeDocument/2006/relationships/hyperlink" Target="https://twitter.com/H_Jardintecina" TargetMode="External"/><Relationship Id="rId3411" Type="http://schemas.openxmlformats.org/officeDocument/2006/relationships/hyperlink" Target="https://twitter.com/visi_maria" TargetMode="External"/><Relationship Id="rId4742" Type="http://schemas.openxmlformats.org/officeDocument/2006/relationships/hyperlink" Target="https://twitter.com/PilarValerio5/status/806045507655241728" TargetMode="External"/><Relationship Id="rId3403" Type="http://schemas.openxmlformats.org/officeDocument/2006/relationships/hyperlink" Target="https://twitter.com/RincondeCali/status/805105926667694080" TargetMode="External"/><Relationship Id="rId4734" Type="http://schemas.openxmlformats.org/officeDocument/2006/relationships/hyperlink" Target="https://pbs.twimg.com/profile_images/729390603109289984/vzNXI_k3_normal.jpg" TargetMode="External"/><Relationship Id="rId3402" Type="http://schemas.openxmlformats.org/officeDocument/2006/relationships/hyperlink" Target="https://twitter.com/RincondeCali" TargetMode="External"/><Relationship Id="rId4733" Type="http://schemas.openxmlformats.org/officeDocument/2006/relationships/hyperlink" Target="https://twitter.com/ChinoUDLP/status/806026948585656320" TargetMode="External"/><Relationship Id="rId3405" Type="http://schemas.openxmlformats.org/officeDocument/2006/relationships/hyperlink" Target="https://twitter.com/NelsonTeixeira" TargetMode="External"/><Relationship Id="rId4736" Type="http://schemas.openxmlformats.org/officeDocument/2006/relationships/hyperlink" Target="https://twitter.com/fensterschauer/status/806038544116547584" TargetMode="External"/><Relationship Id="rId3404" Type="http://schemas.openxmlformats.org/officeDocument/2006/relationships/hyperlink" Target="https://pbs.twimg.com/profile_images/784730905403330560/cpdXhYxJ_normal.jpg" TargetMode="External"/><Relationship Id="rId4735" Type="http://schemas.openxmlformats.org/officeDocument/2006/relationships/hyperlink" Target="https://twitter.com/fensterschauer" TargetMode="External"/><Relationship Id="rId3407" Type="http://schemas.openxmlformats.org/officeDocument/2006/relationships/hyperlink" Target="https://pbs.twimg.com/profile_images/1287142423/_MG_8906_normal.jpg" TargetMode="External"/><Relationship Id="rId4738" Type="http://schemas.openxmlformats.org/officeDocument/2006/relationships/hyperlink" Target="https://twitter.com/AlfonsoJurado3" TargetMode="External"/><Relationship Id="rId3406" Type="http://schemas.openxmlformats.org/officeDocument/2006/relationships/hyperlink" Target="https://twitter.com/NelsonTeixeira/status/805106111632306178" TargetMode="External"/><Relationship Id="rId4737" Type="http://schemas.openxmlformats.org/officeDocument/2006/relationships/hyperlink" Target="https://pbs.twimg.com/profile_images/644243895870734340/1hQAYrgk_normal.jpg" TargetMode="External"/><Relationship Id="rId3409" Type="http://schemas.openxmlformats.org/officeDocument/2006/relationships/hyperlink" Target="https://twitter.com/asierbaquero/status/805107408309776384" TargetMode="External"/><Relationship Id="rId3408" Type="http://schemas.openxmlformats.org/officeDocument/2006/relationships/hyperlink" Target="https://twitter.com/asierbaquero" TargetMode="External"/><Relationship Id="rId4739" Type="http://schemas.openxmlformats.org/officeDocument/2006/relationships/hyperlink" Target="https://twitter.com/AlfonsoJurado3/status/806045125487034368" TargetMode="External"/><Relationship Id="rId877" Type="http://schemas.openxmlformats.org/officeDocument/2006/relationships/hyperlink" Target="https://pbs.twimg.com/profile_images/798476790478073856/iOD0HIRa_normal.jpg" TargetMode="External"/><Relationship Id="rId876" Type="http://schemas.openxmlformats.org/officeDocument/2006/relationships/hyperlink" Target="https://twitter.com/bermaxo09/status/803339243951099904" TargetMode="External"/><Relationship Id="rId875" Type="http://schemas.openxmlformats.org/officeDocument/2006/relationships/hyperlink" Target="https://twitter.com/bermaxo09" TargetMode="External"/><Relationship Id="rId874" Type="http://schemas.openxmlformats.org/officeDocument/2006/relationships/hyperlink" Target="https://pbs.twimg.com/profile_images/805421919499599872/n2ZioPrx_normal.jpg" TargetMode="External"/><Relationship Id="rId879" Type="http://schemas.openxmlformats.org/officeDocument/2006/relationships/hyperlink" Target="https://twitter.com/Sandraphalicia/status/803339888775020545" TargetMode="External"/><Relationship Id="rId878" Type="http://schemas.openxmlformats.org/officeDocument/2006/relationships/hyperlink" Target="https://twitter.com/Sandraphalicia" TargetMode="External"/><Relationship Id="rId873" Type="http://schemas.openxmlformats.org/officeDocument/2006/relationships/hyperlink" Target="https://twitter.com/Sandraphalicia/status/803339149201862657" TargetMode="External"/><Relationship Id="rId4730" Type="http://schemas.openxmlformats.org/officeDocument/2006/relationships/hyperlink" Target="https://twitter.com/golftenerife/status/806024982664986624" TargetMode="External"/><Relationship Id="rId872" Type="http://schemas.openxmlformats.org/officeDocument/2006/relationships/hyperlink" Target="https://twitter.com/Sandraphalicia" TargetMode="External"/><Relationship Id="rId871" Type="http://schemas.openxmlformats.org/officeDocument/2006/relationships/hyperlink" Target="https://pbs.twimg.com/profile_images/798476790478073856/iOD0HIRa_normal.jpg" TargetMode="External"/><Relationship Id="rId3401" Type="http://schemas.openxmlformats.org/officeDocument/2006/relationships/hyperlink" Target="https://pbs.twimg.com/profile_images/2882758712/12b371fa0215f5747eecc910e918ee79_normal.jpeg" TargetMode="External"/><Relationship Id="rId4732" Type="http://schemas.openxmlformats.org/officeDocument/2006/relationships/hyperlink" Target="https://twitter.com/ChinoUDLP" TargetMode="External"/><Relationship Id="rId870" Type="http://schemas.openxmlformats.org/officeDocument/2006/relationships/hyperlink" Target="https://twitter.com/bermaxo09/status/803338832955473921" TargetMode="External"/><Relationship Id="rId3400" Type="http://schemas.openxmlformats.org/officeDocument/2006/relationships/hyperlink" Target="https://twitter.com/MatthewHirtes/status/805105160980758529" TargetMode="External"/><Relationship Id="rId4731" Type="http://schemas.openxmlformats.org/officeDocument/2006/relationships/hyperlink" Target="https://pbs.twimg.com/profile_images/218703805/tengolf_normal.jpg" TargetMode="External"/><Relationship Id="rId1653" Type="http://schemas.openxmlformats.org/officeDocument/2006/relationships/hyperlink" Target="https://twitter.com/BritSchoolGC/status/803951967840194560" TargetMode="External"/><Relationship Id="rId2984" Type="http://schemas.openxmlformats.org/officeDocument/2006/relationships/hyperlink" Target="https://twitter.com/airports_hotels/status/804742721479049216" TargetMode="External"/><Relationship Id="rId1654" Type="http://schemas.openxmlformats.org/officeDocument/2006/relationships/hyperlink" Target="https://pbs.twimg.com/profile_images/743747412934549504/0IyF4J14_normal.jpg" TargetMode="External"/><Relationship Id="rId2985" Type="http://schemas.openxmlformats.org/officeDocument/2006/relationships/hyperlink" Target="https://pbs.twimg.com/profile_images/789169766342627332/b_eAAMe7_normal.jpg" TargetMode="External"/><Relationship Id="rId1655" Type="http://schemas.openxmlformats.org/officeDocument/2006/relationships/hyperlink" Target="https://twitter.com/rossylsd" TargetMode="External"/><Relationship Id="rId2986" Type="http://schemas.openxmlformats.org/officeDocument/2006/relationships/hyperlink" Target="https://twitter.com/heliweb" TargetMode="External"/><Relationship Id="rId1656" Type="http://schemas.openxmlformats.org/officeDocument/2006/relationships/hyperlink" Target="https://twitter.com/rossylsd/status/803953333438447616" TargetMode="External"/><Relationship Id="rId2987" Type="http://schemas.openxmlformats.org/officeDocument/2006/relationships/hyperlink" Target="https://twitter.com/heliweb/status/804742966703177728" TargetMode="External"/><Relationship Id="rId1657" Type="http://schemas.openxmlformats.org/officeDocument/2006/relationships/hyperlink" Target="https://pbs.twimg.com/profile_images/538167745058455552/QkUXCdoQ_normal.jpeg" TargetMode="External"/><Relationship Id="rId2988" Type="http://schemas.openxmlformats.org/officeDocument/2006/relationships/hyperlink" Target="https://pbs.twimg.com/profile_images/713886161387782144/126vtDmn_normal.jpg" TargetMode="External"/><Relationship Id="rId1658" Type="http://schemas.openxmlformats.org/officeDocument/2006/relationships/hyperlink" Target="https://twitter.com/DaQuteTravel" TargetMode="External"/><Relationship Id="rId2989" Type="http://schemas.openxmlformats.org/officeDocument/2006/relationships/hyperlink" Target="https://twitter.com/decarlo_alfonso" TargetMode="External"/><Relationship Id="rId1659" Type="http://schemas.openxmlformats.org/officeDocument/2006/relationships/hyperlink" Target="https://twitter.com/DaQuteTravel/status/803953349179670528" TargetMode="External"/><Relationship Id="rId829" Type="http://schemas.openxmlformats.org/officeDocument/2006/relationships/hyperlink" Target="https://pbs.twimg.com/profile_images/3612684335/955ff04779fc6c18e4bd6a8b11748a86_normal.jpeg" TargetMode="External"/><Relationship Id="rId828" Type="http://schemas.openxmlformats.org/officeDocument/2006/relationships/hyperlink" Target="https://twitter.com/decarlo_alfonso/status/803317519989649408" TargetMode="External"/><Relationship Id="rId827" Type="http://schemas.openxmlformats.org/officeDocument/2006/relationships/hyperlink" Target="https://twitter.com/decarlo_alfonso" TargetMode="External"/><Relationship Id="rId822" Type="http://schemas.openxmlformats.org/officeDocument/2006/relationships/hyperlink" Target="https://twitter.com/zahadek/status/803315609480167424" TargetMode="External"/><Relationship Id="rId821" Type="http://schemas.openxmlformats.org/officeDocument/2006/relationships/hyperlink" Target="https://twitter.com/zahadek" TargetMode="External"/><Relationship Id="rId820" Type="http://schemas.openxmlformats.org/officeDocument/2006/relationships/hyperlink" Target="https://pbs.twimg.com/profile_images/1617162796/S4010009_normal.JPG" TargetMode="External"/><Relationship Id="rId826" Type="http://schemas.openxmlformats.org/officeDocument/2006/relationships/hyperlink" Target="https://pbs.twimg.com/profile_images/3493825737/c3c0ed02be4ecdcbb4e9e900dd1358c2_normal.png" TargetMode="External"/><Relationship Id="rId825" Type="http://schemas.openxmlformats.org/officeDocument/2006/relationships/hyperlink" Target="https://twitter.com/toyoutoo/status/803316065786875904" TargetMode="External"/><Relationship Id="rId824" Type="http://schemas.openxmlformats.org/officeDocument/2006/relationships/hyperlink" Target="https://twitter.com/toyoutoo" TargetMode="External"/><Relationship Id="rId823" Type="http://schemas.openxmlformats.org/officeDocument/2006/relationships/hyperlink" Target="https://abs.twimg.com/sticky/default_profile_images/default_profile_3_normal.png" TargetMode="External"/><Relationship Id="rId2980" Type="http://schemas.openxmlformats.org/officeDocument/2006/relationships/hyperlink" Target="https://twitter.com/jetcitystar" TargetMode="External"/><Relationship Id="rId1650" Type="http://schemas.openxmlformats.org/officeDocument/2006/relationships/hyperlink" Target="https://twitter.com/whoisdae/status/803951861279625216" TargetMode="External"/><Relationship Id="rId2981" Type="http://schemas.openxmlformats.org/officeDocument/2006/relationships/hyperlink" Target="https://twitter.com/jetcitystar/status/804740638717509632" TargetMode="External"/><Relationship Id="rId1651" Type="http://schemas.openxmlformats.org/officeDocument/2006/relationships/hyperlink" Target="https://pbs.twimg.com/profile_images/761545907280150528/xB6bqJx6_normal.jpg" TargetMode="External"/><Relationship Id="rId2982" Type="http://schemas.openxmlformats.org/officeDocument/2006/relationships/hyperlink" Target="https://pbs.twimg.com/profile_images/631333308450762752/6CZb7fCE_normal.jpg" TargetMode="External"/><Relationship Id="rId1652" Type="http://schemas.openxmlformats.org/officeDocument/2006/relationships/hyperlink" Target="https://twitter.com/BritSchoolGC" TargetMode="External"/><Relationship Id="rId2983" Type="http://schemas.openxmlformats.org/officeDocument/2006/relationships/hyperlink" Target="https://twitter.com/airports_hotels" TargetMode="External"/><Relationship Id="rId1642" Type="http://schemas.openxmlformats.org/officeDocument/2006/relationships/hyperlink" Target="https://pbs.twimg.com/profile_images/753537830752845824/CAcHgdYu_normal.jpg" TargetMode="External"/><Relationship Id="rId2973" Type="http://schemas.openxmlformats.org/officeDocument/2006/relationships/hyperlink" Target="https://pbs.twimg.com/profile_images/623259419665670144/MikskTkh_normal.jpg" TargetMode="External"/><Relationship Id="rId1643" Type="http://schemas.openxmlformats.org/officeDocument/2006/relationships/hyperlink" Target="https://twitter.com/Selhso" TargetMode="External"/><Relationship Id="rId2974" Type="http://schemas.openxmlformats.org/officeDocument/2006/relationships/hyperlink" Target="https://twitter.com/loloesponja1" TargetMode="External"/><Relationship Id="rId1644" Type="http://schemas.openxmlformats.org/officeDocument/2006/relationships/hyperlink" Target="https://twitter.com/Selhso/status/803948327654060032" TargetMode="External"/><Relationship Id="rId2975" Type="http://schemas.openxmlformats.org/officeDocument/2006/relationships/hyperlink" Target="https://twitter.com/loloesponja1/status/804740084566261760" TargetMode="External"/><Relationship Id="rId1645" Type="http://schemas.openxmlformats.org/officeDocument/2006/relationships/hyperlink" Target="https://pbs.twimg.com/profile_images/800845512836579328/cKh_5hB2_normal.jpg" TargetMode="External"/><Relationship Id="rId2976" Type="http://schemas.openxmlformats.org/officeDocument/2006/relationships/hyperlink" Target="https://pbs.twimg.com/profile_images/574977764454973440/HylUDGRe_normal.jpeg" TargetMode="External"/><Relationship Id="rId1646" Type="http://schemas.openxmlformats.org/officeDocument/2006/relationships/hyperlink" Target="https://twitter.com/24_psycho" TargetMode="External"/><Relationship Id="rId2977" Type="http://schemas.openxmlformats.org/officeDocument/2006/relationships/hyperlink" Target="https://twitter.com/1980Punter" TargetMode="External"/><Relationship Id="rId1647" Type="http://schemas.openxmlformats.org/officeDocument/2006/relationships/hyperlink" Target="https://twitter.com/24_psycho/status/803949122847932417" TargetMode="External"/><Relationship Id="rId2978" Type="http://schemas.openxmlformats.org/officeDocument/2006/relationships/hyperlink" Target="https://twitter.com/1980Punter/status/804740343568666624" TargetMode="External"/><Relationship Id="rId1648" Type="http://schemas.openxmlformats.org/officeDocument/2006/relationships/hyperlink" Target="https://pbs.twimg.com/profile_images/571504276954820608/15DiRfl4_normal.jpeg" TargetMode="External"/><Relationship Id="rId2979" Type="http://schemas.openxmlformats.org/officeDocument/2006/relationships/hyperlink" Target="https://pbs.twimg.com/profile_images/344513261582672731/211da045d3acdb47814c69c91d6a4348_normal.jpeg" TargetMode="External"/><Relationship Id="rId1649" Type="http://schemas.openxmlformats.org/officeDocument/2006/relationships/hyperlink" Target="https://twitter.com/whoisdae" TargetMode="External"/><Relationship Id="rId819" Type="http://schemas.openxmlformats.org/officeDocument/2006/relationships/hyperlink" Target="https://twitter.com/de1969/status/803315285881135104" TargetMode="External"/><Relationship Id="rId818" Type="http://schemas.openxmlformats.org/officeDocument/2006/relationships/hyperlink" Target="https://twitter.com/de1969" TargetMode="External"/><Relationship Id="rId817" Type="http://schemas.openxmlformats.org/officeDocument/2006/relationships/hyperlink" Target="https://pbs.twimg.com/profile_images/3112307630/63df6e9c1fcd943acbbe4c226bbcc785_normal.jpeg" TargetMode="External"/><Relationship Id="rId816" Type="http://schemas.openxmlformats.org/officeDocument/2006/relationships/hyperlink" Target="https://twitter.com/Euthumia/status/803310156108791808" TargetMode="External"/><Relationship Id="rId811" Type="http://schemas.openxmlformats.org/officeDocument/2006/relationships/hyperlink" Target="https://twitter.com/Dauphins_libres" TargetMode="External"/><Relationship Id="rId810" Type="http://schemas.openxmlformats.org/officeDocument/2006/relationships/hyperlink" Target="https://pbs.twimg.com/profile_images/656014975702462464/F1xxrSwT_normal.jpg" TargetMode="External"/><Relationship Id="rId815" Type="http://schemas.openxmlformats.org/officeDocument/2006/relationships/hyperlink" Target="https://twitter.com/Euthumia" TargetMode="External"/><Relationship Id="rId814" Type="http://schemas.openxmlformats.org/officeDocument/2006/relationships/hyperlink" Target="https://pbs.twimg.com/profile_images/802485552905908225/iRXmCHjr_normal.jpg" TargetMode="External"/><Relationship Id="rId813" Type="http://schemas.openxmlformats.org/officeDocument/2006/relationships/hyperlink" Target="http://t.co/OoMLaItJ9E" TargetMode="External"/><Relationship Id="rId812" Type="http://schemas.openxmlformats.org/officeDocument/2006/relationships/hyperlink" Target="https://twitter.com/Dauphins_libres/status/803308151021834240" TargetMode="External"/><Relationship Id="rId2970" Type="http://schemas.openxmlformats.org/officeDocument/2006/relationships/hyperlink" Target="https://pbs.twimg.com/profile_images/2333586406/ln3vtsznfm0jriu9rk86_normal.gif" TargetMode="External"/><Relationship Id="rId1640" Type="http://schemas.openxmlformats.org/officeDocument/2006/relationships/hyperlink" Target="https://twitter.com/auto_reisen" TargetMode="External"/><Relationship Id="rId2971" Type="http://schemas.openxmlformats.org/officeDocument/2006/relationships/hyperlink" Target="https://twitter.com/IMAPhoto" TargetMode="External"/><Relationship Id="rId1641" Type="http://schemas.openxmlformats.org/officeDocument/2006/relationships/hyperlink" Target="https://twitter.com/auto_reisen/status/803947328851865601" TargetMode="External"/><Relationship Id="rId2972" Type="http://schemas.openxmlformats.org/officeDocument/2006/relationships/hyperlink" Target="https://twitter.com/IMAPhoto/status/804738787976839168" TargetMode="External"/><Relationship Id="rId1675" Type="http://schemas.openxmlformats.org/officeDocument/2006/relationships/hyperlink" Target="https://pbs.twimg.com/profile_images/731824986965594112/1_vJDvBr_normal.jpg" TargetMode="External"/><Relationship Id="rId4701" Type="http://schemas.openxmlformats.org/officeDocument/2006/relationships/hyperlink" Target="https://pbs.twimg.com/profile_images/740323985464791040/T39v2QQu_normal.png" TargetMode="External"/><Relationship Id="rId1676" Type="http://schemas.openxmlformats.org/officeDocument/2006/relationships/hyperlink" Target="https://twitter.com/jackiejcollins" TargetMode="External"/><Relationship Id="rId4700" Type="http://schemas.openxmlformats.org/officeDocument/2006/relationships/hyperlink" Target="https://twitter.com/Cristalhia/status/805924284996681729" TargetMode="External"/><Relationship Id="rId1677" Type="http://schemas.openxmlformats.org/officeDocument/2006/relationships/hyperlink" Target="https://twitter.com/jackiejcollins/status/803963155944767488" TargetMode="External"/><Relationship Id="rId4703" Type="http://schemas.openxmlformats.org/officeDocument/2006/relationships/hyperlink" Target="https://twitter.com/javier_e_br/status/805939326504890369" TargetMode="External"/><Relationship Id="rId1678" Type="http://schemas.openxmlformats.org/officeDocument/2006/relationships/hyperlink" Target="https://pbs.twimg.com/profile_images/651994770932236288/b0IycVz9_normal.jpg" TargetMode="External"/><Relationship Id="rId4702" Type="http://schemas.openxmlformats.org/officeDocument/2006/relationships/hyperlink" Target="https://twitter.com/javier_e_br" TargetMode="External"/><Relationship Id="rId1679" Type="http://schemas.openxmlformats.org/officeDocument/2006/relationships/hyperlink" Target="https://twitter.com/auto_reisen" TargetMode="External"/><Relationship Id="rId4705" Type="http://schemas.openxmlformats.org/officeDocument/2006/relationships/hyperlink" Target="https://twitter.com/MatthewHirtes" TargetMode="External"/><Relationship Id="rId4704" Type="http://schemas.openxmlformats.org/officeDocument/2006/relationships/hyperlink" Target="https://pbs.twimg.com/profile_images/782870651996692480/6jjashki_normal.jpg" TargetMode="External"/><Relationship Id="rId4707" Type="http://schemas.openxmlformats.org/officeDocument/2006/relationships/hyperlink" Target="https://pbs.twimg.com/profile_images/2882758712/12b371fa0215f5747eecc910e918ee79_normal.jpeg" TargetMode="External"/><Relationship Id="rId4706" Type="http://schemas.openxmlformats.org/officeDocument/2006/relationships/hyperlink" Target="https://twitter.com/MatthewHirtes/status/805947459260260356" TargetMode="External"/><Relationship Id="rId4709" Type="http://schemas.openxmlformats.org/officeDocument/2006/relationships/hyperlink" Target="https://twitter.com/AirportLayover/status/805947746049888256" TargetMode="External"/><Relationship Id="rId4708" Type="http://schemas.openxmlformats.org/officeDocument/2006/relationships/hyperlink" Target="https://twitter.com/AirportLayover" TargetMode="External"/><Relationship Id="rId849" Type="http://schemas.openxmlformats.org/officeDocument/2006/relationships/hyperlink" Target="https://twitter.com/MiRiconcito/status/803329301689012224" TargetMode="External"/><Relationship Id="rId844" Type="http://schemas.openxmlformats.org/officeDocument/2006/relationships/hyperlink" Target="https://pbs.twimg.com/profile_images/593861736261939201/5IpELztZ_normal.jpg" TargetMode="External"/><Relationship Id="rId843" Type="http://schemas.openxmlformats.org/officeDocument/2006/relationships/hyperlink" Target="https://twitter.com/WilfBen/status/803329054912946176" TargetMode="External"/><Relationship Id="rId842" Type="http://schemas.openxmlformats.org/officeDocument/2006/relationships/hyperlink" Target="https://twitter.com/WilfBen" TargetMode="External"/><Relationship Id="rId841" Type="http://schemas.openxmlformats.org/officeDocument/2006/relationships/hyperlink" Target="https://pbs.twimg.com/profile_images/754960714704584704/14dQxsF8_normal.jpg" TargetMode="External"/><Relationship Id="rId848" Type="http://schemas.openxmlformats.org/officeDocument/2006/relationships/hyperlink" Target="https://twitter.com/MiRiconcito" TargetMode="External"/><Relationship Id="rId847" Type="http://schemas.openxmlformats.org/officeDocument/2006/relationships/hyperlink" Target="https://pbs.twimg.com/profile_images/722404682702970881/l80CBFLg_normal.jpg" TargetMode="External"/><Relationship Id="rId846" Type="http://schemas.openxmlformats.org/officeDocument/2006/relationships/hyperlink" Target="https://twitter.com/mmencas/status/803329174421336066" TargetMode="External"/><Relationship Id="rId845" Type="http://schemas.openxmlformats.org/officeDocument/2006/relationships/hyperlink" Target="https://twitter.com/mmencas" TargetMode="External"/><Relationship Id="rId1670" Type="http://schemas.openxmlformats.org/officeDocument/2006/relationships/hyperlink" Target="https://twitter.com/Johnalanpick" TargetMode="External"/><Relationship Id="rId840" Type="http://schemas.openxmlformats.org/officeDocument/2006/relationships/hyperlink" Target="https://twitter.com/CanaryIslandsEN/status/803328871022166016" TargetMode="External"/><Relationship Id="rId1671" Type="http://schemas.openxmlformats.org/officeDocument/2006/relationships/hyperlink" Target="https://twitter.com/Johnalanpick/status/803961920906620930" TargetMode="External"/><Relationship Id="rId1672" Type="http://schemas.openxmlformats.org/officeDocument/2006/relationships/hyperlink" Target="https://pbs.twimg.com/profile_images/721987658449305600/1WmSYuM-_normal.jpg" TargetMode="External"/><Relationship Id="rId1673" Type="http://schemas.openxmlformats.org/officeDocument/2006/relationships/hyperlink" Target="https://twitter.com/LuxuryCanarias" TargetMode="External"/><Relationship Id="rId1674" Type="http://schemas.openxmlformats.org/officeDocument/2006/relationships/hyperlink" Target="https://twitter.com/LuxuryCanarias/status/803962391520284672" TargetMode="External"/><Relationship Id="rId1664" Type="http://schemas.openxmlformats.org/officeDocument/2006/relationships/hyperlink" Target="https://twitter.com/rossylsd" TargetMode="External"/><Relationship Id="rId2995" Type="http://schemas.openxmlformats.org/officeDocument/2006/relationships/hyperlink" Target="https://twitter.com/landais_cedric" TargetMode="External"/><Relationship Id="rId1665" Type="http://schemas.openxmlformats.org/officeDocument/2006/relationships/hyperlink" Target="https://twitter.com/rossylsd/status/803953623336124416" TargetMode="External"/><Relationship Id="rId2996" Type="http://schemas.openxmlformats.org/officeDocument/2006/relationships/hyperlink" Target="https://twitter.com/landais_cedric/status/804747595826495488" TargetMode="External"/><Relationship Id="rId1666" Type="http://schemas.openxmlformats.org/officeDocument/2006/relationships/hyperlink" Target="https://pbs.twimg.com/profile_images/538167745058455552/QkUXCdoQ_normal.jpeg" TargetMode="External"/><Relationship Id="rId2997" Type="http://schemas.openxmlformats.org/officeDocument/2006/relationships/hyperlink" Target="https://pbs.twimg.com/profile_images/627954775292813312/-TFAguti_normal.jpg" TargetMode="External"/><Relationship Id="rId1667" Type="http://schemas.openxmlformats.org/officeDocument/2006/relationships/hyperlink" Target="https://twitter.com/diveniki" TargetMode="External"/><Relationship Id="rId2998" Type="http://schemas.openxmlformats.org/officeDocument/2006/relationships/hyperlink" Target="https://twitter.com/didimex1111" TargetMode="External"/><Relationship Id="rId1668" Type="http://schemas.openxmlformats.org/officeDocument/2006/relationships/hyperlink" Target="https://twitter.com/diveniki/status/803955688468807680" TargetMode="External"/><Relationship Id="rId2999" Type="http://schemas.openxmlformats.org/officeDocument/2006/relationships/hyperlink" Target="https://twitter.com/didimex1111/status/804750171645087744" TargetMode="External"/><Relationship Id="rId1669" Type="http://schemas.openxmlformats.org/officeDocument/2006/relationships/hyperlink" Target="https://pbs.twimg.com/profile_images/764390664142454785/QRDRzILj_normal.jpg" TargetMode="External"/><Relationship Id="rId839" Type="http://schemas.openxmlformats.org/officeDocument/2006/relationships/hyperlink" Target="https://twitter.com/CanaryIslandsEN" TargetMode="External"/><Relationship Id="rId838" Type="http://schemas.openxmlformats.org/officeDocument/2006/relationships/hyperlink" Target="https://pbs.twimg.com/profile_images/754960714704584704/14dQxsF8_normal.jpg" TargetMode="External"/><Relationship Id="rId833" Type="http://schemas.openxmlformats.org/officeDocument/2006/relationships/hyperlink" Target="https://twitter.com/enduriaholidays" TargetMode="External"/><Relationship Id="rId832" Type="http://schemas.openxmlformats.org/officeDocument/2006/relationships/hyperlink" Target="https://pbs.twimg.com/profile_images/754960714704584704/14dQxsF8_normal.jpg" TargetMode="External"/><Relationship Id="rId831" Type="http://schemas.openxmlformats.org/officeDocument/2006/relationships/hyperlink" Target="https://twitter.com/CanaryIslandsEN/status/803327104528109568" TargetMode="External"/><Relationship Id="rId830" Type="http://schemas.openxmlformats.org/officeDocument/2006/relationships/hyperlink" Target="https://twitter.com/CanaryIslandsEN" TargetMode="External"/><Relationship Id="rId837" Type="http://schemas.openxmlformats.org/officeDocument/2006/relationships/hyperlink" Target="https://twitter.com/CanaryIslandsEN/status/803328725865611264" TargetMode="External"/><Relationship Id="rId836" Type="http://schemas.openxmlformats.org/officeDocument/2006/relationships/hyperlink" Target="https://twitter.com/CanaryIslandsEN" TargetMode="External"/><Relationship Id="rId835" Type="http://schemas.openxmlformats.org/officeDocument/2006/relationships/hyperlink" Target="https://pbs.twimg.com/profile_images/726026649356128258/xCSaP1IW_normal.jpg" TargetMode="External"/><Relationship Id="rId834" Type="http://schemas.openxmlformats.org/officeDocument/2006/relationships/hyperlink" Target="https://twitter.com/enduriaholidays/status/803327680498270209" TargetMode="External"/><Relationship Id="rId2990" Type="http://schemas.openxmlformats.org/officeDocument/2006/relationships/hyperlink" Target="https://twitter.com/decarlo_alfonso/status/804745269778653185" TargetMode="External"/><Relationship Id="rId1660" Type="http://schemas.openxmlformats.org/officeDocument/2006/relationships/hyperlink" Target="https://pbs.twimg.com/profile_images/544142152201408513/Uu6dGgSu_normal.jpeg" TargetMode="External"/><Relationship Id="rId2991" Type="http://schemas.openxmlformats.org/officeDocument/2006/relationships/hyperlink" Target="https://pbs.twimg.com/profile_images/3612684335/955ff04779fc6c18e4bd6a8b11748a86_normal.jpeg" TargetMode="External"/><Relationship Id="rId1661" Type="http://schemas.openxmlformats.org/officeDocument/2006/relationships/hyperlink" Target="https://twitter.com/erikabotelho" TargetMode="External"/><Relationship Id="rId2992" Type="http://schemas.openxmlformats.org/officeDocument/2006/relationships/hyperlink" Target="https://twitter.com/tlgfocus" TargetMode="External"/><Relationship Id="rId1662" Type="http://schemas.openxmlformats.org/officeDocument/2006/relationships/hyperlink" Target="https://twitter.com/erikabotelho/status/803953476267114496" TargetMode="External"/><Relationship Id="rId2993" Type="http://schemas.openxmlformats.org/officeDocument/2006/relationships/hyperlink" Target="https://twitter.com/tlgfocus/status/804747008758185984" TargetMode="External"/><Relationship Id="rId1663" Type="http://schemas.openxmlformats.org/officeDocument/2006/relationships/hyperlink" Target="https://pbs.twimg.com/profile_images/747889748593651713/FoAKWdyA_normal.jpg" TargetMode="External"/><Relationship Id="rId2994" Type="http://schemas.openxmlformats.org/officeDocument/2006/relationships/hyperlink" Target="https://pbs.twimg.com/profile_images/598112763890823168/Lfk5ONzs_normal.jpg" TargetMode="External"/><Relationship Id="rId2148" Type="http://schemas.openxmlformats.org/officeDocument/2006/relationships/hyperlink" Target="https://twitter.com/AlexBramwellGC/status/804276602431504385" TargetMode="External"/><Relationship Id="rId2149" Type="http://schemas.openxmlformats.org/officeDocument/2006/relationships/hyperlink" Target="https://pbs.twimg.com/profile_images/657142929920794624/Z8UQpOEp_normal.jpg" TargetMode="External"/><Relationship Id="rId3479" Type="http://schemas.openxmlformats.org/officeDocument/2006/relationships/hyperlink" Target="https://pbs.twimg.com/profile_images/742026136801161217/evJgSUlG_normal.jpg" TargetMode="External"/><Relationship Id="rId3470" Type="http://schemas.openxmlformats.org/officeDocument/2006/relationships/hyperlink" Target="https://pbs.twimg.com/profile_images/551951570259415041/ZDsWTHvZ_normal.jpeg" TargetMode="External"/><Relationship Id="rId2140" Type="http://schemas.openxmlformats.org/officeDocument/2006/relationships/hyperlink" Target="https://pbs.twimg.com/profile_images/517428129367724032/xGyXcDLg_normal.jpeg" TargetMode="External"/><Relationship Id="rId3472" Type="http://schemas.openxmlformats.org/officeDocument/2006/relationships/hyperlink" Target="https://twitter.com/Michelnv16/status/805146757017505794" TargetMode="External"/><Relationship Id="rId2141" Type="http://schemas.openxmlformats.org/officeDocument/2006/relationships/hyperlink" Target="https://twitter.com/DaniQSTrail" TargetMode="External"/><Relationship Id="rId3471" Type="http://schemas.openxmlformats.org/officeDocument/2006/relationships/hyperlink" Target="https://twitter.com/Michelnv16" TargetMode="External"/><Relationship Id="rId2142" Type="http://schemas.openxmlformats.org/officeDocument/2006/relationships/hyperlink" Target="https://twitter.com/DaniQSTrail/status/804265540151808000" TargetMode="External"/><Relationship Id="rId3474" Type="http://schemas.openxmlformats.org/officeDocument/2006/relationships/hyperlink" Target="https://twitter.com/capricolor" TargetMode="External"/><Relationship Id="rId2143" Type="http://schemas.openxmlformats.org/officeDocument/2006/relationships/hyperlink" Target="https://pbs.twimg.com/profile_images/3406518046/925ba13d0c1c96b119d41ca18a84f192_normal.jpeg" TargetMode="External"/><Relationship Id="rId3473" Type="http://schemas.openxmlformats.org/officeDocument/2006/relationships/hyperlink" Target="https://pbs.twimg.com/profile_images/737371655736045569/F5pFmOV9_normal.jpg" TargetMode="External"/><Relationship Id="rId2144" Type="http://schemas.openxmlformats.org/officeDocument/2006/relationships/hyperlink" Target="https://twitter.com/rickfoliva" TargetMode="External"/><Relationship Id="rId3476" Type="http://schemas.openxmlformats.org/officeDocument/2006/relationships/hyperlink" Target="https://pbs.twimg.com/profile_images/746048628872056834/XcuSH3eQ_normal.jpg" TargetMode="External"/><Relationship Id="rId2145" Type="http://schemas.openxmlformats.org/officeDocument/2006/relationships/hyperlink" Target="https://twitter.com/rickfoliva/status/804265590630338560" TargetMode="External"/><Relationship Id="rId3475" Type="http://schemas.openxmlformats.org/officeDocument/2006/relationships/hyperlink" Target="https://twitter.com/capricolor/status/805147479016673281" TargetMode="External"/><Relationship Id="rId2146" Type="http://schemas.openxmlformats.org/officeDocument/2006/relationships/hyperlink" Target="https://pbs.twimg.com/profile_images/731471241282871297/LE7uB3IZ_normal.jpg" TargetMode="External"/><Relationship Id="rId3478" Type="http://schemas.openxmlformats.org/officeDocument/2006/relationships/hyperlink" Target="https://twitter.com/RakheeV/status/805147622851813376" TargetMode="External"/><Relationship Id="rId2147" Type="http://schemas.openxmlformats.org/officeDocument/2006/relationships/hyperlink" Target="https://twitter.com/AlexBramwellGC" TargetMode="External"/><Relationship Id="rId3477" Type="http://schemas.openxmlformats.org/officeDocument/2006/relationships/hyperlink" Target="https://twitter.com/RakheeV" TargetMode="External"/><Relationship Id="rId2137" Type="http://schemas.openxmlformats.org/officeDocument/2006/relationships/hyperlink" Target="https://pbs.twimg.com/profile_images/633973215384223745/lkA98fRS_normal.jpg" TargetMode="External"/><Relationship Id="rId3469" Type="http://schemas.openxmlformats.org/officeDocument/2006/relationships/hyperlink" Target="https://twitter.com/amerfarid10/status/805142763205443584" TargetMode="External"/><Relationship Id="rId2138" Type="http://schemas.openxmlformats.org/officeDocument/2006/relationships/hyperlink" Target="https://twitter.com/juoople" TargetMode="External"/><Relationship Id="rId3468" Type="http://schemas.openxmlformats.org/officeDocument/2006/relationships/hyperlink" Target="https://twitter.com/amerfarid10" TargetMode="External"/><Relationship Id="rId4799" Type="http://schemas.openxmlformats.org/officeDocument/2006/relationships/hyperlink" Target="https://twitter.com/holyber/status/806081662534778880" TargetMode="External"/><Relationship Id="rId2139" Type="http://schemas.openxmlformats.org/officeDocument/2006/relationships/hyperlink" Target="https://twitter.com/juoople/status/804264602267774976" TargetMode="External"/><Relationship Id="rId4790" Type="http://schemas.openxmlformats.org/officeDocument/2006/relationships/hyperlink" Target="https://twitter.com/MokaGonzalez_/status/806081063655247872" TargetMode="External"/><Relationship Id="rId3461" Type="http://schemas.openxmlformats.org/officeDocument/2006/relationships/hyperlink" Target="https://pbs.twimg.com/profile_images/705869837671780353/P70Dz1Y2_normal.jpg" TargetMode="External"/><Relationship Id="rId4792" Type="http://schemas.openxmlformats.org/officeDocument/2006/relationships/hyperlink" Target="https://twitter.com/CositasCanarias" TargetMode="External"/><Relationship Id="rId2130" Type="http://schemas.openxmlformats.org/officeDocument/2006/relationships/hyperlink" Target="https://twitter.com/swisshop4uEs/status/804263970316095488" TargetMode="External"/><Relationship Id="rId3460" Type="http://schemas.openxmlformats.org/officeDocument/2006/relationships/hyperlink" Target="https://twitter.com/GcMoji/status/805139163058151429" TargetMode="External"/><Relationship Id="rId4791" Type="http://schemas.openxmlformats.org/officeDocument/2006/relationships/hyperlink" Target="https://pbs.twimg.com/profile_images/805759744292122624/GVNyopcr_normal.jpg" TargetMode="External"/><Relationship Id="rId2131" Type="http://schemas.openxmlformats.org/officeDocument/2006/relationships/hyperlink" Target="https://pbs.twimg.com/profile_images/378800000213382003/4f562b59f92995b884d2d440f71fc5ce_normal.png" TargetMode="External"/><Relationship Id="rId3463" Type="http://schemas.openxmlformats.org/officeDocument/2006/relationships/hyperlink" Target="https://twitter.com/swisshop4uEs/status/805139879785009152" TargetMode="External"/><Relationship Id="rId4794" Type="http://schemas.openxmlformats.org/officeDocument/2006/relationships/hyperlink" Target="https://pbs.twimg.com/profile_images/722353442321260544/juVRAeF1_normal.jpg" TargetMode="External"/><Relationship Id="rId2132" Type="http://schemas.openxmlformats.org/officeDocument/2006/relationships/hyperlink" Target="https://twitter.com/juoople" TargetMode="External"/><Relationship Id="rId3462" Type="http://schemas.openxmlformats.org/officeDocument/2006/relationships/hyperlink" Target="https://twitter.com/swisshop4uEs" TargetMode="External"/><Relationship Id="rId4793" Type="http://schemas.openxmlformats.org/officeDocument/2006/relationships/hyperlink" Target="https://twitter.com/CositasCanarias/status/806081304202715136" TargetMode="External"/><Relationship Id="rId2133" Type="http://schemas.openxmlformats.org/officeDocument/2006/relationships/hyperlink" Target="https://twitter.com/juoople/status/804264530440294400" TargetMode="External"/><Relationship Id="rId3465" Type="http://schemas.openxmlformats.org/officeDocument/2006/relationships/hyperlink" Target="https://twitter.com/holyber" TargetMode="External"/><Relationship Id="rId4796" Type="http://schemas.openxmlformats.org/officeDocument/2006/relationships/hyperlink" Target="https://twitter.com/CositasCanarias/status/806081456967708672" TargetMode="External"/><Relationship Id="rId2134" Type="http://schemas.openxmlformats.org/officeDocument/2006/relationships/hyperlink" Target="https://pbs.twimg.com/profile_images/517428129367724032/xGyXcDLg_normal.jpeg" TargetMode="External"/><Relationship Id="rId3464" Type="http://schemas.openxmlformats.org/officeDocument/2006/relationships/hyperlink" Target="https://pbs.twimg.com/profile_images/378800000213382003/4f562b59f92995b884d2d440f71fc5ce_normal.png" TargetMode="External"/><Relationship Id="rId4795" Type="http://schemas.openxmlformats.org/officeDocument/2006/relationships/hyperlink" Target="https://twitter.com/CositasCanarias" TargetMode="External"/><Relationship Id="rId2135" Type="http://schemas.openxmlformats.org/officeDocument/2006/relationships/hyperlink" Target="https://twitter.com/FilmCheatGuide" TargetMode="External"/><Relationship Id="rId3467" Type="http://schemas.openxmlformats.org/officeDocument/2006/relationships/hyperlink" Target="https://pbs.twimg.com/profile_images/475644614448123904/FiCl2pX4_normal.jpeg" TargetMode="External"/><Relationship Id="rId4798" Type="http://schemas.openxmlformats.org/officeDocument/2006/relationships/hyperlink" Target="https://twitter.com/holyber" TargetMode="External"/><Relationship Id="rId2136" Type="http://schemas.openxmlformats.org/officeDocument/2006/relationships/hyperlink" Target="https://twitter.com/FilmCheatGuide/status/804264599369486338" TargetMode="External"/><Relationship Id="rId3466" Type="http://schemas.openxmlformats.org/officeDocument/2006/relationships/hyperlink" Target="https://twitter.com/holyber/status/805141573663068162" TargetMode="External"/><Relationship Id="rId4797" Type="http://schemas.openxmlformats.org/officeDocument/2006/relationships/hyperlink" Target="https://pbs.twimg.com/profile_images/722353442321260544/juVRAeF1_normal.jpg" TargetMode="External"/><Relationship Id="rId3490" Type="http://schemas.openxmlformats.org/officeDocument/2006/relationships/hyperlink" Target="https://twitter.com/Salamanca_SSV/status/805159523757518848" TargetMode="External"/><Relationship Id="rId2160" Type="http://schemas.openxmlformats.org/officeDocument/2006/relationships/hyperlink" Target="https://twitter.com/michellejsutton/status/804288897907703808" TargetMode="External"/><Relationship Id="rId3492" Type="http://schemas.openxmlformats.org/officeDocument/2006/relationships/hyperlink" Target="https://twitter.com/NoamBouzaglou" TargetMode="External"/><Relationship Id="rId2161" Type="http://schemas.openxmlformats.org/officeDocument/2006/relationships/hyperlink" Target="https://pbs.twimg.com/profile_images/775549031116181508/y7W-mRR7_normal.jpg" TargetMode="External"/><Relationship Id="rId3491" Type="http://schemas.openxmlformats.org/officeDocument/2006/relationships/hyperlink" Target="https://pbs.twimg.com/profile_images/3461850627/70f1c6c744e939681691ad3a09d64375_normal.png" TargetMode="External"/><Relationship Id="rId2162" Type="http://schemas.openxmlformats.org/officeDocument/2006/relationships/hyperlink" Target="https://twitter.com/HotelEscuelaSB" TargetMode="External"/><Relationship Id="rId3494" Type="http://schemas.openxmlformats.org/officeDocument/2006/relationships/hyperlink" Target="https://pbs.twimg.com/profile_images/745452670001942530/QO1UzIUL_normal.jpg" TargetMode="External"/><Relationship Id="rId2163" Type="http://schemas.openxmlformats.org/officeDocument/2006/relationships/hyperlink" Target="https://twitter.com/HotelEscuelaSB/status/804292337769779200" TargetMode="External"/><Relationship Id="rId3493" Type="http://schemas.openxmlformats.org/officeDocument/2006/relationships/hyperlink" Target="https://twitter.com/NoamBouzaglou/status/805159998141714432" TargetMode="External"/><Relationship Id="rId2164" Type="http://schemas.openxmlformats.org/officeDocument/2006/relationships/hyperlink" Target="https://pbs.twimg.com/profile_images/792036201695940608/ZYEcPM7L_normal.jpg" TargetMode="External"/><Relationship Id="rId3496" Type="http://schemas.openxmlformats.org/officeDocument/2006/relationships/hyperlink" Target="https://twitter.com/TenerifeHotel1/status/805161064455356416" TargetMode="External"/><Relationship Id="rId2165" Type="http://schemas.openxmlformats.org/officeDocument/2006/relationships/hyperlink" Target="https://twitter.com/LorraineBlack90" TargetMode="External"/><Relationship Id="rId3495" Type="http://schemas.openxmlformats.org/officeDocument/2006/relationships/hyperlink" Target="https://twitter.com/TenerifeHotel1" TargetMode="External"/><Relationship Id="rId2166" Type="http://schemas.openxmlformats.org/officeDocument/2006/relationships/hyperlink" Target="https://twitter.com/LorraineBlack90/status/804295375104409601" TargetMode="External"/><Relationship Id="rId3498" Type="http://schemas.openxmlformats.org/officeDocument/2006/relationships/hyperlink" Target="https://twitter.com/Lanzarote3C" TargetMode="External"/><Relationship Id="rId2167" Type="http://schemas.openxmlformats.org/officeDocument/2006/relationships/hyperlink" Target="https://pbs.twimg.com/profile_images/798065878579478528/j16RUmCa_normal.jpg" TargetMode="External"/><Relationship Id="rId3497" Type="http://schemas.openxmlformats.org/officeDocument/2006/relationships/hyperlink" Target="https://pbs.twimg.com/profile_images/672166617074155521/UKEAS6o6_normal.png" TargetMode="External"/><Relationship Id="rId2168" Type="http://schemas.openxmlformats.org/officeDocument/2006/relationships/hyperlink" Target="https://twitter.com/UCAmIIWAAL" TargetMode="External"/><Relationship Id="rId2169" Type="http://schemas.openxmlformats.org/officeDocument/2006/relationships/hyperlink" Target="https://twitter.com/UCAmIIWAAL/status/804296039100465152" TargetMode="External"/><Relationship Id="rId3499" Type="http://schemas.openxmlformats.org/officeDocument/2006/relationships/hyperlink" Target="http://Lanzarote3.com" TargetMode="External"/><Relationship Id="rId2159" Type="http://schemas.openxmlformats.org/officeDocument/2006/relationships/hyperlink" Target="https://twitter.com/michellejsutton" TargetMode="External"/><Relationship Id="rId3481" Type="http://schemas.openxmlformats.org/officeDocument/2006/relationships/hyperlink" Target="https://twitter.com/Sunbonoo/status/805157215149719557" TargetMode="External"/><Relationship Id="rId2150" Type="http://schemas.openxmlformats.org/officeDocument/2006/relationships/hyperlink" Target="https://twitter.com/ShesANatural_" TargetMode="External"/><Relationship Id="rId3480" Type="http://schemas.openxmlformats.org/officeDocument/2006/relationships/hyperlink" Target="https://twitter.com/Sunbonoo" TargetMode="External"/><Relationship Id="rId2151" Type="http://schemas.openxmlformats.org/officeDocument/2006/relationships/hyperlink" Target="https://twitter.com/ShesANatural_/status/804278055673872384" TargetMode="External"/><Relationship Id="rId3483" Type="http://schemas.openxmlformats.org/officeDocument/2006/relationships/hyperlink" Target="https://twitter.com/gord_collins" TargetMode="External"/><Relationship Id="rId2152" Type="http://schemas.openxmlformats.org/officeDocument/2006/relationships/hyperlink" Target="https://pbs.twimg.com/profile_images/764510034894188546/aWSmGNtQ_normal.jpg" TargetMode="External"/><Relationship Id="rId3482" Type="http://schemas.openxmlformats.org/officeDocument/2006/relationships/hyperlink" Target="https://pbs.twimg.com/profile_images/2120421138/logo_normal.jpg" TargetMode="External"/><Relationship Id="rId2153" Type="http://schemas.openxmlformats.org/officeDocument/2006/relationships/hyperlink" Target="https://twitter.com/TheCanaryNews" TargetMode="External"/><Relationship Id="rId3485" Type="http://schemas.openxmlformats.org/officeDocument/2006/relationships/hyperlink" Target="https://pbs.twimg.com/profile_images/521795841455968257/IkwW2VCA_normal.jpeg" TargetMode="External"/><Relationship Id="rId2154" Type="http://schemas.openxmlformats.org/officeDocument/2006/relationships/hyperlink" Target="https://twitter.com/TheCanaryNews/status/804279329165377536" TargetMode="External"/><Relationship Id="rId3484" Type="http://schemas.openxmlformats.org/officeDocument/2006/relationships/hyperlink" Target="https://twitter.com/gord_collins/status/805157537167380481" TargetMode="External"/><Relationship Id="rId2155" Type="http://schemas.openxmlformats.org/officeDocument/2006/relationships/hyperlink" Target="https://pbs.twimg.com/profile_images/422427750876463104/qmjyKloM_normal.png" TargetMode="External"/><Relationship Id="rId3487" Type="http://schemas.openxmlformats.org/officeDocument/2006/relationships/hyperlink" Target="https://twitter.com/arieabekasis/status/805158586863198208" TargetMode="External"/><Relationship Id="rId2156" Type="http://schemas.openxmlformats.org/officeDocument/2006/relationships/hyperlink" Target="https://twitter.com/lapalma24" TargetMode="External"/><Relationship Id="rId3486" Type="http://schemas.openxmlformats.org/officeDocument/2006/relationships/hyperlink" Target="https://twitter.com/arieabekasis" TargetMode="External"/><Relationship Id="rId2157" Type="http://schemas.openxmlformats.org/officeDocument/2006/relationships/hyperlink" Target="https://twitter.com/lapalma24/status/804288148503150592" TargetMode="External"/><Relationship Id="rId3489" Type="http://schemas.openxmlformats.org/officeDocument/2006/relationships/hyperlink" Target="https://twitter.com/Salamanca_SSV" TargetMode="External"/><Relationship Id="rId2158" Type="http://schemas.openxmlformats.org/officeDocument/2006/relationships/hyperlink" Target="https://pbs.twimg.com/profile_images/3722341784/fa39d69a57bac26ec686d40f2bbf96ad_normal.jpeg" TargetMode="External"/><Relationship Id="rId3488" Type="http://schemas.openxmlformats.org/officeDocument/2006/relationships/hyperlink" Target="https://pbs.twimg.com/profile_images/755153567720181760/fEeWfO94_normal.jpg" TargetMode="External"/><Relationship Id="rId2104" Type="http://schemas.openxmlformats.org/officeDocument/2006/relationships/hyperlink" Target="https://pbs.twimg.com/profile_images/725336350874951681/F-1Biyvs_normal.jpg" TargetMode="External"/><Relationship Id="rId3436" Type="http://schemas.openxmlformats.org/officeDocument/2006/relationships/hyperlink" Target="https://twitter.com/fafi1000rr/status/805121581630582785" TargetMode="External"/><Relationship Id="rId4767" Type="http://schemas.openxmlformats.org/officeDocument/2006/relationships/hyperlink" Target="https://pbs.twimg.com/profile_images/694439157893107712/KkG57Zcq_normal.jpg" TargetMode="External"/><Relationship Id="rId2105" Type="http://schemas.openxmlformats.org/officeDocument/2006/relationships/hyperlink" Target="https://twitter.com/livixen" TargetMode="External"/><Relationship Id="rId3435" Type="http://schemas.openxmlformats.org/officeDocument/2006/relationships/hyperlink" Target="https://twitter.com/fafi1000rr" TargetMode="External"/><Relationship Id="rId4766" Type="http://schemas.openxmlformats.org/officeDocument/2006/relationships/hyperlink" Target="https://twitter.com/_TenDive/status/806072036309291008" TargetMode="External"/><Relationship Id="rId2106" Type="http://schemas.openxmlformats.org/officeDocument/2006/relationships/hyperlink" Target="https://twitter.com/livixen/status/804257223732056064" TargetMode="External"/><Relationship Id="rId3438" Type="http://schemas.openxmlformats.org/officeDocument/2006/relationships/hyperlink" Target="https://twitter.com/Sr_DONE" TargetMode="External"/><Relationship Id="rId4769" Type="http://schemas.openxmlformats.org/officeDocument/2006/relationships/hyperlink" Target="https://twitter.com/lapalma24/status/806074922191749120" TargetMode="External"/><Relationship Id="rId2107" Type="http://schemas.openxmlformats.org/officeDocument/2006/relationships/hyperlink" Target="https://pbs.twimg.com/profile_images/696497801413402625/TsBaZIoV_normal.jpg" TargetMode="External"/><Relationship Id="rId3437" Type="http://schemas.openxmlformats.org/officeDocument/2006/relationships/hyperlink" Target="https://pbs.twimg.com/profile_images/668716407790661632/0XWyIvzZ_normal.jpg" TargetMode="External"/><Relationship Id="rId4768" Type="http://schemas.openxmlformats.org/officeDocument/2006/relationships/hyperlink" Target="https://twitter.com/lapalma24" TargetMode="External"/><Relationship Id="rId2108" Type="http://schemas.openxmlformats.org/officeDocument/2006/relationships/hyperlink" Target="https://twitter.com/inmo_roca" TargetMode="External"/><Relationship Id="rId2109" Type="http://schemas.openxmlformats.org/officeDocument/2006/relationships/hyperlink" Target="https://twitter.com/inmo_roca/status/804257991327436800" TargetMode="External"/><Relationship Id="rId3439" Type="http://schemas.openxmlformats.org/officeDocument/2006/relationships/hyperlink" Target="https://twitter.com/Sr_DONE/status/805123701746372612" TargetMode="External"/><Relationship Id="rId3430" Type="http://schemas.openxmlformats.org/officeDocument/2006/relationships/hyperlink" Target="https://twitter.com/raffisweb/status/805120127142400000" TargetMode="External"/><Relationship Id="rId4761" Type="http://schemas.openxmlformats.org/officeDocument/2006/relationships/hyperlink" Target="https://pbs.twimg.com/profile_images/560310747914199040/HR4MGmME_normal.jpeg" TargetMode="External"/><Relationship Id="rId4760" Type="http://schemas.openxmlformats.org/officeDocument/2006/relationships/hyperlink" Target="https://twitter.com/ScubaFlorida/status/806066088475787265" TargetMode="External"/><Relationship Id="rId2100" Type="http://schemas.openxmlformats.org/officeDocument/2006/relationships/hyperlink" Target="https://twitter.com/AlexBramwellGC/status/804256256219299841" TargetMode="External"/><Relationship Id="rId3432" Type="http://schemas.openxmlformats.org/officeDocument/2006/relationships/hyperlink" Target="https://twitter.com/violetapena1" TargetMode="External"/><Relationship Id="rId4763" Type="http://schemas.openxmlformats.org/officeDocument/2006/relationships/hyperlink" Target="https://twitter.com/_TenDive/status/806071568325550080" TargetMode="External"/><Relationship Id="rId2101" Type="http://schemas.openxmlformats.org/officeDocument/2006/relationships/hyperlink" Target="https://pbs.twimg.com/profile_images/657142929920794624/Z8UQpOEp_normal.jpg" TargetMode="External"/><Relationship Id="rId3431" Type="http://schemas.openxmlformats.org/officeDocument/2006/relationships/hyperlink" Target="https://pbs.twimg.com/profile_images/557659235945689088/ofJ0ycK1_normal.jpeg" TargetMode="External"/><Relationship Id="rId4762" Type="http://schemas.openxmlformats.org/officeDocument/2006/relationships/hyperlink" Target="https://twitter.com/_TenDive" TargetMode="External"/><Relationship Id="rId2102" Type="http://schemas.openxmlformats.org/officeDocument/2006/relationships/hyperlink" Target="https://twitter.com/inmo_roca" TargetMode="External"/><Relationship Id="rId3434" Type="http://schemas.openxmlformats.org/officeDocument/2006/relationships/hyperlink" Target="https://pbs.twimg.com/profile_images/454894085950541825/rQCk9Tgv_normal.jpeg" TargetMode="External"/><Relationship Id="rId4765" Type="http://schemas.openxmlformats.org/officeDocument/2006/relationships/hyperlink" Target="https://twitter.com/_TenDive" TargetMode="External"/><Relationship Id="rId2103" Type="http://schemas.openxmlformats.org/officeDocument/2006/relationships/hyperlink" Target="https://twitter.com/inmo_roca/status/804256832139169792" TargetMode="External"/><Relationship Id="rId3433" Type="http://schemas.openxmlformats.org/officeDocument/2006/relationships/hyperlink" Target="https://twitter.com/violetapena1/status/805120192053264385" TargetMode="External"/><Relationship Id="rId4764" Type="http://schemas.openxmlformats.org/officeDocument/2006/relationships/hyperlink" Target="https://pbs.twimg.com/profile_images/694439157893107712/KkG57Zcq_normal.jpg" TargetMode="External"/><Relationship Id="rId3425" Type="http://schemas.openxmlformats.org/officeDocument/2006/relationships/hyperlink" Target="https://pbs.twimg.com/profile_images/784730905403330560/cpdXhYxJ_normal.jpg" TargetMode="External"/><Relationship Id="rId4756" Type="http://schemas.openxmlformats.org/officeDocument/2006/relationships/hyperlink" Target="https://twitter.com/Canarywine" TargetMode="External"/><Relationship Id="rId3424" Type="http://schemas.openxmlformats.org/officeDocument/2006/relationships/hyperlink" Target="https://twitter.com/RincondeCali/status/805119288281534464" TargetMode="External"/><Relationship Id="rId4755" Type="http://schemas.openxmlformats.org/officeDocument/2006/relationships/hyperlink" Target="https://pbs.twimg.com/profile_images/694439157893107712/KkG57Zcq_normal.jpg" TargetMode="External"/><Relationship Id="rId3427" Type="http://schemas.openxmlformats.org/officeDocument/2006/relationships/hyperlink" Target="https://twitter.com/RLGieling/status/805119659481636865" TargetMode="External"/><Relationship Id="rId4758" Type="http://schemas.openxmlformats.org/officeDocument/2006/relationships/hyperlink" Target="https://pbs.twimg.com/profile_images/2720844244/4434e6eb39415dcfbf0128242e9b3137_normal.jpeg" TargetMode="External"/><Relationship Id="rId3426" Type="http://schemas.openxmlformats.org/officeDocument/2006/relationships/hyperlink" Target="https://twitter.com/RLGieling" TargetMode="External"/><Relationship Id="rId4757" Type="http://schemas.openxmlformats.org/officeDocument/2006/relationships/hyperlink" Target="https://twitter.com/Canarywine/status/806064502483652608" TargetMode="External"/><Relationship Id="rId3429" Type="http://schemas.openxmlformats.org/officeDocument/2006/relationships/hyperlink" Target="https://twitter.com/raffisweb" TargetMode="External"/><Relationship Id="rId3428" Type="http://schemas.openxmlformats.org/officeDocument/2006/relationships/hyperlink" Target="https://pbs.twimg.com/profile_images/739040004022935556/1zrwUw2h_normal.jpg" TargetMode="External"/><Relationship Id="rId4759" Type="http://schemas.openxmlformats.org/officeDocument/2006/relationships/hyperlink" Target="https://twitter.com/ScubaFlorida" TargetMode="External"/><Relationship Id="rId899" Type="http://schemas.openxmlformats.org/officeDocument/2006/relationships/hyperlink" Target="https://twitter.com/Love4AnimalsNL" TargetMode="External"/><Relationship Id="rId898" Type="http://schemas.openxmlformats.org/officeDocument/2006/relationships/hyperlink" Target="https://pbs.twimg.com/profile_images/378800000213382003/4f562b59f92995b884d2d440f71fc5ce_normal.png" TargetMode="External"/><Relationship Id="rId897" Type="http://schemas.openxmlformats.org/officeDocument/2006/relationships/hyperlink" Target="https://twitter.com/swisshop4uEs/status/803350433242681344" TargetMode="External"/><Relationship Id="rId896" Type="http://schemas.openxmlformats.org/officeDocument/2006/relationships/hyperlink" Target="https://twitter.com/swisshop4uEs" TargetMode="External"/><Relationship Id="rId891" Type="http://schemas.openxmlformats.org/officeDocument/2006/relationships/hyperlink" Target="https://twitter.com/pabloexcursions/status/803341545785139200" TargetMode="External"/><Relationship Id="rId890" Type="http://schemas.openxmlformats.org/officeDocument/2006/relationships/hyperlink" Target="https://twitter.com/pabloexcursions" TargetMode="External"/><Relationship Id="rId4750" Type="http://schemas.openxmlformats.org/officeDocument/2006/relationships/hyperlink" Target="https://twitter.com/SuneHolidays" TargetMode="External"/><Relationship Id="rId895" Type="http://schemas.openxmlformats.org/officeDocument/2006/relationships/hyperlink" Target="https://pbs.twimg.com/profile_images/796058706953768960/lG2hgqk4_normal.jpg" TargetMode="External"/><Relationship Id="rId3421" Type="http://schemas.openxmlformats.org/officeDocument/2006/relationships/hyperlink" Target="https://twitter.com/travelsaurous/status/805118773846020096" TargetMode="External"/><Relationship Id="rId4752" Type="http://schemas.openxmlformats.org/officeDocument/2006/relationships/hyperlink" Target="https://pbs.twimg.com/profile_images/686922727480029184/9ztyb32p_normal.jpg" TargetMode="External"/><Relationship Id="rId894" Type="http://schemas.openxmlformats.org/officeDocument/2006/relationships/hyperlink" Target="https://twitter.com/PepeMaciasM/status/803341618057187328" TargetMode="External"/><Relationship Id="rId3420" Type="http://schemas.openxmlformats.org/officeDocument/2006/relationships/hyperlink" Target="https://twitter.com/travelsaurous" TargetMode="External"/><Relationship Id="rId4751" Type="http://schemas.openxmlformats.org/officeDocument/2006/relationships/hyperlink" Target="https://twitter.com/SuneHolidays/status/806053066218807297" TargetMode="External"/><Relationship Id="rId893" Type="http://schemas.openxmlformats.org/officeDocument/2006/relationships/hyperlink" Target="https://twitter.com/PepeMaciasM" TargetMode="External"/><Relationship Id="rId3423" Type="http://schemas.openxmlformats.org/officeDocument/2006/relationships/hyperlink" Target="https://twitter.com/RincondeCali" TargetMode="External"/><Relationship Id="rId4754" Type="http://schemas.openxmlformats.org/officeDocument/2006/relationships/hyperlink" Target="https://twitter.com/_TenDive/status/806060152143171584" TargetMode="External"/><Relationship Id="rId892" Type="http://schemas.openxmlformats.org/officeDocument/2006/relationships/hyperlink" Target="https://pbs.twimg.com/profile_images/795287889051525121/lnv-LO1p_normal.jpg" TargetMode="External"/><Relationship Id="rId3422" Type="http://schemas.openxmlformats.org/officeDocument/2006/relationships/hyperlink" Target="https://pbs.twimg.com/profile_images/801007789334265856/Myj73CWN_normal.jpg" TargetMode="External"/><Relationship Id="rId4753" Type="http://schemas.openxmlformats.org/officeDocument/2006/relationships/hyperlink" Target="https://twitter.com/_TenDive" TargetMode="External"/><Relationship Id="rId2126" Type="http://schemas.openxmlformats.org/officeDocument/2006/relationships/hyperlink" Target="https://twitter.com/flormar4141" TargetMode="External"/><Relationship Id="rId3458" Type="http://schemas.openxmlformats.org/officeDocument/2006/relationships/hyperlink" Target="https://pbs.twimg.com/profile_images/789364630850240512/Mw90qAlM_normal.jpg" TargetMode="External"/><Relationship Id="rId4789" Type="http://schemas.openxmlformats.org/officeDocument/2006/relationships/hyperlink" Target="https://twitter.com/MokaGonzalez_" TargetMode="External"/><Relationship Id="rId2127" Type="http://schemas.openxmlformats.org/officeDocument/2006/relationships/hyperlink" Target="https://twitter.com/flormar4141/status/804263397114204160" TargetMode="External"/><Relationship Id="rId3457" Type="http://schemas.openxmlformats.org/officeDocument/2006/relationships/hyperlink" Target="https://twitter.com/paisajecanario/status/805139033202585602" TargetMode="External"/><Relationship Id="rId4788" Type="http://schemas.openxmlformats.org/officeDocument/2006/relationships/hyperlink" Target="https://pbs.twimg.com/profile_images/475644614448123904/FiCl2pX4_normal.jpeg" TargetMode="External"/><Relationship Id="rId2128" Type="http://schemas.openxmlformats.org/officeDocument/2006/relationships/hyperlink" Target="https://pbs.twimg.com/profile_images/698938993665253376/C6mN6wKo_normal.jpg" TargetMode="External"/><Relationship Id="rId2129" Type="http://schemas.openxmlformats.org/officeDocument/2006/relationships/hyperlink" Target="https://twitter.com/swisshop4uEs" TargetMode="External"/><Relationship Id="rId3459" Type="http://schemas.openxmlformats.org/officeDocument/2006/relationships/hyperlink" Target="https://twitter.com/GcMoji" TargetMode="External"/><Relationship Id="rId3450" Type="http://schemas.openxmlformats.org/officeDocument/2006/relationships/hyperlink" Target="https://twitter.com/Selhso" TargetMode="External"/><Relationship Id="rId4781" Type="http://schemas.openxmlformats.org/officeDocument/2006/relationships/hyperlink" Target="https://twitter.com/MokaGonzalez_/status/806079885789790208" TargetMode="External"/><Relationship Id="rId4780" Type="http://schemas.openxmlformats.org/officeDocument/2006/relationships/hyperlink" Target="https://twitter.com/MokaGonzalez_" TargetMode="External"/><Relationship Id="rId2120" Type="http://schemas.openxmlformats.org/officeDocument/2006/relationships/hyperlink" Target="https://twitter.com/HotelBotanico" TargetMode="External"/><Relationship Id="rId3452" Type="http://schemas.openxmlformats.org/officeDocument/2006/relationships/hyperlink" Target="https://pbs.twimg.com/profile_images/800845512836579328/cKh_5hB2_normal.jpg" TargetMode="External"/><Relationship Id="rId4783" Type="http://schemas.openxmlformats.org/officeDocument/2006/relationships/hyperlink" Target="https://twitter.com/LpaVisit" TargetMode="External"/><Relationship Id="rId2121" Type="http://schemas.openxmlformats.org/officeDocument/2006/relationships/hyperlink" Target="https://twitter.com/HotelBotanico/status/804262822226042880" TargetMode="External"/><Relationship Id="rId3451" Type="http://schemas.openxmlformats.org/officeDocument/2006/relationships/hyperlink" Target="https://twitter.com/Selhso/status/805136635906113536" TargetMode="External"/><Relationship Id="rId4782" Type="http://schemas.openxmlformats.org/officeDocument/2006/relationships/hyperlink" Target="https://pbs.twimg.com/profile_images/805759744292122624/GVNyopcr_normal.jpg" TargetMode="External"/><Relationship Id="rId2122" Type="http://schemas.openxmlformats.org/officeDocument/2006/relationships/hyperlink" Target="https://pbs.twimg.com/profile_images/713310344513503232/PrRVLGE2_normal.jpg" TargetMode="External"/><Relationship Id="rId3454" Type="http://schemas.openxmlformats.org/officeDocument/2006/relationships/hyperlink" Target="https://twitter.com/JulioAl18175505/status/805137541129240576" TargetMode="External"/><Relationship Id="rId4785" Type="http://schemas.openxmlformats.org/officeDocument/2006/relationships/hyperlink" Target="https://pbs.twimg.com/profile_images/656385242819907584/6_e-4aUc_normal.jpg" TargetMode="External"/><Relationship Id="rId2123" Type="http://schemas.openxmlformats.org/officeDocument/2006/relationships/hyperlink" Target="https://twitter.com/MMarioPhoto" TargetMode="External"/><Relationship Id="rId3453" Type="http://schemas.openxmlformats.org/officeDocument/2006/relationships/hyperlink" Target="https://twitter.com/JulioAl18175505" TargetMode="External"/><Relationship Id="rId4784" Type="http://schemas.openxmlformats.org/officeDocument/2006/relationships/hyperlink" Target="https://twitter.com/LpaVisit/status/806080153667403776" TargetMode="External"/><Relationship Id="rId2124" Type="http://schemas.openxmlformats.org/officeDocument/2006/relationships/hyperlink" Target="https://twitter.com/MMarioPhoto/status/804263190595039233" TargetMode="External"/><Relationship Id="rId3456" Type="http://schemas.openxmlformats.org/officeDocument/2006/relationships/hyperlink" Target="https://twitter.com/paisajecanario" TargetMode="External"/><Relationship Id="rId4787" Type="http://schemas.openxmlformats.org/officeDocument/2006/relationships/hyperlink" Target="https://twitter.com/holyber/status/806080705927188480" TargetMode="External"/><Relationship Id="rId2125" Type="http://schemas.openxmlformats.org/officeDocument/2006/relationships/hyperlink" Target="https://pbs.twimg.com/profile_images/795915398847856640/F-vNtsm7_normal.jpg" TargetMode="External"/><Relationship Id="rId3455" Type="http://schemas.openxmlformats.org/officeDocument/2006/relationships/hyperlink" Target="https://pbs.twimg.com/profile_images/706839494851436544/7igsf91D_normal.jpg" TargetMode="External"/><Relationship Id="rId4786" Type="http://schemas.openxmlformats.org/officeDocument/2006/relationships/hyperlink" Target="https://twitter.com/holyber" TargetMode="External"/><Relationship Id="rId2115" Type="http://schemas.openxmlformats.org/officeDocument/2006/relationships/hyperlink" Target="https://twitter.com/15Fuerteventura/status/804262202463100929" TargetMode="External"/><Relationship Id="rId3447" Type="http://schemas.openxmlformats.org/officeDocument/2006/relationships/hyperlink" Target="https://twitter.com/JulioAl18175505" TargetMode="External"/><Relationship Id="rId4778" Type="http://schemas.openxmlformats.org/officeDocument/2006/relationships/hyperlink" Target="https://twitter.com/flormar4141/status/806079474748026880" TargetMode="External"/><Relationship Id="rId2116" Type="http://schemas.openxmlformats.org/officeDocument/2006/relationships/hyperlink" Target="https://pbs.twimg.com/profile_images/1450740632/15_brand_pic_normal.jpg" TargetMode="External"/><Relationship Id="rId3446" Type="http://schemas.openxmlformats.org/officeDocument/2006/relationships/hyperlink" Target="https://pbs.twimg.com/profile_images/475644614448123904/FiCl2pX4_normal.jpeg" TargetMode="External"/><Relationship Id="rId4777" Type="http://schemas.openxmlformats.org/officeDocument/2006/relationships/hyperlink" Target="https://twitter.com/flormar4141" TargetMode="External"/><Relationship Id="rId2117" Type="http://schemas.openxmlformats.org/officeDocument/2006/relationships/hyperlink" Target="https://twitter.com/15Fuerteventura" TargetMode="External"/><Relationship Id="rId3449" Type="http://schemas.openxmlformats.org/officeDocument/2006/relationships/hyperlink" Target="https://pbs.twimg.com/profile_images/706839494851436544/7igsf91D_normal.jpg" TargetMode="External"/><Relationship Id="rId2118" Type="http://schemas.openxmlformats.org/officeDocument/2006/relationships/hyperlink" Target="https://twitter.com/15Fuerteventura/status/804262425176444928" TargetMode="External"/><Relationship Id="rId3448" Type="http://schemas.openxmlformats.org/officeDocument/2006/relationships/hyperlink" Target="https://twitter.com/JulioAl18175505/status/805136014255783936" TargetMode="External"/><Relationship Id="rId4779" Type="http://schemas.openxmlformats.org/officeDocument/2006/relationships/hyperlink" Target="https://pbs.twimg.com/profile_images/698938993665253376/C6mN6wKo_normal.jpg" TargetMode="External"/><Relationship Id="rId2119" Type="http://schemas.openxmlformats.org/officeDocument/2006/relationships/hyperlink" Target="https://pbs.twimg.com/profile_images/1450740632/15_brand_pic_normal.jpg" TargetMode="External"/><Relationship Id="rId4770" Type="http://schemas.openxmlformats.org/officeDocument/2006/relationships/hyperlink" Target="https://pbs.twimg.com/profile_images/3722341784/fa39d69a57bac26ec686d40f2bbf96ad_normal.jpeg" TargetMode="External"/><Relationship Id="rId3441" Type="http://schemas.openxmlformats.org/officeDocument/2006/relationships/hyperlink" Target="https://twitter.com/tombrendt" TargetMode="External"/><Relationship Id="rId4772" Type="http://schemas.openxmlformats.org/officeDocument/2006/relationships/hyperlink" Target="https://twitter.com/swisshop4uEs/status/806075899821047809" TargetMode="External"/><Relationship Id="rId2110" Type="http://schemas.openxmlformats.org/officeDocument/2006/relationships/hyperlink" Target="https://pbs.twimg.com/profile_images/725336350874951681/F-1Biyvs_normal.jpg" TargetMode="External"/><Relationship Id="rId3440" Type="http://schemas.openxmlformats.org/officeDocument/2006/relationships/hyperlink" Target="https://pbs.twimg.com/profile_images/800806075339571201/qxmzMAmf_normal.jpg" TargetMode="External"/><Relationship Id="rId4771" Type="http://schemas.openxmlformats.org/officeDocument/2006/relationships/hyperlink" Target="https://twitter.com/swisshop4uEs" TargetMode="External"/><Relationship Id="rId2111" Type="http://schemas.openxmlformats.org/officeDocument/2006/relationships/hyperlink" Target="https://twitter.com/vedettje" TargetMode="External"/><Relationship Id="rId3443" Type="http://schemas.openxmlformats.org/officeDocument/2006/relationships/hyperlink" Target="https://pbs.twimg.com/profile_images/691692016619642880/7RPDXl07_normal.jpg" TargetMode="External"/><Relationship Id="rId4774" Type="http://schemas.openxmlformats.org/officeDocument/2006/relationships/hyperlink" Target="https://twitter.com/WhyTenerife" TargetMode="External"/><Relationship Id="rId2112" Type="http://schemas.openxmlformats.org/officeDocument/2006/relationships/hyperlink" Target="https://twitter.com/vedettje/status/804260874131304448" TargetMode="External"/><Relationship Id="rId3442" Type="http://schemas.openxmlformats.org/officeDocument/2006/relationships/hyperlink" Target="https://twitter.com/tombrendt/status/805129417014046720" TargetMode="External"/><Relationship Id="rId4773" Type="http://schemas.openxmlformats.org/officeDocument/2006/relationships/hyperlink" Target="https://pbs.twimg.com/profile_images/378800000213382003/4f562b59f92995b884d2d440f71fc5ce_normal.png" TargetMode="External"/><Relationship Id="rId2113" Type="http://schemas.openxmlformats.org/officeDocument/2006/relationships/hyperlink" Target="https://pbs.twimg.com/profile_images/640498325494628352/Ikq2MPe1_normal.jpg" TargetMode="External"/><Relationship Id="rId3445" Type="http://schemas.openxmlformats.org/officeDocument/2006/relationships/hyperlink" Target="https://twitter.com/holyber/status/805134765087215618" TargetMode="External"/><Relationship Id="rId4776" Type="http://schemas.openxmlformats.org/officeDocument/2006/relationships/hyperlink" Target="https://pbs.twimg.com/profile_images/3028478382/e0bedb7d8a4a7b62521ecf9d476445ff_normal.png" TargetMode="External"/><Relationship Id="rId2114" Type="http://schemas.openxmlformats.org/officeDocument/2006/relationships/hyperlink" Target="https://twitter.com/15Fuerteventura" TargetMode="External"/><Relationship Id="rId3444" Type="http://schemas.openxmlformats.org/officeDocument/2006/relationships/hyperlink" Target="https://twitter.com/holyber" TargetMode="External"/><Relationship Id="rId4775" Type="http://schemas.openxmlformats.org/officeDocument/2006/relationships/hyperlink" Target="https://twitter.com/WhyTenerife/status/80607936502505881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5.29"/>
    <col customWidth="1" min="3" max="3" width="16.29"/>
    <col customWidth="1" min="4" max="4" width="38.43"/>
    <col customWidth="1" min="5" max="5" width="17.71"/>
    <col customWidth="1" min="6" max="6" width="16.14"/>
    <col customWidth="1" min="7" max="12" width="11.14"/>
    <col customWidth="1" min="14" max="14" width="18.86"/>
    <col customWidth="1" min="15" max="16" width="12.0"/>
  </cols>
  <sheetData>
    <row r="1" ht="25.5" customHeight="1">
      <c r="A1" s="3" t="s">
        <v>2</v>
      </c>
      <c r="G1" s="5" t="s">
        <v>4</v>
      </c>
      <c r="P1" s="7"/>
    </row>
    <row r="2" ht="29.25" customHeight="1">
      <c r="A2" s="9" t="s">
        <v>0</v>
      </c>
      <c r="B2" s="11" t="s">
        <v>5</v>
      </c>
      <c r="C2" s="11" t="s">
        <v>7</v>
      </c>
      <c r="D2" s="11" t="s">
        <v>8</v>
      </c>
      <c r="E2" s="18" t="s">
        <v>9</v>
      </c>
      <c r="F2" s="18" t="s">
        <v>13</v>
      </c>
      <c r="G2" s="11" t="s">
        <v>14</v>
      </c>
      <c r="H2" s="11" t="s">
        <v>15</v>
      </c>
      <c r="I2" s="11" t="s">
        <v>16</v>
      </c>
      <c r="J2" s="11" t="s">
        <v>17</v>
      </c>
      <c r="K2" s="18" t="s">
        <v>18</v>
      </c>
      <c r="L2" s="18" t="s">
        <v>19</v>
      </c>
      <c r="M2" s="18" t="s">
        <v>20</v>
      </c>
      <c r="N2" s="18" t="s">
        <v>21</v>
      </c>
      <c r="O2" s="18" t="s">
        <v>22</v>
      </c>
      <c r="P2" s="18" t="s">
        <v>23</v>
      </c>
    </row>
    <row r="3">
      <c r="A3" s="19">
        <v>42701.26527777778</v>
      </c>
      <c r="B3" s="20" t="str">
        <f>HYPERLINK("https://twitter.com/vyv111","@vyv111")</f>
        <v>@vyv111</v>
      </c>
      <c r="C3" s="21" t="s">
        <v>24</v>
      </c>
      <c r="D3" s="21" t="s">
        <v>25</v>
      </c>
      <c r="E3" s="22" t="str">
        <f>HYPERLINK("https://twitter.com/vyv111/status/802759361475084288","802759361475084288")</f>
        <v>802759361475084288</v>
      </c>
      <c r="F3" s="23" t="s">
        <v>26</v>
      </c>
      <c r="G3" s="24">
        <v>91.0</v>
      </c>
      <c r="H3" s="24">
        <v>158.0</v>
      </c>
      <c r="I3" s="24">
        <v>71.0</v>
      </c>
      <c r="J3" s="24">
        <v>0.0</v>
      </c>
      <c r="K3" s="23" t="s">
        <v>27</v>
      </c>
      <c r="L3" s="25">
        <v>42378.97519675926</v>
      </c>
      <c r="M3" s="26" t="s">
        <v>28</v>
      </c>
      <c r="N3" s="26" t="s">
        <v>29</v>
      </c>
      <c r="O3" s="22" t="str">
        <f>HYPERLINK("https://pbs.twimg.com/profile_images/719304457784131588/5s-_4kRi_normal.jpg","View")</f>
        <v>View</v>
      </c>
      <c r="P3" s="27"/>
    </row>
    <row r="4">
      <c r="A4" s="19">
        <v>42701.29189814815</v>
      </c>
      <c r="B4" s="20" t="str">
        <f>HYPERLINK("https://twitter.com/Johnalanpick","@Johnalanpick")</f>
        <v>@Johnalanpick</v>
      </c>
      <c r="C4" s="21" t="s">
        <v>30</v>
      </c>
      <c r="D4" s="21" t="s">
        <v>31</v>
      </c>
      <c r="E4" s="22" t="str">
        <f>HYPERLINK("https://twitter.com/Johnalanpick/status/802769004309803010","802769004309803010")</f>
        <v>802769004309803010</v>
      </c>
      <c r="F4" s="23" t="s">
        <v>32</v>
      </c>
      <c r="G4" s="24">
        <v>1309.0</v>
      </c>
      <c r="H4" s="24">
        <v>1417.0</v>
      </c>
      <c r="I4" s="24">
        <v>0.0</v>
      </c>
      <c r="J4" s="24">
        <v>1.0</v>
      </c>
      <c r="K4" s="23" t="s">
        <v>27</v>
      </c>
      <c r="L4" s="25">
        <v>39949.55190972222</v>
      </c>
      <c r="M4" s="26" t="s">
        <v>33</v>
      </c>
      <c r="N4" s="26" t="s">
        <v>34</v>
      </c>
      <c r="O4" s="22" t="str">
        <f>HYPERLINK("https://pbs.twimg.com/profile_images/721987658449305600/1WmSYuM-_normal.jpg","View")</f>
        <v>View</v>
      </c>
      <c r="P4" s="27"/>
    </row>
    <row r="5">
      <c r="A5" s="19">
        <v>42701.307222222225</v>
      </c>
      <c r="B5" s="20" t="str">
        <f>HYPERLINK("https://twitter.com/fatdogsfrance","@fatdogsfrance")</f>
        <v>@fatdogsfrance</v>
      </c>
      <c r="C5" s="21" t="s">
        <v>35</v>
      </c>
      <c r="D5" s="21" t="s">
        <v>36</v>
      </c>
      <c r="E5" s="22" t="str">
        <f>HYPERLINK("https://twitter.com/fatdogsfrance/status/802774560718422016","802774560718422016")</f>
        <v>802774560718422016</v>
      </c>
      <c r="F5" s="23" t="s">
        <v>37</v>
      </c>
      <c r="G5" s="24">
        <v>1676.0</v>
      </c>
      <c r="H5" s="24">
        <v>2203.0</v>
      </c>
      <c r="I5" s="24">
        <v>47.0</v>
      </c>
      <c r="J5" s="24">
        <v>0.0</v>
      </c>
      <c r="K5" s="23" t="s">
        <v>27</v>
      </c>
      <c r="L5" s="25">
        <v>42102.66569444444</v>
      </c>
      <c r="M5" s="28"/>
      <c r="N5" s="26" t="s">
        <v>38</v>
      </c>
      <c r="O5" s="22" t="str">
        <f>HYPERLINK("https://pbs.twimg.com/profile_images/585820497629356033/fzh14Fyz_normal.jpg","View")</f>
        <v>View</v>
      </c>
      <c r="P5" s="27"/>
    </row>
    <row r="6">
      <c r="A6" s="19">
        <v>42701.311944444446</v>
      </c>
      <c r="B6" s="20" t="str">
        <f>HYPERLINK("https://twitter.com/EmocionesCan","@EmocionesCan")</f>
        <v>@EmocionesCan</v>
      </c>
      <c r="C6" s="21" t="s">
        <v>39</v>
      </c>
      <c r="D6" s="21" t="s">
        <v>40</v>
      </c>
      <c r="E6" s="22" t="str">
        <f>HYPERLINK("https://twitter.com/EmocionesCan/status/802776270241140736","802776270241140736")</f>
        <v>802776270241140736</v>
      </c>
      <c r="F6" s="23" t="s">
        <v>41</v>
      </c>
      <c r="G6" s="24">
        <v>61321.0</v>
      </c>
      <c r="H6" s="24">
        <v>3424.0</v>
      </c>
      <c r="I6" s="24">
        <v>12.0</v>
      </c>
      <c r="J6" s="24">
        <v>0.0</v>
      </c>
      <c r="K6" s="23" t="s">
        <v>27</v>
      </c>
      <c r="L6" s="25">
        <v>40776.91810185185</v>
      </c>
      <c r="M6" s="26" t="s">
        <v>42</v>
      </c>
      <c r="N6" s="26" t="s">
        <v>43</v>
      </c>
      <c r="O6" s="22" t="str">
        <f>HYPERLINK("https://pbs.twimg.com/profile_images/1508754713/Logos_Perfiles_EECC_-_Sin_borde_y_sin_texto_normal.jpg","View")</f>
        <v>View</v>
      </c>
      <c r="P6" s="27"/>
    </row>
    <row r="7">
      <c r="A7" s="19">
        <v>42701.31244212963</v>
      </c>
      <c r="B7" s="20" t="str">
        <f>HYPERLINK("https://twitter.com/alenodi","@alenodi")</f>
        <v>@alenodi</v>
      </c>
      <c r="C7" s="21" t="s">
        <v>44</v>
      </c>
      <c r="D7" s="21" t="s">
        <v>40</v>
      </c>
      <c r="E7" s="22" t="str">
        <f>HYPERLINK("https://twitter.com/alenodi/status/802776451871342592","802776451871342592")</f>
        <v>802776451871342592</v>
      </c>
      <c r="F7" s="23" t="s">
        <v>41</v>
      </c>
      <c r="G7" s="24">
        <v>1487.0</v>
      </c>
      <c r="H7" s="24">
        <v>2208.0</v>
      </c>
      <c r="I7" s="24">
        <v>12.0</v>
      </c>
      <c r="J7" s="24">
        <v>0.0</v>
      </c>
      <c r="K7" s="23" t="s">
        <v>27</v>
      </c>
      <c r="L7" s="25">
        <v>41424.79611111111</v>
      </c>
      <c r="M7" s="28"/>
      <c r="N7" s="28"/>
      <c r="O7" s="22" t="str">
        <f>HYPERLINK("https://pbs.twimg.com/profile_images/719464367616606208/haQ6Fe8l_normal.jpg","View")</f>
        <v>View</v>
      </c>
      <c r="P7" s="27"/>
    </row>
    <row r="8">
      <c r="A8" s="19">
        <v>42701.32092592593</v>
      </c>
      <c r="B8" s="20" t="str">
        <f>HYPERLINK("https://twitter.com/holyber","@holyber")</f>
        <v>@holyber</v>
      </c>
      <c r="C8" s="21" t="s">
        <v>45</v>
      </c>
      <c r="D8" s="21" t="s">
        <v>40</v>
      </c>
      <c r="E8" s="22" t="str">
        <f>HYPERLINK("https://twitter.com/holyber/status/802779524085600257","802779524085600257")</f>
        <v>802779524085600257</v>
      </c>
      <c r="F8" s="23" t="s">
        <v>37</v>
      </c>
      <c r="G8" s="24">
        <v>106410.0</v>
      </c>
      <c r="H8" s="24">
        <v>94316.0</v>
      </c>
      <c r="I8" s="24">
        <v>12.0</v>
      </c>
      <c r="J8" s="24">
        <v>0.0</v>
      </c>
      <c r="K8" s="23" t="s">
        <v>27</v>
      </c>
      <c r="L8" s="25">
        <v>41144.80637731482</v>
      </c>
      <c r="M8" s="26" t="s">
        <v>46</v>
      </c>
      <c r="N8" s="26" t="s">
        <v>47</v>
      </c>
      <c r="O8" s="22" t="str">
        <f>HYPERLINK("https://pbs.twimg.com/profile_images/475644614448123904/FiCl2pX4_normal.jpeg","View")</f>
        <v>View</v>
      </c>
      <c r="P8" s="27"/>
    </row>
    <row r="9">
      <c r="A9" s="19">
        <v>42701.333819444444</v>
      </c>
      <c r="B9" s="20" t="str">
        <f>HYPERLINK("https://twitter.com/swisshop4uEs","@swisshop4uEs")</f>
        <v>@swisshop4uEs</v>
      </c>
      <c r="C9" s="21" t="s">
        <v>48</v>
      </c>
      <c r="D9" s="21" t="s">
        <v>49</v>
      </c>
      <c r="E9" s="22" t="str">
        <f>HYPERLINK("https://twitter.com/swisshop4uEs/status/802784197438046208","802784197438046208")</f>
        <v>802784197438046208</v>
      </c>
      <c r="F9" s="23" t="s">
        <v>50</v>
      </c>
      <c r="G9" s="24">
        <v>455.0</v>
      </c>
      <c r="H9" s="24">
        <v>424.0</v>
      </c>
      <c r="I9" s="24">
        <v>0.0</v>
      </c>
      <c r="J9" s="24">
        <v>0.0</v>
      </c>
      <c r="K9" s="23" t="s">
        <v>27</v>
      </c>
      <c r="L9" s="25">
        <v>41468.93072916666</v>
      </c>
      <c r="M9" s="26" t="s">
        <v>51</v>
      </c>
      <c r="N9" s="26" t="s">
        <v>52</v>
      </c>
      <c r="O9" s="22" t="str">
        <f>HYPERLINK("https://pbs.twimg.com/profile_images/378800000213382003/4f562b59f92995b884d2d440f71fc5ce_normal.png","View")</f>
        <v>View</v>
      </c>
      <c r="P9" s="27"/>
    </row>
    <row r="10">
      <c r="A10" s="19">
        <v>42701.352268518516</v>
      </c>
      <c r="B10" s="20" t="str">
        <f>HYPERLINK("https://twitter.com/PCarreraAlvarez","@PCarreraAlvarez")</f>
        <v>@PCarreraAlvarez</v>
      </c>
      <c r="C10" s="21" t="s">
        <v>53</v>
      </c>
      <c r="D10" s="21" t="s">
        <v>54</v>
      </c>
      <c r="E10" s="22" t="str">
        <f>HYPERLINK("https://twitter.com/PCarreraAlvarez/status/802790883884142592","802790883884142592")</f>
        <v>802790883884142592</v>
      </c>
      <c r="F10" s="23" t="s">
        <v>37</v>
      </c>
      <c r="G10" s="24">
        <v>559.0</v>
      </c>
      <c r="H10" s="24">
        <v>548.0</v>
      </c>
      <c r="I10" s="24">
        <v>3.0</v>
      </c>
      <c r="J10" s="24">
        <v>0.0</v>
      </c>
      <c r="K10" s="23" t="s">
        <v>27</v>
      </c>
      <c r="L10" s="25">
        <v>40302.70496527778</v>
      </c>
      <c r="M10" s="26" t="s">
        <v>55</v>
      </c>
      <c r="N10" s="26" t="s">
        <v>56</v>
      </c>
      <c r="O10" s="22" t="str">
        <f>HYPERLINK("https://pbs.twimg.com/profile_images/2998974448/5b4a78546eaedd31a9958a8f2775a0f1_normal.jpeg","View")</f>
        <v>View</v>
      </c>
      <c r="P10" s="27"/>
    </row>
    <row r="11">
      <c r="A11" s="19">
        <v>42701.35283564815</v>
      </c>
      <c r="B11" s="20" t="str">
        <f>HYPERLINK("https://twitter.com/la_palma","@la_palma")</f>
        <v>@la_palma</v>
      </c>
      <c r="C11" s="21" t="s">
        <v>57</v>
      </c>
      <c r="D11" s="21" t="s">
        <v>58</v>
      </c>
      <c r="E11" s="22" t="str">
        <f>HYPERLINK("https://twitter.com/la_palma/status/802791089304276993","802791089304276993")</f>
        <v>802791089304276993</v>
      </c>
      <c r="F11" s="23" t="s">
        <v>59</v>
      </c>
      <c r="G11" s="24">
        <v>1870.0</v>
      </c>
      <c r="H11" s="24">
        <v>1176.0</v>
      </c>
      <c r="I11" s="24">
        <v>1.0</v>
      </c>
      <c r="J11" s="24">
        <v>0.0</v>
      </c>
      <c r="K11" s="23" t="s">
        <v>27</v>
      </c>
      <c r="L11" s="25">
        <v>39750.23824074074</v>
      </c>
      <c r="M11" s="26" t="s">
        <v>60</v>
      </c>
      <c r="N11" s="26" t="s">
        <v>61</v>
      </c>
      <c r="O11" s="22" t="str">
        <f>HYPERLINK("https://pbs.twimg.com/profile_images/3722356956/fa39d69a57bac26ec686d40f2bbf96ad_normal.jpeg","View")</f>
        <v>View</v>
      </c>
      <c r="P11" s="27"/>
    </row>
    <row r="12">
      <c r="A12" s="19">
        <v>42701.35416666667</v>
      </c>
      <c r="B12" s="20" t="str">
        <f>HYPERLINK("https://twitter.com/SuneHolidays","@SuneHolidays")</f>
        <v>@SuneHolidays</v>
      </c>
      <c r="C12" s="21" t="s">
        <v>62</v>
      </c>
      <c r="D12" s="21" t="s">
        <v>63</v>
      </c>
      <c r="E12" s="22" t="str">
        <f>HYPERLINK("https://twitter.com/SuneHolidays/status/802791572320485376","802791572320485376")</f>
        <v>802791572320485376</v>
      </c>
      <c r="F12" s="23" t="s">
        <v>64</v>
      </c>
      <c r="G12" s="24">
        <v>396.0</v>
      </c>
      <c r="H12" s="24">
        <v>990.0</v>
      </c>
      <c r="I12" s="24">
        <v>0.0</v>
      </c>
      <c r="J12" s="24">
        <v>0.0</v>
      </c>
      <c r="K12" s="23" t="s">
        <v>27</v>
      </c>
      <c r="L12" s="25">
        <v>40929.92998842592</v>
      </c>
      <c r="M12" s="26" t="s">
        <v>65</v>
      </c>
      <c r="N12" s="26" t="s">
        <v>66</v>
      </c>
      <c r="O12" s="22" t="str">
        <f>HYPERLINK("https://pbs.twimg.com/profile_images/686922727480029184/9ztyb32p_normal.jpg","View")</f>
        <v>View</v>
      </c>
      <c r="P12" s="27"/>
    </row>
    <row r="13">
      <c r="A13" s="19">
        <v>42701.35729166667</v>
      </c>
      <c r="B13" s="20" t="str">
        <f>HYPERLINK("https://twitter.com/pierodecaro","@pierodecaro")</f>
        <v>@pierodecaro</v>
      </c>
      <c r="C13" s="21" t="s">
        <v>67</v>
      </c>
      <c r="D13" s="21" t="s">
        <v>68</v>
      </c>
      <c r="E13" s="22" t="str">
        <f>HYPERLINK("https://twitter.com/pierodecaro/status/802792702375063552","802792702375063552")</f>
        <v>802792702375063552</v>
      </c>
      <c r="F13" s="23" t="s">
        <v>69</v>
      </c>
      <c r="G13" s="24">
        <v>56.0</v>
      </c>
      <c r="H13" s="24">
        <v>117.0</v>
      </c>
      <c r="I13" s="24">
        <v>0.0</v>
      </c>
      <c r="J13" s="24">
        <v>1.0</v>
      </c>
      <c r="K13" s="23" t="s">
        <v>27</v>
      </c>
      <c r="L13" s="25">
        <v>40919.73574074074</v>
      </c>
      <c r="M13" s="28"/>
      <c r="N13" s="28"/>
      <c r="O13" s="22" t="str">
        <f>HYPERLINK("https://pbs.twimg.com/profile_images/736866908159479808/dPsg7ZGs_normal.jpg","View")</f>
        <v>View</v>
      </c>
      <c r="P13" s="27"/>
    </row>
    <row r="14">
      <c r="A14" s="19">
        <v>42701.362280092595</v>
      </c>
      <c r="B14" s="20" t="str">
        <f>HYPERLINK("https://twitter.com/paisajecanario","@paisajecanario")</f>
        <v>@paisajecanario</v>
      </c>
      <c r="C14" s="21" t="s">
        <v>70</v>
      </c>
      <c r="D14" s="21" t="s">
        <v>40</v>
      </c>
      <c r="E14" s="22" t="str">
        <f>HYPERLINK("https://twitter.com/paisajecanario/status/802794513739739140","802794513739739140")</f>
        <v>802794513739739140</v>
      </c>
      <c r="F14" s="23" t="s">
        <v>26</v>
      </c>
      <c r="G14" s="24">
        <v>13324.0</v>
      </c>
      <c r="H14" s="24">
        <v>434.0</v>
      </c>
      <c r="I14" s="24">
        <v>12.0</v>
      </c>
      <c r="J14" s="24">
        <v>0.0</v>
      </c>
      <c r="K14" s="23" t="s">
        <v>27</v>
      </c>
      <c r="L14" s="25">
        <v>41815.714641203704</v>
      </c>
      <c r="M14" s="26" t="s">
        <v>71</v>
      </c>
      <c r="N14" s="26" t="s">
        <v>72</v>
      </c>
      <c r="O14" s="22" t="str">
        <f>HYPERLINK("https://pbs.twimg.com/profile_images/789364630850240512/Mw90qAlM_normal.jpg","View")</f>
        <v>View</v>
      </c>
      <c r="P14" s="27"/>
    </row>
    <row r="15">
      <c r="A15" s="19">
        <v>42701.3624074074</v>
      </c>
      <c r="B15" s="20" t="str">
        <f>HYPERLINK("https://twitter.com/Blackauville","@Blackauville")</f>
        <v>@Blackauville</v>
      </c>
      <c r="C15" s="21" t="s">
        <v>73</v>
      </c>
      <c r="D15" s="21" t="s">
        <v>74</v>
      </c>
      <c r="E15" s="22" t="str">
        <f>HYPERLINK("https://twitter.com/Blackauville/status/802794559168200704","802794559168200704")</f>
        <v>802794559168200704</v>
      </c>
      <c r="F15" s="23" t="s">
        <v>37</v>
      </c>
      <c r="G15" s="24">
        <v>90.0</v>
      </c>
      <c r="H15" s="24">
        <v>3.0</v>
      </c>
      <c r="I15" s="24">
        <v>0.0</v>
      </c>
      <c r="J15" s="24">
        <v>0.0</v>
      </c>
      <c r="K15" s="23" t="s">
        <v>27</v>
      </c>
      <c r="L15" s="25">
        <v>40465.95388888889</v>
      </c>
      <c r="M15" s="28"/>
      <c r="N15" s="28"/>
      <c r="O15" s="22" t="str">
        <f>HYPERLINK("https://pbs.twimg.com/profile_images/687330177848848385/0DPNLjBw_normal.jpg","View")</f>
        <v>View</v>
      </c>
      <c r="P15" s="27"/>
    </row>
    <row r="16">
      <c r="A16" s="19">
        <v>42701.36528935185</v>
      </c>
      <c r="B16" s="20" t="str">
        <f>HYPERLINK("https://twitter.com/MedCruiseGuide","@MedCruiseGuide")</f>
        <v>@MedCruiseGuide</v>
      </c>
      <c r="C16" s="21" t="s">
        <v>75</v>
      </c>
      <c r="D16" s="21" t="s">
        <v>76</v>
      </c>
      <c r="E16" s="22" t="str">
        <f>HYPERLINK("https://twitter.com/MedCruiseGuide/status/802795600420868096","802795600420868096")</f>
        <v>802795600420868096</v>
      </c>
      <c r="F16" s="23" t="s">
        <v>77</v>
      </c>
      <c r="G16" s="24">
        <v>20863.0</v>
      </c>
      <c r="H16" s="24">
        <v>19280.0</v>
      </c>
      <c r="I16" s="24">
        <v>3.0</v>
      </c>
      <c r="J16" s="24">
        <v>2.0</v>
      </c>
      <c r="K16" s="23" t="s">
        <v>27</v>
      </c>
      <c r="L16" s="25">
        <v>40592.49048611111</v>
      </c>
      <c r="M16" s="28"/>
      <c r="N16" s="26" t="s">
        <v>78</v>
      </c>
      <c r="O16" s="22" t="str">
        <f>HYPERLINK("https://pbs.twimg.com/profile_images/805484536301780992/2tho24Rf_normal.jpg","View")</f>
        <v>View</v>
      </c>
      <c r="P16" s="27"/>
    </row>
    <row r="17">
      <c r="A17" s="19">
        <v>42701.36878472222</v>
      </c>
      <c r="B17" s="20" t="str">
        <f>HYPERLINK("https://twitter.com/gergolippai","@gergolippai")</f>
        <v>@gergolippai</v>
      </c>
      <c r="C17" s="21" t="s">
        <v>79</v>
      </c>
      <c r="D17" s="21" t="s">
        <v>80</v>
      </c>
      <c r="E17" s="22" t="str">
        <f>HYPERLINK("https://twitter.com/gergolippai/status/802796867369242624","802796867369242624")</f>
        <v>802796867369242624</v>
      </c>
      <c r="F17" s="23" t="s">
        <v>81</v>
      </c>
      <c r="G17" s="24">
        <v>1139.0</v>
      </c>
      <c r="H17" s="24">
        <v>423.0</v>
      </c>
      <c r="I17" s="24">
        <v>0.0</v>
      </c>
      <c r="J17" s="24">
        <v>0.0</v>
      </c>
      <c r="K17" s="23" t="s">
        <v>27</v>
      </c>
      <c r="L17" s="25">
        <v>39576.45049768519</v>
      </c>
      <c r="M17" s="26" t="s">
        <v>82</v>
      </c>
      <c r="N17" s="26" t="s">
        <v>83</v>
      </c>
      <c r="O17" s="22" t="str">
        <f>HYPERLINK("https://pbs.twimg.com/profile_images/711341349983920129/gKtqDqg2_normal.jpg","View")</f>
        <v>View</v>
      </c>
      <c r="P17" s="27" t="str">
        <f>HYPERLINK("https://ctrlq.org/maps/address/#28.451326,-13.8684708","Map")</f>
        <v>#ERROR!</v>
      </c>
    </row>
    <row r="18">
      <c r="A18" s="19">
        <v>42701.37784722222</v>
      </c>
      <c r="B18" s="20" t="str">
        <f>HYPERLINK("https://twitter.com/collectingsmile","@collectingsmile")</f>
        <v>@collectingsmile</v>
      </c>
      <c r="C18" s="21" t="s">
        <v>84</v>
      </c>
      <c r="D18" s="21" t="s">
        <v>85</v>
      </c>
      <c r="E18" s="22" t="str">
        <f>HYPERLINK("https://twitter.com/collectingsmile/status/802800152721444864","802800152721444864")</f>
        <v>802800152721444864</v>
      </c>
      <c r="F18" s="23" t="s">
        <v>41</v>
      </c>
      <c r="G18" s="24">
        <v>1085.0</v>
      </c>
      <c r="H18" s="24">
        <v>2425.0</v>
      </c>
      <c r="I18" s="24">
        <v>0.0</v>
      </c>
      <c r="J18" s="24">
        <v>2.0</v>
      </c>
      <c r="K18" s="23" t="s">
        <v>27</v>
      </c>
      <c r="L18" s="25">
        <v>39981.71326388889</v>
      </c>
      <c r="M18" s="26" t="s">
        <v>86</v>
      </c>
      <c r="N18" s="26" t="s">
        <v>87</v>
      </c>
      <c r="O18" s="22" t="str">
        <f>HYPERLINK("https://pbs.twimg.com/profile_images/267232211/me_normal.jpg","View")</f>
        <v>View</v>
      </c>
      <c r="P18" s="27"/>
    </row>
    <row r="19">
      <c r="A19" s="19">
        <v>42701.37878472223</v>
      </c>
      <c r="B19" s="20" t="str">
        <f>HYPERLINK("https://twitter.com/jbboats","@jbboats")</f>
        <v>@jbboats</v>
      </c>
      <c r="C19" s="21" t="s">
        <v>88</v>
      </c>
      <c r="D19" s="21" t="s">
        <v>89</v>
      </c>
      <c r="E19" s="22" t="str">
        <f>HYPERLINK("https://twitter.com/jbboats/status/802800491122085888","802800491122085888")</f>
        <v>802800491122085888</v>
      </c>
      <c r="F19" s="23" t="s">
        <v>90</v>
      </c>
      <c r="G19" s="24">
        <v>26832.0</v>
      </c>
      <c r="H19" s="24">
        <v>1587.0</v>
      </c>
      <c r="I19" s="24">
        <v>3.0</v>
      </c>
      <c r="J19" s="24">
        <v>0.0</v>
      </c>
      <c r="K19" s="23" t="s">
        <v>27</v>
      </c>
      <c r="L19" s="25">
        <v>41296.41976851852</v>
      </c>
      <c r="M19" s="26" t="s">
        <v>91</v>
      </c>
      <c r="N19" s="26" t="s">
        <v>92</v>
      </c>
      <c r="O19" s="22" t="str">
        <f>HYPERLINK("https://pbs.twimg.com/profile_images/804650290771357700/bbd3se1j_normal.jpg","View")</f>
        <v>View</v>
      </c>
      <c r="P19" s="27"/>
    </row>
    <row r="20">
      <c r="A20" s="19">
        <v>42701.37908564815</v>
      </c>
      <c r="B20" s="20" t="str">
        <f>HYPERLINK("https://twitter.com/gdnr81","@gdnr81")</f>
        <v>@gdnr81</v>
      </c>
      <c r="C20" s="21" t="s">
        <v>93</v>
      </c>
      <c r="D20" s="21" t="s">
        <v>94</v>
      </c>
      <c r="E20" s="22" t="str">
        <f>HYPERLINK("https://twitter.com/gdnr81/status/802800603852378112","802800603852378112")</f>
        <v>802800603852378112</v>
      </c>
      <c r="F20" s="23" t="s">
        <v>41</v>
      </c>
      <c r="G20" s="24">
        <v>17.0</v>
      </c>
      <c r="H20" s="24">
        <v>91.0</v>
      </c>
      <c r="I20" s="24">
        <v>1.0</v>
      </c>
      <c r="J20" s="24">
        <v>0.0</v>
      </c>
      <c r="K20" s="23" t="s">
        <v>27</v>
      </c>
      <c r="L20" s="25">
        <v>41199.448969907404</v>
      </c>
      <c r="M20" s="28"/>
      <c r="N20" s="28"/>
      <c r="O20" s="22" t="str">
        <f>HYPERLINK("https://pbs.twimg.com/profile_images/601837630288965633/i7gsjX6q_normal.jpg","View")</f>
        <v>View</v>
      </c>
      <c r="P20" s="27"/>
    </row>
    <row r="21">
      <c r="A21" s="19">
        <v>42701.38600694445</v>
      </c>
      <c r="B21" s="20" t="str">
        <f>HYPERLINK("https://twitter.com/peopleproduccio","@peopleproduccio")</f>
        <v>@peopleproduccio</v>
      </c>
      <c r="C21" s="21" t="s">
        <v>95</v>
      </c>
      <c r="D21" s="21" t="s">
        <v>96</v>
      </c>
      <c r="E21" s="22" t="str">
        <f>HYPERLINK("https://twitter.com/peopleproduccio/status/802803110490030080","802803110490030080")</f>
        <v>802803110490030080</v>
      </c>
      <c r="F21" s="23" t="s">
        <v>26</v>
      </c>
      <c r="G21" s="24">
        <v>1983.0</v>
      </c>
      <c r="H21" s="24">
        <v>1013.0</v>
      </c>
      <c r="I21" s="24">
        <v>0.0</v>
      </c>
      <c r="J21" s="24">
        <v>6.0</v>
      </c>
      <c r="K21" s="23" t="s">
        <v>27</v>
      </c>
      <c r="L21" s="25">
        <v>40599.459699074076</v>
      </c>
      <c r="M21" s="26" t="s">
        <v>97</v>
      </c>
      <c r="N21" s="26" t="s">
        <v>98</v>
      </c>
      <c r="O21" s="22" t="str">
        <f>HYPERLINK("https://pbs.twimg.com/profile_images/659344902489292800/m3Mqq7yv_normal.jpg","View")</f>
        <v>View</v>
      </c>
      <c r="P21" s="27"/>
    </row>
    <row r="22">
      <c r="A22" s="19">
        <v>42701.38909722222</v>
      </c>
      <c r="B22" s="20" t="str">
        <f>HYPERLINK("https://twitter.com/MH_EmeHache","@MH_EmeHache")</f>
        <v>@MH_EmeHache</v>
      </c>
      <c r="C22" s="21" t="s">
        <v>99</v>
      </c>
      <c r="D22" s="21" t="s">
        <v>100</v>
      </c>
      <c r="E22" s="22" t="str">
        <f>HYPERLINK("https://twitter.com/MH_EmeHache/status/802804229979021312","802804229979021312")</f>
        <v>802804229979021312</v>
      </c>
      <c r="F22" s="23" t="s">
        <v>81</v>
      </c>
      <c r="G22" s="24">
        <v>945.0</v>
      </c>
      <c r="H22" s="24">
        <v>1737.0</v>
      </c>
      <c r="I22" s="24">
        <v>0.0</v>
      </c>
      <c r="J22" s="24">
        <v>0.0</v>
      </c>
      <c r="K22" s="23" t="s">
        <v>27</v>
      </c>
      <c r="L22" s="25">
        <v>40658.53821759259</v>
      </c>
      <c r="M22" s="26" t="s">
        <v>101</v>
      </c>
      <c r="N22" s="26" t="s">
        <v>102</v>
      </c>
      <c r="O22" s="22" t="str">
        <f>HYPERLINK("https://pbs.twimg.com/profile_images/619829946844905472/lATJAoWb_normal.jpg","View")</f>
        <v>View</v>
      </c>
      <c r="P22" s="27"/>
    </row>
    <row r="23">
      <c r="A23" s="19">
        <v>42701.389444444445</v>
      </c>
      <c r="B23" s="20" t="str">
        <f>HYPERLINK("https://twitter.com/_TenDive","@_TenDive")</f>
        <v>@_TenDive</v>
      </c>
      <c r="C23" s="21" t="s">
        <v>103</v>
      </c>
      <c r="D23" s="21" t="s">
        <v>104</v>
      </c>
      <c r="E23" s="22" t="str">
        <f>HYPERLINK("https://twitter.com/_TenDive/status/802804357146247168","802804357146247168")</f>
        <v>802804357146247168</v>
      </c>
      <c r="F23" s="23" t="s">
        <v>37</v>
      </c>
      <c r="G23" s="24">
        <v>235.0</v>
      </c>
      <c r="H23" s="24">
        <v>118.0</v>
      </c>
      <c r="I23" s="24">
        <v>0.0</v>
      </c>
      <c r="J23" s="24">
        <v>0.0</v>
      </c>
      <c r="K23" s="23" t="s">
        <v>27</v>
      </c>
      <c r="L23" s="25">
        <v>41385.479999999996</v>
      </c>
      <c r="M23" s="26" t="s">
        <v>105</v>
      </c>
      <c r="N23" s="26" t="s">
        <v>106</v>
      </c>
      <c r="O23" s="22" t="str">
        <f>HYPERLINK("https://pbs.twimg.com/profile_images/694439157893107712/KkG57Zcq_normal.jpg","View")</f>
        <v>View</v>
      </c>
      <c r="P23" s="27"/>
    </row>
    <row r="24">
      <c r="A24" s="19">
        <v>42701.405428240745</v>
      </c>
      <c r="B24" s="20" t="str">
        <f>HYPERLINK("https://twitter.com/ffcomunicacion","@ffcomunicacion")</f>
        <v>@ffcomunicacion</v>
      </c>
      <c r="C24" s="21" t="s">
        <v>107</v>
      </c>
      <c r="D24" s="21" t="s">
        <v>108</v>
      </c>
      <c r="E24" s="22" t="str">
        <f>HYPERLINK("https://twitter.com/ffcomunicacion/status/802810149526261760","802810149526261760")</f>
        <v>802810149526261760</v>
      </c>
      <c r="F24" s="23" t="s">
        <v>26</v>
      </c>
      <c r="G24" s="24">
        <v>134.0</v>
      </c>
      <c r="H24" s="24">
        <v>119.0</v>
      </c>
      <c r="I24" s="24">
        <v>5.0</v>
      </c>
      <c r="J24" s="24">
        <v>0.0</v>
      </c>
      <c r="K24" s="23" t="s">
        <v>27</v>
      </c>
      <c r="L24" s="25">
        <v>40614.50457175926</v>
      </c>
      <c r="M24" s="26" t="s">
        <v>109</v>
      </c>
      <c r="N24" s="26" t="s">
        <v>110</v>
      </c>
      <c r="O24" s="22" t="str">
        <f>HYPERLINK("https://pbs.twimg.com/profile_images/1968981420/ff180x180_normal.jpg","View")</f>
        <v>View</v>
      </c>
      <c r="P24" s="27"/>
    </row>
    <row r="25">
      <c r="A25" s="19">
        <v>42701.408738425926</v>
      </c>
      <c r="B25" s="20" t="str">
        <f>HYPERLINK("https://twitter.com/kaiktasgang","@kaiktasgang")</f>
        <v>@kaiktasgang</v>
      </c>
      <c r="C25" s="21" t="s">
        <v>111</v>
      </c>
      <c r="D25" s="21" t="s">
        <v>112</v>
      </c>
      <c r="E25" s="22" t="str">
        <f>HYPERLINK("https://twitter.com/kaiktasgang/status/802811348786774016","802811348786774016")</f>
        <v>802811348786774016</v>
      </c>
      <c r="F25" s="23" t="s">
        <v>41</v>
      </c>
      <c r="G25" s="24">
        <v>230.0</v>
      </c>
      <c r="H25" s="24">
        <v>144.0</v>
      </c>
      <c r="I25" s="24">
        <v>63.0</v>
      </c>
      <c r="J25" s="24">
        <v>0.0</v>
      </c>
      <c r="K25" s="23" t="s">
        <v>27</v>
      </c>
      <c r="L25" s="25">
        <v>41590.79641203704</v>
      </c>
      <c r="M25" s="26" t="s">
        <v>113</v>
      </c>
      <c r="N25" s="26" t="s">
        <v>114</v>
      </c>
      <c r="O25" s="22" t="str">
        <f>HYPERLINK("https://pbs.twimg.com/profile_images/779399951772246016/9XO7kAhj_normal.jpg","View")</f>
        <v>View</v>
      </c>
      <c r="P25" s="27"/>
    </row>
    <row r="26">
      <c r="A26" s="19">
        <v>42701.40900462963</v>
      </c>
      <c r="B26" s="20" t="str">
        <f>HYPERLINK("https://twitter.com/changuaRs13","@changuaRs13")</f>
        <v>@changuaRs13</v>
      </c>
      <c r="C26" s="21" t="s">
        <v>115</v>
      </c>
      <c r="D26" s="21" t="s">
        <v>89</v>
      </c>
      <c r="E26" s="22" t="str">
        <f>HYPERLINK("https://twitter.com/changuaRs13/status/802811442390933505","802811442390933505")</f>
        <v>802811442390933505</v>
      </c>
      <c r="F26" s="23" t="s">
        <v>26</v>
      </c>
      <c r="G26" s="24">
        <v>6795.0</v>
      </c>
      <c r="H26" s="24">
        <v>7491.0</v>
      </c>
      <c r="I26" s="24">
        <v>3.0</v>
      </c>
      <c r="J26" s="24">
        <v>0.0</v>
      </c>
      <c r="K26" s="23" t="s">
        <v>27</v>
      </c>
      <c r="L26" s="25">
        <v>42353.194872685184</v>
      </c>
      <c r="M26" s="26" t="s">
        <v>116</v>
      </c>
      <c r="N26" s="28"/>
      <c r="O26" s="22" t="str">
        <f>HYPERLINK("https://pbs.twimg.com/profile_images/717599671888162816/wrI45qOG_normal.jpg","View")</f>
        <v>View</v>
      </c>
      <c r="P26" s="27"/>
    </row>
    <row r="27">
      <c r="A27" s="19">
        <v>42701.414884259255</v>
      </c>
      <c r="B27" s="20" t="str">
        <f>HYPERLINK("https://twitter.com/Shades_Of_Bad_","@Shades_Of_Bad_")</f>
        <v>@Shades_Of_Bad_</v>
      </c>
      <c r="C27" s="21" t="s">
        <v>117</v>
      </c>
      <c r="D27" s="21" t="s">
        <v>118</v>
      </c>
      <c r="E27" s="22" t="str">
        <f>HYPERLINK("https://twitter.com/Shades_Of_Bad_/status/802813573663756288","802813573663756288")</f>
        <v>802813573663756288</v>
      </c>
      <c r="F27" s="23" t="s">
        <v>77</v>
      </c>
      <c r="G27" s="24">
        <v>3899.0</v>
      </c>
      <c r="H27" s="24">
        <v>4395.0</v>
      </c>
      <c r="I27" s="24">
        <v>0.0</v>
      </c>
      <c r="J27" s="24">
        <v>0.0</v>
      </c>
      <c r="K27" s="23" t="s">
        <v>27</v>
      </c>
      <c r="L27" s="25">
        <v>42095.20612268518</v>
      </c>
      <c r="M27" s="26" t="s">
        <v>119</v>
      </c>
      <c r="N27" s="26" t="s">
        <v>120</v>
      </c>
      <c r="O27" s="22" t="str">
        <f>HYPERLINK("https://pbs.twimg.com/profile_images/605126470994903041/ANadzfFp_normal.jpg","View")</f>
        <v>View</v>
      </c>
      <c r="P27" s="27"/>
    </row>
    <row r="28">
      <c r="A28" s="19">
        <v>42701.41489583333</v>
      </c>
      <c r="B28" s="20" t="str">
        <f>HYPERLINK("https://twitter.com/DorisShades","@DorisShades")</f>
        <v>@DorisShades</v>
      </c>
      <c r="C28" s="21" t="s">
        <v>121</v>
      </c>
      <c r="D28" s="21" t="s">
        <v>122</v>
      </c>
      <c r="E28" s="22" t="str">
        <f>HYPERLINK("https://twitter.com/DorisShades/status/802813581100077056","802813581100077056")</f>
        <v>802813581100077056</v>
      </c>
      <c r="F28" s="23" t="s">
        <v>77</v>
      </c>
      <c r="G28" s="24">
        <v>3693.0</v>
      </c>
      <c r="H28" s="24">
        <v>4432.0</v>
      </c>
      <c r="I28" s="24">
        <v>0.0</v>
      </c>
      <c r="J28" s="24">
        <v>0.0</v>
      </c>
      <c r="K28" s="23" t="s">
        <v>27</v>
      </c>
      <c r="L28" s="25">
        <v>42095.182499999995</v>
      </c>
      <c r="M28" s="26" t="s">
        <v>123</v>
      </c>
      <c r="N28" s="26" t="s">
        <v>124</v>
      </c>
      <c r="O28" s="22" t="str">
        <f>HYPERLINK("https://pbs.twimg.com/profile_images/777456052094791681/oTN7NDTr_normal.jpg","View")</f>
        <v>View</v>
      </c>
      <c r="P28" s="27"/>
    </row>
    <row r="29">
      <c r="A29" s="19">
        <v>42701.41491898148</v>
      </c>
      <c r="B29" s="20" t="str">
        <f>HYPERLINK("https://twitter.com/Doris_Blog","@Doris_Blog")</f>
        <v>@Doris_Blog</v>
      </c>
      <c r="C29" s="21" t="s">
        <v>125</v>
      </c>
      <c r="D29" s="21" t="s">
        <v>126</v>
      </c>
      <c r="E29" s="22" t="str">
        <f>HYPERLINK("https://twitter.com/Doris_Blog/status/802813587387510785","802813587387510785")</f>
        <v>802813587387510785</v>
      </c>
      <c r="F29" s="23" t="s">
        <v>77</v>
      </c>
      <c r="G29" s="24">
        <v>2333.0</v>
      </c>
      <c r="H29" s="24">
        <v>3655.0</v>
      </c>
      <c r="I29" s="24">
        <v>0.0</v>
      </c>
      <c r="J29" s="24">
        <v>1.0</v>
      </c>
      <c r="K29" s="23" t="s">
        <v>27</v>
      </c>
      <c r="L29" s="25">
        <v>42095.21026620371</v>
      </c>
      <c r="M29" s="26" t="s">
        <v>119</v>
      </c>
      <c r="N29" s="26" t="s">
        <v>127</v>
      </c>
      <c r="O29" s="22" t="str">
        <f>HYPERLINK("https://pbs.twimg.com/profile_images/769621211911450624/O-JLlK5O_normal.jpg","View")</f>
        <v>View</v>
      </c>
      <c r="P29" s="27"/>
    </row>
    <row r="30">
      <c r="A30" s="19">
        <v>42701.414930555555</v>
      </c>
      <c r="B30" s="20" t="str">
        <f>HYPERLINK("https://twitter.com/ComposerShades","@ComposerShades")</f>
        <v>@ComposerShades</v>
      </c>
      <c r="C30" s="21" t="s">
        <v>128</v>
      </c>
      <c r="D30" s="21" t="s">
        <v>129</v>
      </c>
      <c r="E30" s="22" t="str">
        <f>HYPERLINK("https://twitter.com/ComposerShades/status/802813592764612608","802813592764612608")</f>
        <v>802813592764612608</v>
      </c>
      <c r="F30" s="23" t="s">
        <v>77</v>
      </c>
      <c r="G30" s="24">
        <v>1827.0</v>
      </c>
      <c r="H30" s="24">
        <v>3691.0</v>
      </c>
      <c r="I30" s="24">
        <v>0.0</v>
      </c>
      <c r="J30" s="24">
        <v>0.0</v>
      </c>
      <c r="K30" s="23" t="s">
        <v>27</v>
      </c>
      <c r="L30" s="25">
        <v>42209.46724537037</v>
      </c>
      <c r="M30" s="26" t="s">
        <v>130</v>
      </c>
      <c r="N30" s="26" t="s">
        <v>131</v>
      </c>
      <c r="O30" s="22" t="str">
        <f>HYPERLINK("https://pbs.twimg.com/profile_images/783382917640781824/AqM_zAOY_normal.jpg","View")</f>
        <v>View</v>
      </c>
      <c r="P30" s="27"/>
    </row>
    <row r="31">
      <c r="A31" s="19">
        <v>42701.4149537037</v>
      </c>
      <c r="B31" s="20" t="str">
        <f>HYPERLINK("https://twitter.com/DorisVisits","@DorisVisits")</f>
        <v>@DorisVisits</v>
      </c>
      <c r="C31" s="21" t="s">
        <v>132</v>
      </c>
      <c r="D31" s="21" t="s">
        <v>133</v>
      </c>
      <c r="E31" s="22" t="str">
        <f>HYPERLINK("https://twitter.com/DorisVisits/status/802813599085367296","802813599085367296")</f>
        <v>802813599085367296</v>
      </c>
      <c r="F31" s="23" t="s">
        <v>77</v>
      </c>
      <c r="G31" s="24">
        <v>3046.0</v>
      </c>
      <c r="H31" s="24">
        <v>4501.0</v>
      </c>
      <c r="I31" s="24">
        <v>0.0</v>
      </c>
      <c r="J31" s="24">
        <v>0.0</v>
      </c>
      <c r="K31" s="23" t="s">
        <v>27</v>
      </c>
      <c r="L31" s="25">
        <v>42330.5372337963</v>
      </c>
      <c r="M31" s="26" t="s">
        <v>134</v>
      </c>
      <c r="N31" s="26" t="s">
        <v>135</v>
      </c>
      <c r="O31" s="22" t="str">
        <f>HYPERLINK("https://pbs.twimg.com/profile_images/668416648211222529/-2knYf0__normal.jpg","View")</f>
        <v>View</v>
      </c>
      <c r="P31" s="27"/>
    </row>
    <row r="32">
      <c r="A32" s="19">
        <v>42701.43056712963</v>
      </c>
      <c r="B32" s="20" t="str">
        <f>HYPERLINK("https://twitter.com/Johnalanpick","@Johnalanpick")</f>
        <v>@Johnalanpick</v>
      </c>
      <c r="C32" s="21" t="s">
        <v>30</v>
      </c>
      <c r="D32" s="21" t="s">
        <v>136</v>
      </c>
      <c r="E32" s="22" t="str">
        <f>HYPERLINK("https://twitter.com/Johnalanpick/status/802819256316366848","802819256316366848")</f>
        <v>802819256316366848</v>
      </c>
      <c r="F32" s="23" t="s">
        <v>32</v>
      </c>
      <c r="G32" s="24">
        <v>1309.0</v>
      </c>
      <c r="H32" s="24">
        <v>1417.0</v>
      </c>
      <c r="I32" s="24">
        <v>1.0</v>
      </c>
      <c r="J32" s="24">
        <v>1.0</v>
      </c>
      <c r="K32" s="23" t="s">
        <v>27</v>
      </c>
      <c r="L32" s="25">
        <v>39949.55190972222</v>
      </c>
      <c r="M32" s="26" t="s">
        <v>33</v>
      </c>
      <c r="N32" s="26" t="s">
        <v>34</v>
      </c>
      <c r="O32" s="22" t="str">
        <f>HYPERLINK("https://pbs.twimg.com/profile_images/721987658449305600/1WmSYuM-_normal.jpg","View")</f>
        <v>View</v>
      </c>
      <c r="P32" s="27"/>
    </row>
    <row r="33">
      <c r="A33" s="19">
        <v>42701.43091435185</v>
      </c>
      <c r="B33" s="20" t="str">
        <f>HYPERLINK("https://twitter.com/HARROW_h","@HARROW_h")</f>
        <v>@HARROW_h</v>
      </c>
      <c r="C33" s="21" t="s">
        <v>137</v>
      </c>
      <c r="D33" s="21" t="s">
        <v>138</v>
      </c>
      <c r="E33" s="22" t="str">
        <f>HYPERLINK("https://twitter.com/HARROW_h/status/802819386197221376","802819386197221376")</f>
        <v>802819386197221376</v>
      </c>
      <c r="F33" s="23" t="s">
        <v>26</v>
      </c>
      <c r="G33" s="24">
        <v>2355.0</v>
      </c>
      <c r="H33" s="24">
        <v>4140.0</v>
      </c>
      <c r="I33" s="24">
        <v>1.0</v>
      </c>
      <c r="J33" s="24">
        <v>0.0</v>
      </c>
      <c r="K33" s="23" t="s">
        <v>27</v>
      </c>
      <c r="L33" s="25">
        <v>40949.10383101852</v>
      </c>
      <c r="M33" s="26" t="s">
        <v>139</v>
      </c>
      <c r="N33" s="26" t="s">
        <v>140</v>
      </c>
      <c r="O33" s="22" t="str">
        <f>HYPERLINK("https://pbs.twimg.com/profile_images/806121280281919488/VpxMiCXt_normal.jpg","View")</f>
        <v>View</v>
      </c>
      <c r="P33" s="27"/>
    </row>
    <row r="34">
      <c r="A34" s="19">
        <v>42701.44146990741</v>
      </c>
      <c r="B34" s="20" t="str">
        <f>HYPERLINK("https://twitter.com/LpaVisit","@LpaVisit")</f>
        <v>@LpaVisit</v>
      </c>
      <c r="C34" s="21" t="s">
        <v>141</v>
      </c>
      <c r="D34" s="21" t="s">
        <v>40</v>
      </c>
      <c r="E34" s="22" t="str">
        <f>HYPERLINK("https://twitter.com/LpaVisit/status/802823210488266752","802823210488266752")</f>
        <v>802823210488266752</v>
      </c>
      <c r="F34" s="23" t="s">
        <v>37</v>
      </c>
      <c r="G34" s="24">
        <v>9640.0</v>
      </c>
      <c r="H34" s="24">
        <v>554.0</v>
      </c>
      <c r="I34" s="24">
        <v>12.0</v>
      </c>
      <c r="J34" s="24">
        <v>0.0</v>
      </c>
      <c r="K34" s="23" t="s">
        <v>27</v>
      </c>
      <c r="L34" s="25">
        <v>40866.561064814814</v>
      </c>
      <c r="M34" s="26" t="s">
        <v>109</v>
      </c>
      <c r="N34" s="26" t="s">
        <v>142</v>
      </c>
      <c r="O34" s="22" t="str">
        <f>HYPERLINK("https://pbs.twimg.com/profile_images/656385242819907584/6_e-4aUc_normal.jpg","View")</f>
        <v>View</v>
      </c>
      <c r="P34" s="27"/>
    </row>
    <row r="35">
      <c r="A35" s="19">
        <v>42701.44533564815</v>
      </c>
      <c r="B35" s="20" t="str">
        <f>HYPERLINK("https://twitter.com/ShopAfortunadas","@ShopAfortunadas")</f>
        <v>@ShopAfortunadas</v>
      </c>
      <c r="C35" s="21" t="s">
        <v>143</v>
      </c>
      <c r="D35" s="21" t="s">
        <v>144</v>
      </c>
      <c r="E35" s="22" t="str">
        <f>HYPERLINK("https://twitter.com/ShopAfortunadas/status/802824609670328321","802824609670328321")</f>
        <v>802824609670328321</v>
      </c>
      <c r="F35" s="23" t="s">
        <v>81</v>
      </c>
      <c r="G35" s="24">
        <v>187.0</v>
      </c>
      <c r="H35" s="24">
        <v>240.0</v>
      </c>
      <c r="I35" s="24">
        <v>0.0</v>
      </c>
      <c r="J35" s="24">
        <v>0.0</v>
      </c>
      <c r="K35" s="23" t="s">
        <v>27</v>
      </c>
      <c r="L35" s="25">
        <v>41772.625543981485</v>
      </c>
      <c r="M35" s="26" t="s">
        <v>42</v>
      </c>
      <c r="N35" s="26" t="s">
        <v>145</v>
      </c>
      <c r="O35" s="22" t="str">
        <f>HYPERLINK("https://pbs.twimg.com/profile_images/679251177305972736/xtBJP7kS_normal.jpg","View")</f>
        <v>View</v>
      </c>
      <c r="P35" s="27"/>
    </row>
    <row r="36">
      <c r="A36" s="19">
        <v>42701.448472222226</v>
      </c>
      <c r="B36" s="20" t="str">
        <f>HYPERLINK("https://twitter.com/JohnLalana","@JohnLalana")</f>
        <v>@JohnLalana</v>
      </c>
      <c r="C36" s="21" t="s">
        <v>146</v>
      </c>
      <c r="D36" s="21" t="s">
        <v>40</v>
      </c>
      <c r="E36" s="22" t="str">
        <f>HYPERLINK("https://twitter.com/JohnLalana/status/802825747866025984","802825747866025984")</f>
        <v>802825747866025984</v>
      </c>
      <c r="F36" s="23" t="s">
        <v>37</v>
      </c>
      <c r="G36" s="24">
        <v>217.0</v>
      </c>
      <c r="H36" s="24">
        <v>630.0</v>
      </c>
      <c r="I36" s="24">
        <v>12.0</v>
      </c>
      <c r="J36" s="24">
        <v>0.0</v>
      </c>
      <c r="K36" s="23" t="s">
        <v>27</v>
      </c>
      <c r="L36" s="25">
        <v>41450.454409722224</v>
      </c>
      <c r="M36" s="26" t="s">
        <v>147</v>
      </c>
      <c r="N36" s="26" t="s">
        <v>148</v>
      </c>
      <c r="O36" s="22" t="str">
        <f>HYPERLINK("https://pbs.twimg.com/profile_images/793018260774121473/6jjA7111_normal.jpg","View")</f>
        <v>View</v>
      </c>
      <c r="P36" s="27"/>
    </row>
    <row r="37">
      <c r="A37" s="19">
        <v>42701.45153935185</v>
      </c>
      <c r="B37" s="20" t="str">
        <f>HYPERLINK("https://twitter.com/paikea_nz","@paikea_nz")</f>
        <v>@paikea_nz</v>
      </c>
      <c r="C37" s="21" t="s">
        <v>149</v>
      </c>
      <c r="D37" s="21" t="s">
        <v>150</v>
      </c>
      <c r="E37" s="22" t="str">
        <f>HYPERLINK("https://twitter.com/paikea_nz/status/802826857095843841","802826857095843841")</f>
        <v>802826857095843841</v>
      </c>
      <c r="F37" s="23" t="s">
        <v>37</v>
      </c>
      <c r="G37" s="24">
        <v>427.0</v>
      </c>
      <c r="H37" s="24">
        <v>1679.0</v>
      </c>
      <c r="I37" s="24">
        <v>0.0</v>
      </c>
      <c r="J37" s="24">
        <v>2.0</v>
      </c>
      <c r="K37" s="23" t="s">
        <v>27</v>
      </c>
      <c r="L37" s="25">
        <v>39998.64734953704</v>
      </c>
      <c r="M37" s="26" t="s">
        <v>151</v>
      </c>
      <c r="N37" s="26" t="s">
        <v>152</v>
      </c>
      <c r="O37" s="22" t="str">
        <f>HYPERLINK("https://pbs.twimg.com/profile_images/528647616423157760/LFpSUGJa_normal.jpeg","View")</f>
        <v>View</v>
      </c>
      <c r="P37" s="27"/>
    </row>
    <row r="38">
      <c r="A38" s="19">
        <v>42701.45471064815</v>
      </c>
      <c r="B38" s="20" t="str">
        <f>HYPERLINK("https://twitter.com/HildegardWerth","@HildegardWerth")</f>
        <v>@HildegardWerth</v>
      </c>
      <c r="C38" s="21" t="s">
        <v>153</v>
      </c>
      <c r="D38" s="21" t="s">
        <v>154</v>
      </c>
      <c r="E38" s="22" t="str">
        <f>HYPERLINK("https://twitter.com/HildegardWerth/status/802828007052288000","802828007052288000")</f>
        <v>802828007052288000</v>
      </c>
      <c r="F38" s="23" t="s">
        <v>26</v>
      </c>
      <c r="G38" s="24">
        <v>278.0</v>
      </c>
      <c r="H38" s="24">
        <v>240.0</v>
      </c>
      <c r="I38" s="24">
        <v>1.0</v>
      </c>
      <c r="J38" s="24">
        <v>2.0</v>
      </c>
      <c r="K38" s="23" t="s">
        <v>27</v>
      </c>
      <c r="L38" s="25">
        <v>42099.40185185186</v>
      </c>
      <c r="M38" s="26" t="s">
        <v>155</v>
      </c>
      <c r="N38" s="26" t="s">
        <v>156</v>
      </c>
      <c r="O38" s="22" t="str">
        <f>HYPERLINK("https://pbs.twimg.com/profile_images/584640372015505408/lJKjOceU_normal.jpg","View")</f>
        <v>View</v>
      </c>
      <c r="P38" s="27"/>
    </row>
    <row r="39">
      <c r="A39" s="19">
        <v>42701.45549768519</v>
      </c>
      <c r="B39" s="20" t="str">
        <f>HYPERLINK("https://twitter.com/sergon2000","@sergon2000")</f>
        <v>@sergon2000</v>
      </c>
      <c r="C39" s="21" t="s">
        <v>157</v>
      </c>
      <c r="D39" s="21" t="s">
        <v>158</v>
      </c>
      <c r="E39" s="22" t="str">
        <f>HYPERLINK("https://twitter.com/sergon2000/status/802828291912724480","802828291912724480")</f>
        <v>802828291912724480</v>
      </c>
      <c r="F39" s="23" t="s">
        <v>69</v>
      </c>
      <c r="G39" s="24">
        <v>123.0</v>
      </c>
      <c r="H39" s="24">
        <v>191.0</v>
      </c>
      <c r="I39" s="24">
        <v>0.0</v>
      </c>
      <c r="J39" s="24">
        <v>4.0</v>
      </c>
      <c r="K39" s="23" t="s">
        <v>27</v>
      </c>
      <c r="L39" s="25">
        <v>40350.56459490741</v>
      </c>
      <c r="M39" s="26" t="s">
        <v>159</v>
      </c>
      <c r="N39" s="26" t="s">
        <v>160</v>
      </c>
      <c r="O39" s="22" t="str">
        <f>HYPERLINK("https://pbs.twimg.com/profile_images/1519010345/yo_normal.jpg","View")</f>
        <v>View</v>
      </c>
      <c r="P39" s="27"/>
    </row>
    <row r="40">
      <c r="A40" s="19">
        <v>42701.45820601852</v>
      </c>
      <c r="B40" s="20" t="str">
        <f>HYPERLINK("https://twitter.com/DailosPerez","@DailosPerez")</f>
        <v>@DailosPerez</v>
      </c>
      <c r="C40" s="21" t="s">
        <v>161</v>
      </c>
      <c r="D40" s="21" t="s">
        <v>162</v>
      </c>
      <c r="E40" s="22" t="str">
        <f>HYPERLINK("https://twitter.com/DailosPerez/status/802829273149112321","802829273149112321")</f>
        <v>802829273149112321</v>
      </c>
      <c r="F40" s="23" t="s">
        <v>81</v>
      </c>
      <c r="G40" s="24">
        <v>208.0</v>
      </c>
      <c r="H40" s="24">
        <v>482.0</v>
      </c>
      <c r="I40" s="24">
        <v>0.0</v>
      </c>
      <c r="J40" s="24">
        <v>0.0</v>
      </c>
      <c r="K40" s="23" t="s">
        <v>27</v>
      </c>
      <c r="L40" s="25">
        <v>40965.74142361111</v>
      </c>
      <c r="M40" s="26" t="s">
        <v>163</v>
      </c>
      <c r="N40" s="26" t="s">
        <v>164</v>
      </c>
      <c r="O40" s="22" t="str">
        <f>HYPERLINK("https://pbs.twimg.com/profile_images/564672024304300032/WqQtnNas_normal.png","View")</f>
        <v>View</v>
      </c>
      <c r="P40" s="27"/>
    </row>
    <row r="41">
      <c r="A41" s="19">
        <v>42701.45989583334</v>
      </c>
      <c r="B41" s="20" t="str">
        <f>HYPERLINK("https://twitter.com/CanaryIslandsEN","@CanaryIslandsEN")</f>
        <v>@CanaryIslandsEN</v>
      </c>
      <c r="C41" s="21" t="s">
        <v>165</v>
      </c>
      <c r="D41" s="21" t="s">
        <v>166</v>
      </c>
      <c r="E41" s="22" t="str">
        <f>HYPERLINK("https://twitter.com/CanaryIslandsEN/status/802829888306761728","802829888306761728")</f>
        <v>802829888306761728</v>
      </c>
      <c r="F41" s="23" t="s">
        <v>167</v>
      </c>
      <c r="G41" s="24">
        <v>14287.0</v>
      </c>
      <c r="H41" s="24">
        <v>1533.0</v>
      </c>
      <c r="I41" s="24">
        <v>0.0</v>
      </c>
      <c r="J41" s="24">
        <v>5.0</v>
      </c>
      <c r="K41" s="23" t="s">
        <v>27</v>
      </c>
      <c r="L41" s="25">
        <v>41264.365949074076</v>
      </c>
      <c r="M41" s="26" t="s">
        <v>168</v>
      </c>
      <c r="N41" s="26" t="s">
        <v>169</v>
      </c>
      <c r="O41" s="22" t="str">
        <f>HYPERLINK("https://pbs.twimg.com/profile_images/754960714704584704/14dQxsF8_normal.jpg","View")</f>
        <v>View</v>
      </c>
      <c r="P41" s="27"/>
    </row>
    <row r="42">
      <c r="A42" s="19">
        <v>42701.46151620371</v>
      </c>
      <c r="B42" s="20" t="str">
        <f>HYPERLINK("https://twitter.com/Salamanca_SSV","@Salamanca_SSV")</f>
        <v>@Salamanca_SSV</v>
      </c>
      <c r="C42" s="21" t="s">
        <v>170</v>
      </c>
      <c r="D42" s="21" t="s">
        <v>40</v>
      </c>
      <c r="E42" s="22" t="str">
        <f>HYPERLINK("https://twitter.com/Salamanca_SSV/status/802830473001127936","802830473001127936")</f>
        <v>802830473001127936</v>
      </c>
      <c r="F42" s="23" t="s">
        <v>41</v>
      </c>
      <c r="G42" s="24">
        <v>7240.0</v>
      </c>
      <c r="H42" s="24">
        <v>7824.0</v>
      </c>
      <c r="I42" s="24">
        <v>12.0</v>
      </c>
      <c r="J42" s="24">
        <v>0.0</v>
      </c>
      <c r="K42" s="23" t="s">
        <v>27</v>
      </c>
      <c r="L42" s="25">
        <v>41317.78532407407</v>
      </c>
      <c r="M42" s="26" t="s">
        <v>171</v>
      </c>
      <c r="N42" s="26" t="s">
        <v>172</v>
      </c>
      <c r="O42" s="22" t="str">
        <f>HYPERLINK("https://pbs.twimg.com/profile_images/3461850627/70f1c6c744e939681691ad3a09d64375_normal.png","View")</f>
        <v>View</v>
      </c>
      <c r="P42" s="27"/>
    </row>
    <row r="43">
      <c r="A43" s="19">
        <v>42701.46261574074</v>
      </c>
      <c r="B43" s="20" t="str">
        <f>HYPERLINK("https://twitter.com/enduriaholidays","@enduriaholidays")</f>
        <v>@enduriaholidays</v>
      </c>
      <c r="C43" s="21" t="s">
        <v>173</v>
      </c>
      <c r="D43" s="21" t="s">
        <v>174</v>
      </c>
      <c r="E43" s="22" t="str">
        <f>HYPERLINK("https://twitter.com/enduriaholidays/status/802830874349883392","802830874349883392")</f>
        <v>802830874349883392</v>
      </c>
      <c r="F43" s="23" t="s">
        <v>69</v>
      </c>
      <c r="G43" s="24">
        <v>319.0</v>
      </c>
      <c r="H43" s="24">
        <v>313.0</v>
      </c>
      <c r="I43" s="24">
        <v>0.0</v>
      </c>
      <c r="J43" s="24">
        <v>0.0</v>
      </c>
      <c r="K43" s="23" t="s">
        <v>27</v>
      </c>
      <c r="L43" s="25">
        <v>42489.5252662037</v>
      </c>
      <c r="M43" s="28"/>
      <c r="N43" s="28"/>
      <c r="O43" s="22" t="str">
        <f>HYPERLINK("https://pbs.twimg.com/profile_images/726026649356128258/xCSaP1IW_normal.jpg","View")</f>
        <v>View</v>
      </c>
      <c r="P43" s="27"/>
    </row>
    <row r="44">
      <c r="A44" s="19">
        <v>42701.46475694445</v>
      </c>
      <c r="B44" s="20" t="str">
        <f t="shared" ref="B44:B47" si="1">HYPERLINK("https://twitter.com/rickfoliva","@rickfoliva")</f>
        <v>@rickfoliva</v>
      </c>
      <c r="C44" s="21" t="s">
        <v>175</v>
      </c>
      <c r="D44" s="21" t="s">
        <v>176</v>
      </c>
      <c r="E44" s="22" t="str">
        <f>HYPERLINK("https://twitter.com/rickfoliva/status/802831649541095424","802831649541095424")</f>
        <v>802831649541095424</v>
      </c>
      <c r="F44" s="23" t="s">
        <v>69</v>
      </c>
      <c r="G44" s="24">
        <v>428.0</v>
      </c>
      <c r="H44" s="24">
        <v>18.0</v>
      </c>
      <c r="I44" s="24">
        <v>0.0</v>
      </c>
      <c r="J44" s="24">
        <v>0.0</v>
      </c>
      <c r="K44" s="23" t="s">
        <v>27</v>
      </c>
      <c r="L44" s="25">
        <v>42504.58459490741</v>
      </c>
      <c r="M44" s="26" t="s">
        <v>177</v>
      </c>
      <c r="N44" s="26" t="s">
        <v>178</v>
      </c>
      <c r="O44" s="22" t="str">
        <f t="shared" ref="O44:O47" si="2">HYPERLINK("https://pbs.twimg.com/profile_images/731471241282871297/LE7uB3IZ_normal.jpg","View")</f>
        <v>View</v>
      </c>
      <c r="P44" s="27"/>
    </row>
    <row r="45">
      <c r="A45" s="19">
        <v>42701.46476851852</v>
      </c>
      <c r="B45" s="20" t="str">
        <f t="shared" si="1"/>
        <v>@rickfoliva</v>
      </c>
      <c r="C45" s="21" t="s">
        <v>175</v>
      </c>
      <c r="D45" s="21" t="s">
        <v>179</v>
      </c>
      <c r="E45" s="22" t="str">
        <f>HYPERLINK("https://twitter.com/rickfoliva/status/802831651269177344","802831651269177344")</f>
        <v>802831651269177344</v>
      </c>
      <c r="F45" s="23" t="s">
        <v>69</v>
      </c>
      <c r="G45" s="24">
        <v>428.0</v>
      </c>
      <c r="H45" s="24">
        <v>18.0</v>
      </c>
      <c r="I45" s="24">
        <v>1.0</v>
      </c>
      <c r="J45" s="24">
        <v>0.0</v>
      </c>
      <c r="K45" s="23" t="s">
        <v>27</v>
      </c>
      <c r="L45" s="25">
        <v>42504.58459490741</v>
      </c>
      <c r="M45" s="26" t="s">
        <v>177</v>
      </c>
      <c r="N45" s="26" t="s">
        <v>178</v>
      </c>
      <c r="O45" s="22" t="str">
        <f t="shared" si="2"/>
        <v>View</v>
      </c>
      <c r="P45" s="27"/>
    </row>
    <row r="46">
      <c r="A46" s="19">
        <v>42701.46476851852</v>
      </c>
      <c r="B46" s="20" t="str">
        <f t="shared" si="1"/>
        <v>@rickfoliva</v>
      </c>
      <c r="C46" s="21" t="s">
        <v>175</v>
      </c>
      <c r="D46" s="21" t="s">
        <v>180</v>
      </c>
      <c r="E46" s="22" t="str">
        <f>HYPERLINK("https://twitter.com/rickfoliva/status/802831654138052608","802831654138052608")</f>
        <v>802831654138052608</v>
      </c>
      <c r="F46" s="23" t="s">
        <v>69</v>
      </c>
      <c r="G46" s="24">
        <v>428.0</v>
      </c>
      <c r="H46" s="24">
        <v>18.0</v>
      </c>
      <c r="I46" s="24">
        <v>1.0</v>
      </c>
      <c r="J46" s="24">
        <v>0.0</v>
      </c>
      <c r="K46" s="23" t="s">
        <v>27</v>
      </c>
      <c r="L46" s="25">
        <v>42504.58459490741</v>
      </c>
      <c r="M46" s="26" t="s">
        <v>177</v>
      </c>
      <c r="N46" s="26" t="s">
        <v>178</v>
      </c>
      <c r="O46" s="22" t="str">
        <f t="shared" si="2"/>
        <v>View</v>
      </c>
      <c r="P46" s="27"/>
    </row>
    <row r="47">
      <c r="A47" s="19">
        <v>42701.46478009259</v>
      </c>
      <c r="B47" s="20" t="str">
        <f t="shared" si="1"/>
        <v>@rickfoliva</v>
      </c>
      <c r="C47" s="21" t="s">
        <v>175</v>
      </c>
      <c r="D47" s="21" t="s">
        <v>181</v>
      </c>
      <c r="E47" s="22" t="str">
        <f>HYPERLINK("https://twitter.com/rickfoliva/status/802831655681585152","802831655681585152")</f>
        <v>802831655681585152</v>
      </c>
      <c r="F47" s="23" t="s">
        <v>69</v>
      </c>
      <c r="G47" s="24">
        <v>428.0</v>
      </c>
      <c r="H47" s="24">
        <v>18.0</v>
      </c>
      <c r="I47" s="24">
        <v>1.0</v>
      </c>
      <c r="J47" s="24">
        <v>0.0</v>
      </c>
      <c r="K47" s="23" t="s">
        <v>27</v>
      </c>
      <c r="L47" s="25">
        <v>42504.58459490741</v>
      </c>
      <c r="M47" s="26" t="s">
        <v>177</v>
      </c>
      <c r="N47" s="26" t="s">
        <v>178</v>
      </c>
      <c r="O47" s="22" t="str">
        <f t="shared" si="2"/>
        <v>View</v>
      </c>
      <c r="P47" s="27"/>
    </row>
    <row r="48">
      <c r="A48" s="19">
        <v>42701.4653587963</v>
      </c>
      <c r="B48" s="20" t="str">
        <f>HYPERLINK("https://twitter.com/presasgc","@presasgc")</f>
        <v>@presasgc</v>
      </c>
      <c r="C48" s="21" t="s">
        <v>182</v>
      </c>
      <c r="D48" s="21" t="s">
        <v>183</v>
      </c>
      <c r="E48" s="22" t="str">
        <f>HYPERLINK("https://twitter.com/presasgc/status/802831865853911040","802831865853911040")</f>
        <v>802831865853911040</v>
      </c>
      <c r="F48" s="23" t="s">
        <v>41</v>
      </c>
      <c r="G48" s="24">
        <v>1352.0</v>
      </c>
      <c r="H48" s="24">
        <v>1654.0</v>
      </c>
      <c r="I48" s="24">
        <v>1.0</v>
      </c>
      <c r="J48" s="24">
        <v>0.0</v>
      </c>
      <c r="K48" s="23" t="s">
        <v>27</v>
      </c>
      <c r="L48" s="25">
        <v>41109.9346875</v>
      </c>
      <c r="M48" s="26" t="s">
        <v>184</v>
      </c>
      <c r="N48" s="26" t="s">
        <v>185</v>
      </c>
      <c r="O48" s="22" t="str">
        <f>HYPERLINK("https://pbs.twimg.com/profile_images/614822380859473920/pkG6W2ir_normal.jpg","View")</f>
        <v>View</v>
      </c>
      <c r="P48" s="27"/>
    </row>
    <row r="49">
      <c r="A49" s="19">
        <v>42701.465567129635</v>
      </c>
      <c r="B49" s="20" t="str">
        <f>HYPERLINK("https://twitter.com/LesRandosdeCaco","@LesRandosdeCaco")</f>
        <v>@LesRandosdeCaco</v>
      </c>
      <c r="C49" s="21" t="s">
        <v>186</v>
      </c>
      <c r="D49" s="21" t="s">
        <v>187</v>
      </c>
      <c r="E49" s="22" t="str">
        <f>HYPERLINK("https://twitter.com/LesRandosdeCaco/status/802831942504824832","802831942504824832")</f>
        <v>802831942504824832</v>
      </c>
      <c r="F49" s="23" t="s">
        <v>41</v>
      </c>
      <c r="G49" s="24">
        <v>7.0</v>
      </c>
      <c r="H49" s="24">
        <v>57.0</v>
      </c>
      <c r="I49" s="24">
        <v>0.0</v>
      </c>
      <c r="J49" s="24">
        <v>0.0</v>
      </c>
      <c r="K49" s="23" t="s">
        <v>27</v>
      </c>
      <c r="L49" s="25">
        <v>41643.68407407407</v>
      </c>
      <c r="M49" s="26" t="s">
        <v>188</v>
      </c>
      <c r="N49" s="26" t="s">
        <v>189</v>
      </c>
      <c r="O49" s="22" t="str">
        <f>HYPERLINK("https://pbs.twimg.com/profile_images/802073872866705408/wMHnHYch_normal.jpg","View")</f>
        <v>View</v>
      </c>
      <c r="P49" s="27"/>
    </row>
    <row r="50">
      <c r="A50" s="19">
        <v>42701.46949074074</v>
      </c>
      <c r="B50" s="20" t="str">
        <f>HYPERLINK("https://twitter.com/AGMTfe","@AGMTfe")</f>
        <v>@AGMTfe</v>
      </c>
      <c r="C50" s="21" t="s">
        <v>190</v>
      </c>
      <c r="D50" s="21" t="s">
        <v>191</v>
      </c>
      <c r="E50" s="22" t="str">
        <f>HYPERLINK("https://twitter.com/AGMTfe/status/802833365808324608","802833365808324608")</f>
        <v>802833365808324608</v>
      </c>
      <c r="F50" s="23" t="s">
        <v>41</v>
      </c>
      <c r="G50" s="24">
        <v>446.0</v>
      </c>
      <c r="H50" s="24">
        <v>443.0</v>
      </c>
      <c r="I50" s="24">
        <v>5.0</v>
      </c>
      <c r="J50" s="24">
        <v>0.0</v>
      </c>
      <c r="K50" s="23" t="s">
        <v>27</v>
      </c>
      <c r="L50" s="25">
        <v>42301.52774305556</v>
      </c>
      <c r="M50" s="26" t="s">
        <v>192</v>
      </c>
      <c r="N50" s="26" t="s">
        <v>193</v>
      </c>
      <c r="O50" s="22" t="str">
        <f>HYPERLINK("https://pbs.twimg.com/profile_images/769912055159742464/gMOql2lE_normal.jpg","View")</f>
        <v>View</v>
      </c>
      <c r="P50" s="27"/>
    </row>
    <row r="51">
      <c r="A51" s="19">
        <v>42701.485925925925</v>
      </c>
      <c r="B51" s="20" t="str">
        <f>HYPERLINK("https://twitter.com/Selhso","@Selhso")</f>
        <v>@Selhso</v>
      </c>
      <c r="C51" s="21" t="s">
        <v>194</v>
      </c>
      <c r="D51" s="21" t="s">
        <v>195</v>
      </c>
      <c r="E51" s="22" t="str">
        <f>HYPERLINK("https://twitter.com/Selhso/status/802839321090883585","802839321090883585")</f>
        <v>802839321090883585</v>
      </c>
      <c r="F51" s="23" t="s">
        <v>37</v>
      </c>
      <c r="G51" s="24">
        <v>1615.0</v>
      </c>
      <c r="H51" s="24">
        <v>1661.0</v>
      </c>
      <c r="I51" s="24">
        <v>7.0</v>
      </c>
      <c r="J51" s="24">
        <v>13.0</v>
      </c>
      <c r="K51" s="23" t="s">
        <v>27</v>
      </c>
      <c r="L51" s="25">
        <v>40372.68681712963</v>
      </c>
      <c r="M51" s="26" t="s">
        <v>196</v>
      </c>
      <c r="N51" s="26" t="s">
        <v>109</v>
      </c>
      <c r="O51" s="22" t="str">
        <f>HYPERLINK("https://pbs.twimg.com/profile_images/800845512836579328/cKh_5hB2_normal.jpg","View")</f>
        <v>View</v>
      </c>
      <c r="P51" s="27"/>
    </row>
    <row r="52">
      <c r="A52" s="19">
        <v>42701.48715277778</v>
      </c>
      <c r="B52" s="20" t="str">
        <f>HYPERLINK("https://twitter.com/DulcesAlegrias","@DulcesAlegrias")</f>
        <v>@DulcesAlegrias</v>
      </c>
      <c r="C52" s="21" t="s">
        <v>197</v>
      </c>
      <c r="D52" s="21" t="s">
        <v>198</v>
      </c>
      <c r="E52" s="22" t="str">
        <f>HYPERLINK("https://twitter.com/DulcesAlegrias/status/802839765926055936","802839765926055936")</f>
        <v>802839765926055936</v>
      </c>
      <c r="F52" s="23" t="s">
        <v>81</v>
      </c>
      <c r="G52" s="24">
        <v>92.0</v>
      </c>
      <c r="H52" s="24">
        <v>118.0</v>
      </c>
      <c r="I52" s="24">
        <v>1.0</v>
      </c>
      <c r="J52" s="24">
        <v>2.0</v>
      </c>
      <c r="K52" s="23" t="s">
        <v>27</v>
      </c>
      <c r="L52" s="25">
        <v>41438.383935185186</v>
      </c>
      <c r="M52" s="26" t="s">
        <v>199</v>
      </c>
      <c r="N52" s="26" t="s">
        <v>200</v>
      </c>
      <c r="O52" s="22" t="str">
        <f>HYPERLINK("https://pbs.twimg.com/profile_images/802257037526761473/edQBBUlS_normal.jpg","View")</f>
        <v>View</v>
      </c>
      <c r="P52" s="27" t="str">
        <f t="shared" ref="P52:P53" si="3">HYPERLINK("https://ctrlq.org/maps/address/#28.3546715,-16.3710091","Map")</f>
        <v>#ERROR!</v>
      </c>
    </row>
    <row r="53">
      <c r="A53" s="19">
        <v>42701.50046296296</v>
      </c>
      <c r="B53" s="20" t="str">
        <f>HYPERLINK("https://twitter.com/asierbaquero","@asierbaquero")</f>
        <v>@asierbaquero</v>
      </c>
      <c r="C53" s="21" t="s">
        <v>201</v>
      </c>
      <c r="D53" s="21" t="s">
        <v>202</v>
      </c>
      <c r="E53" s="22" t="str">
        <f>HYPERLINK("https://twitter.com/asierbaquero/status/802844587719008256","802844587719008256")</f>
        <v>802844587719008256</v>
      </c>
      <c r="F53" s="23" t="s">
        <v>81</v>
      </c>
      <c r="G53" s="24">
        <v>11368.0</v>
      </c>
      <c r="H53" s="24">
        <v>11204.0</v>
      </c>
      <c r="I53" s="24">
        <v>0.0</v>
      </c>
      <c r="J53" s="24">
        <v>2.0</v>
      </c>
      <c r="K53" s="23" t="s">
        <v>27</v>
      </c>
      <c r="L53" s="25">
        <v>39982.34755787037</v>
      </c>
      <c r="M53" s="26" t="s">
        <v>203</v>
      </c>
      <c r="N53" s="26" t="s">
        <v>204</v>
      </c>
      <c r="O53" s="22" t="str">
        <f>HYPERLINK("https://pbs.twimg.com/profile_images/3497575836/b2ae6be61f3184c86257069654bfa8d6_normal.jpeg","View")</f>
        <v>View</v>
      </c>
      <c r="P53" s="27" t="str">
        <f t="shared" si="3"/>
        <v>#ERROR!</v>
      </c>
    </row>
    <row r="54">
      <c r="A54" s="19">
        <v>42701.51180555555</v>
      </c>
      <c r="B54" s="20" t="str">
        <f>HYPERLINK("https://twitter.com/paisajecanario","@paisajecanario")</f>
        <v>@paisajecanario</v>
      </c>
      <c r="C54" s="21" t="s">
        <v>70</v>
      </c>
      <c r="D54" s="21" t="s">
        <v>205</v>
      </c>
      <c r="E54" s="22" t="str">
        <f>HYPERLINK("https://twitter.com/paisajecanario/status/802848700083015680","802848700083015680")</f>
        <v>802848700083015680</v>
      </c>
      <c r="F54" s="23" t="s">
        <v>26</v>
      </c>
      <c r="G54" s="24">
        <v>13324.0</v>
      </c>
      <c r="H54" s="24">
        <v>434.0</v>
      </c>
      <c r="I54" s="24">
        <v>7.0</v>
      </c>
      <c r="J54" s="24">
        <v>0.0</v>
      </c>
      <c r="K54" s="23" t="s">
        <v>27</v>
      </c>
      <c r="L54" s="25">
        <v>41815.714641203704</v>
      </c>
      <c r="M54" s="26" t="s">
        <v>71</v>
      </c>
      <c r="N54" s="26" t="s">
        <v>72</v>
      </c>
      <c r="O54" s="22" t="str">
        <f>HYPERLINK("https://pbs.twimg.com/profile_images/789364630850240512/Mw90qAlM_normal.jpg","View")</f>
        <v>View</v>
      </c>
      <c r="P54" s="27"/>
    </row>
    <row r="55">
      <c r="A55" s="19">
        <v>42701.51938657407</v>
      </c>
      <c r="B55" s="20" t="str">
        <f>HYPERLINK("https://twitter.com/PhilStubbington","@PhilStubbington")</f>
        <v>@PhilStubbington</v>
      </c>
      <c r="C55" s="21" t="s">
        <v>206</v>
      </c>
      <c r="D55" s="21" t="s">
        <v>36</v>
      </c>
      <c r="E55" s="22" t="str">
        <f>HYPERLINK("https://twitter.com/PhilStubbington/status/802851445150072832","802851445150072832")</f>
        <v>802851445150072832</v>
      </c>
      <c r="F55" s="23" t="s">
        <v>26</v>
      </c>
      <c r="G55" s="24">
        <v>276.0</v>
      </c>
      <c r="H55" s="24">
        <v>813.0</v>
      </c>
      <c r="I55" s="24">
        <v>47.0</v>
      </c>
      <c r="J55" s="24">
        <v>0.0</v>
      </c>
      <c r="K55" s="23" t="s">
        <v>27</v>
      </c>
      <c r="L55" s="25">
        <v>39907.51422453704</v>
      </c>
      <c r="M55" s="26" t="s">
        <v>207</v>
      </c>
      <c r="N55" s="26" t="s">
        <v>208</v>
      </c>
      <c r="O55" s="22" t="str">
        <f>HYPERLINK("https://pbs.twimg.com/profile_images/785027440498319360/ECZ0F0W2_normal.jpg","View")</f>
        <v>View</v>
      </c>
      <c r="P55" s="27"/>
    </row>
    <row r="56">
      <c r="A56" s="19">
        <v>42701.52072916667</v>
      </c>
      <c r="B56" s="20" t="str">
        <f>HYPERLINK("https://twitter.com/iBydaute","@iBydaute")</f>
        <v>@iBydaute</v>
      </c>
      <c r="C56" s="21" t="s">
        <v>209</v>
      </c>
      <c r="D56" s="21" t="s">
        <v>210</v>
      </c>
      <c r="E56" s="22" t="str">
        <f>HYPERLINK("https://twitter.com/iBydaute/status/802851933329330176","802851933329330176")</f>
        <v>802851933329330176</v>
      </c>
      <c r="F56" s="23" t="s">
        <v>81</v>
      </c>
      <c r="G56" s="24">
        <v>581.0</v>
      </c>
      <c r="H56" s="24">
        <v>2037.0</v>
      </c>
      <c r="I56" s="24">
        <v>0.0</v>
      </c>
      <c r="J56" s="24">
        <v>0.0</v>
      </c>
      <c r="K56" s="23" t="s">
        <v>27</v>
      </c>
      <c r="L56" s="25">
        <v>39919.48771990741</v>
      </c>
      <c r="M56" s="26" t="s">
        <v>211</v>
      </c>
      <c r="N56" s="26" t="s">
        <v>212</v>
      </c>
      <c r="O56" s="22" t="str">
        <f>HYPERLINK("https://pbs.twimg.com/profile_images/703743884745187328/qEMih7VE_normal.jpg","View")</f>
        <v>View</v>
      </c>
      <c r="P56" s="27" t="str">
        <f>HYPERLINK("https://ctrlq.org/maps/address/#28.3667,-16.9","Map")</f>
        <v>#ERROR!</v>
      </c>
    </row>
    <row r="57">
      <c r="A57" s="19">
        <v>42701.52320601852</v>
      </c>
      <c r="B57" s="20" t="str">
        <f>HYPERLINK("https://twitter.com/Salamanca_SSV","@Salamanca_SSV")</f>
        <v>@Salamanca_SSV</v>
      </c>
      <c r="C57" s="21" t="s">
        <v>170</v>
      </c>
      <c r="D57" s="21" t="s">
        <v>205</v>
      </c>
      <c r="E57" s="22" t="str">
        <f>HYPERLINK("https://twitter.com/Salamanca_SSV/status/802852827659956224","802852827659956224")</f>
        <v>802852827659956224</v>
      </c>
      <c r="F57" s="23" t="s">
        <v>41</v>
      </c>
      <c r="G57" s="24">
        <v>7240.0</v>
      </c>
      <c r="H57" s="24">
        <v>7824.0</v>
      </c>
      <c r="I57" s="24">
        <v>7.0</v>
      </c>
      <c r="J57" s="24">
        <v>0.0</v>
      </c>
      <c r="K57" s="23" t="s">
        <v>27</v>
      </c>
      <c r="L57" s="25">
        <v>41317.78532407407</v>
      </c>
      <c r="M57" s="26" t="s">
        <v>171</v>
      </c>
      <c r="N57" s="26" t="s">
        <v>172</v>
      </c>
      <c r="O57" s="22" t="str">
        <f>HYPERLINK("https://pbs.twimg.com/profile_images/3461850627/70f1c6c744e939681691ad3a09d64375_normal.png","View")</f>
        <v>View</v>
      </c>
      <c r="P57" s="27"/>
    </row>
    <row r="58">
      <c r="A58" s="19">
        <v>42701.52396990741</v>
      </c>
      <c r="B58" s="20" t="str">
        <f>HYPERLINK("https://twitter.com/af41a25f23c74e1","@af41a25f23c74e1")</f>
        <v>@af41a25f23c74e1</v>
      </c>
      <c r="C58" s="21" t="s">
        <v>213</v>
      </c>
      <c r="D58" s="21" t="s">
        <v>89</v>
      </c>
      <c r="E58" s="22" t="str">
        <f>HYPERLINK("https://twitter.com/af41a25f23c74e1/status/802853104618074112","802853104618074112")</f>
        <v>802853104618074112</v>
      </c>
      <c r="F58" s="23" t="s">
        <v>26</v>
      </c>
      <c r="G58" s="24">
        <v>6434.0</v>
      </c>
      <c r="H58" s="24">
        <v>7011.0</v>
      </c>
      <c r="I58" s="24">
        <v>3.0</v>
      </c>
      <c r="J58" s="24">
        <v>0.0</v>
      </c>
      <c r="K58" s="23" t="s">
        <v>27</v>
      </c>
      <c r="L58" s="25">
        <v>42080.44086805556</v>
      </c>
      <c r="M58" s="28"/>
      <c r="N58" s="26" t="s">
        <v>214</v>
      </c>
      <c r="O58" s="22" t="str">
        <f>HYPERLINK("https://pbs.twimg.com/profile_images/802853371480711168/n_hXbQwc_normal.jpg","View")</f>
        <v>View</v>
      </c>
      <c r="P58" s="27"/>
    </row>
    <row r="59">
      <c r="A59" s="19">
        <v>42701.52795138889</v>
      </c>
      <c r="B59" s="20" t="str">
        <f t="shared" ref="B59:B60" si="4">HYPERLINK("https://twitter.com/islaspromo","@islaspromo")</f>
        <v>@islaspromo</v>
      </c>
      <c r="C59" s="21" t="s">
        <v>215</v>
      </c>
      <c r="D59" s="21" t="s">
        <v>40</v>
      </c>
      <c r="E59" s="22" t="str">
        <f>HYPERLINK("https://twitter.com/islaspromo/status/802854550382215169","802854550382215169")</f>
        <v>802854550382215169</v>
      </c>
      <c r="F59" s="23" t="s">
        <v>41</v>
      </c>
      <c r="G59" s="24">
        <v>785.0</v>
      </c>
      <c r="H59" s="24">
        <v>591.0</v>
      </c>
      <c r="I59" s="24">
        <v>12.0</v>
      </c>
      <c r="J59" s="24">
        <v>0.0</v>
      </c>
      <c r="K59" s="23" t="s">
        <v>27</v>
      </c>
      <c r="L59" s="25">
        <v>42060.74221064815</v>
      </c>
      <c r="M59" s="26" t="s">
        <v>51</v>
      </c>
      <c r="N59" s="26" t="s">
        <v>216</v>
      </c>
      <c r="O59" s="22" t="str">
        <f t="shared" ref="O59:O60" si="5">HYPERLINK("https://pbs.twimg.com/profile_images/570644453866483712/dvbC2x8W_normal.jpeg","View")</f>
        <v>View</v>
      </c>
      <c r="P59" s="27"/>
    </row>
    <row r="60">
      <c r="A60" s="19">
        <v>42701.52869212963</v>
      </c>
      <c r="B60" s="20" t="str">
        <f t="shared" si="4"/>
        <v>@islaspromo</v>
      </c>
      <c r="C60" s="21" t="s">
        <v>215</v>
      </c>
      <c r="D60" s="21" t="s">
        <v>205</v>
      </c>
      <c r="E60" s="22" t="str">
        <f>HYPERLINK("https://twitter.com/islaspromo/status/802854816477282304","802854816477282304")</f>
        <v>802854816477282304</v>
      </c>
      <c r="F60" s="23" t="s">
        <v>41</v>
      </c>
      <c r="G60" s="24">
        <v>785.0</v>
      </c>
      <c r="H60" s="24">
        <v>591.0</v>
      </c>
      <c r="I60" s="24">
        <v>7.0</v>
      </c>
      <c r="J60" s="24">
        <v>0.0</v>
      </c>
      <c r="K60" s="23" t="s">
        <v>27</v>
      </c>
      <c r="L60" s="25">
        <v>42060.74221064815</v>
      </c>
      <c r="M60" s="26" t="s">
        <v>51</v>
      </c>
      <c r="N60" s="26" t="s">
        <v>216</v>
      </c>
      <c r="O60" s="22" t="str">
        <f t="shared" si="5"/>
        <v>View</v>
      </c>
      <c r="P60" s="27"/>
    </row>
    <row r="61">
      <c r="A61" s="19">
        <v>42701.52989583333</v>
      </c>
      <c r="B61" s="20" t="str">
        <f>HYPERLINK("https://twitter.com/guanac2","@guanac2")</f>
        <v>@guanac2</v>
      </c>
      <c r="C61" s="21" t="s">
        <v>217</v>
      </c>
      <c r="D61" s="21" t="s">
        <v>218</v>
      </c>
      <c r="E61" s="22" t="str">
        <f>HYPERLINK("https://twitter.com/guanac2/status/802855255750877184","802855255750877184")</f>
        <v>802855255750877184</v>
      </c>
      <c r="F61" s="23" t="s">
        <v>81</v>
      </c>
      <c r="G61" s="24">
        <v>141.0</v>
      </c>
      <c r="H61" s="24">
        <v>134.0</v>
      </c>
      <c r="I61" s="24">
        <v>0.0</v>
      </c>
      <c r="J61" s="24">
        <v>0.0</v>
      </c>
      <c r="K61" s="23" t="s">
        <v>27</v>
      </c>
      <c r="L61" s="25">
        <v>41343.91627314815</v>
      </c>
      <c r="M61" s="26" t="s">
        <v>109</v>
      </c>
      <c r="N61" s="26" t="s">
        <v>219</v>
      </c>
      <c r="O61" s="22" t="str">
        <f>HYPERLINK("https://pbs.twimg.com/profile_images/660990494768504833/nZJ5VzRf_normal.jpg","View")</f>
        <v>View</v>
      </c>
      <c r="P61" s="27"/>
    </row>
    <row r="62">
      <c r="A62" s="19">
        <v>42701.53347222222</v>
      </c>
      <c r="B62" s="20" t="str">
        <f>HYPERLINK("https://twitter.com/GoldByMarina","@GoldByMarina")</f>
        <v>@GoldByMarina</v>
      </c>
      <c r="C62" s="21" t="s">
        <v>220</v>
      </c>
      <c r="D62" s="21" t="s">
        <v>205</v>
      </c>
      <c r="E62" s="22" t="str">
        <f>HYPERLINK("https://twitter.com/GoldByMarina/status/802856551421657088","802856551421657088")</f>
        <v>802856551421657088</v>
      </c>
      <c r="F62" s="23" t="s">
        <v>37</v>
      </c>
      <c r="G62" s="24">
        <v>328.0</v>
      </c>
      <c r="H62" s="24">
        <v>92.0</v>
      </c>
      <c r="I62" s="24">
        <v>7.0</v>
      </c>
      <c r="J62" s="24">
        <v>0.0</v>
      </c>
      <c r="K62" s="23" t="s">
        <v>27</v>
      </c>
      <c r="L62" s="25">
        <v>41675.443148148144</v>
      </c>
      <c r="M62" s="26" t="s">
        <v>221</v>
      </c>
      <c r="N62" s="26" t="s">
        <v>222</v>
      </c>
      <c r="O62" s="22" t="str">
        <f>HYPERLINK("https://pbs.twimg.com/profile_images/499580538487717888/NxEbStHx_normal.jpeg","View")</f>
        <v>View</v>
      </c>
      <c r="P62" s="27"/>
    </row>
    <row r="63">
      <c r="A63" s="19">
        <v>42701.53836805555</v>
      </c>
      <c r="B63" s="20" t="str">
        <f>HYPERLINK("https://twitter.com/NakashimaOtsu","@NakashimaOtsu")</f>
        <v>@NakashimaOtsu</v>
      </c>
      <c r="C63" s="21" t="s">
        <v>223</v>
      </c>
      <c r="D63" s="21" t="s">
        <v>224</v>
      </c>
      <c r="E63" s="22" t="str">
        <f>HYPERLINK("https://twitter.com/NakashimaOtsu/status/802858326124064768","802858326124064768")</f>
        <v>802858326124064768</v>
      </c>
      <c r="F63" s="23" t="s">
        <v>81</v>
      </c>
      <c r="G63" s="24">
        <v>290.0</v>
      </c>
      <c r="H63" s="24">
        <v>1137.0</v>
      </c>
      <c r="I63" s="24">
        <v>0.0</v>
      </c>
      <c r="J63" s="24">
        <v>0.0</v>
      </c>
      <c r="K63" s="23" t="s">
        <v>27</v>
      </c>
      <c r="L63" s="25">
        <v>40990.976956018516</v>
      </c>
      <c r="M63" s="26" t="s">
        <v>225</v>
      </c>
      <c r="N63" s="26" t="s">
        <v>226</v>
      </c>
      <c r="O63" s="22" t="str">
        <f>HYPERLINK("https://pbs.twimg.com/profile_images/781374281808769024/2lgwqEGT_normal.jpg","View")</f>
        <v>View</v>
      </c>
      <c r="P63" s="27" t="str">
        <f>HYPERLINK("https://ctrlq.org/maps/address/#28.25471322,-16.62585028","Map")</f>
        <v>#ERROR!</v>
      </c>
    </row>
    <row r="64">
      <c r="A64" s="19">
        <v>42701.55491898148</v>
      </c>
      <c r="B64" s="20" t="str">
        <f>HYPERLINK("https://twitter.com/skyhighflyfly","@skyhighflyfly")</f>
        <v>@skyhighflyfly</v>
      </c>
      <c r="C64" s="21" t="s">
        <v>227</v>
      </c>
      <c r="D64" s="21" t="s">
        <v>25</v>
      </c>
      <c r="E64" s="22" t="str">
        <f>HYPERLINK("https://twitter.com/skyhighflyfly/status/802864322879832065","802864322879832065")</f>
        <v>802864322879832065</v>
      </c>
      <c r="F64" s="23" t="s">
        <v>41</v>
      </c>
      <c r="G64" s="24">
        <v>198.0</v>
      </c>
      <c r="H64" s="24">
        <v>1444.0</v>
      </c>
      <c r="I64" s="24">
        <v>71.0</v>
      </c>
      <c r="J64" s="24">
        <v>0.0</v>
      </c>
      <c r="K64" s="23" t="s">
        <v>27</v>
      </c>
      <c r="L64" s="25">
        <v>41300.61447916667</v>
      </c>
      <c r="M64" s="28"/>
      <c r="N64" s="29" t="s">
        <v>228</v>
      </c>
      <c r="O64" s="22" t="str">
        <f>HYPERLINK("https://pbs.twimg.com/profile_images/3166161455/9c46c5e56f7cf3cef81ae63821b93723_normal.jpeg","View")</f>
        <v>View</v>
      </c>
      <c r="P64" s="27"/>
    </row>
    <row r="65">
      <c r="A65" s="19">
        <v>42701.56619212963</v>
      </c>
      <c r="B65" s="20" t="str">
        <f>HYPERLINK("https://twitter.com/travelsportcopy","@travelsportcopy")</f>
        <v>@travelsportcopy</v>
      </c>
      <c r="C65" s="21" t="s">
        <v>229</v>
      </c>
      <c r="D65" s="21" t="s">
        <v>230</v>
      </c>
      <c r="E65" s="22" t="str">
        <f>HYPERLINK("https://twitter.com/travelsportcopy/status/802868406890336256","802868406890336256")</f>
        <v>802868406890336256</v>
      </c>
      <c r="F65" s="23" t="s">
        <v>26</v>
      </c>
      <c r="G65" s="24">
        <v>2085.0</v>
      </c>
      <c r="H65" s="24">
        <v>2259.0</v>
      </c>
      <c r="I65" s="24">
        <v>0.0</v>
      </c>
      <c r="J65" s="24">
        <v>0.0</v>
      </c>
      <c r="K65" s="23" t="s">
        <v>27</v>
      </c>
      <c r="L65" s="25">
        <v>40238.81472222222</v>
      </c>
      <c r="M65" s="26" t="s">
        <v>231</v>
      </c>
      <c r="N65" s="26" t="s">
        <v>232</v>
      </c>
      <c r="O65" s="22" t="str">
        <f>HYPERLINK("https://pbs.twimg.com/profile_images/3282930185/00dce605b211b38d43c9b0253b622b50_normal.jpeg","View")</f>
        <v>View</v>
      </c>
      <c r="P65" s="27"/>
    </row>
    <row r="66">
      <c r="A66" s="19">
        <v>42701.568773148145</v>
      </c>
      <c r="B66" s="20" t="str">
        <f t="shared" ref="B66:B67" si="6">HYPERLINK("https://twitter.com/jennyquinnquinn","@jennyquinnquinn")</f>
        <v>@jennyquinnquinn</v>
      </c>
      <c r="C66" s="21" t="s">
        <v>233</v>
      </c>
      <c r="D66" s="21" t="s">
        <v>234</v>
      </c>
      <c r="E66" s="22" t="str">
        <f>HYPERLINK("https://twitter.com/jennyquinnquinn/status/802869341653864449","802869341653864449")</f>
        <v>802869341653864449</v>
      </c>
      <c r="F66" s="23" t="s">
        <v>69</v>
      </c>
      <c r="G66" s="24">
        <v>35.0</v>
      </c>
      <c r="H66" s="24">
        <v>48.0</v>
      </c>
      <c r="I66" s="24">
        <v>0.0</v>
      </c>
      <c r="J66" s="24">
        <v>0.0</v>
      </c>
      <c r="K66" s="23" t="s">
        <v>27</v>
      </c>
      <c r="L66" s="25">
        <v>42027.69903935185</v>
      </c>
      <c r="M66" s="28"/>
      <c r="N66" s="26" t="s">
        <v>235</v>
      </c>
      <c r="O66" s="22" t="str">
        <f t="shared" ref="O66:O67" si="7">HYPERLINK("https://pbs.twimg.com/profile_images/558668531018264576/vDsYoWu1_normal.jpeg","View")</f>
        <v>View</v>
      </c>
      <c r="P66" s="27"/>
    </row>
    <row r="67">
      <c r="A67" s="19">
        <v>42701.58385416667</v>
      </c>
      <c r="B67" s="20" t="str">
        <f t="shared" si="6"/>
        <v>@jennyquinnquinn</v>
      </c>
      <c r="C67" s="21" t="s">
        <v>233</v>
      </c>
      <c r="D67" s="21" t="s">
        <v>236</v>
      </c>
      <c r="E67" s="22" t="str">
        <f>HYPERLINK("https://twitter.com/jennyquinnquinn/status/802874807658442753","802874807658442753")</f>
        <v>802874807658442753</v>
      </c>
      <c r="F67" s="23" t="s">
        <v>69</v>
      </c>
      <c r="G67" s="24">
        <v>35.0</v>
      </c>
      <c r="H67" s="24">
        <v>48.0</v>
      </c>
      <c r="I67" s="24">
        <v>0.0</v>
      </c>
      <c r="J67" s="24">
        <v>0.0</v>
      </c>
      <c r="K67" s="23" t="s">
        <v>27</v>
      </c>
      <c r="L67" s="25">
        <v>42027.69903935185</v>
      </c>
      <c r="M67" s="28"/>
      <c r="N67" s="26" t="s">
        <v>235</v>
      </c>
      <c r="O67" s="22" t="str">
        <f t="shared" si="7"/>
        <v>View</v>
      </c>
      <c r="P67" s="27"/>
    </row>
    <row r="68">
      <c r="A68" s="19">
        <v>42701.588900462964</v>
      </c>
      <c r="B68" s="20" t="str">
        <f>HYPERLINK("https://twitter.com/AriSykez","@AriSykez")</f>
        <v>@AriSykez</v>
      </c>
      <c r="C68" s="21" t="s">
        <v>237</v>
      </c>
      <c r="D68" s="21" t="s">
        <v>40</v>
      </c>
      <c r="E68" s="22" t="str">
        <f>HYPERLINK("https://twitter.com/AriSykez/status/802876636731441152","802876636731441152")</f>
        <v>802876636731441152</v>
      </c>
      <c r="F68" s="23" t="s">
        <v>26</v>
      </c>
      <c r="G68" s="24">
        <v>1489.0</v>
      </c>
      <c r="H68" s="24">
        <v>358.0</v>
      </c>
      <c r="I68" s="24">
        <v>12.0</v>
      </c>
      <c r="J68" s="24">
        <v>0.0</v>
      </c>
      <c r="K68" s="23" t="s">
        <v>27</v>
      </c>
      <c r="L68" s="25">
        <v>40436.48594907408</v>
      </c>
      <c r="M68" s="26" t="s">
        <v>238</v>
      </c>
      <c r="N68" s="26" t="s">
        <v>239</v>
      </c>
      <c r="O68" s="22" t="str">
        <f>HYPERLINK("https://pbs.twimg.com/profile_images/800141800795242496/E13d_4kE_normal.jpg","View")</f>
        <v>View</v>
      </c>
      <c r="P68" s="27"/>
    </row>
    <row r="69">
      <c r="A69" s="19">
        <v>42701.60181712963</v>
      </c>
      <c r="B69" s="20" t="str">
        <f>HYPERLINK("https://twitter.com/carly581","@carly581")</f>
        <v>@carly581</v>
      </c>
      <c r="C69" s="21" t="s">
        <v>240</v>
      </c>
      <c r="D69" s="21" t="s">
        <v>241</v>
      </c>
      <c r="E69" s="22" t="str">
        <f>HYPERLINK("https://twitter.com/carly581/status/802881317494988800","802881317494988800")</f>
        <v>802881317494988800</v>
      </c>
      <c r="F69" s="23" t="s">
        <v>81</v>
      </c>
      <c r="G69" s="24">
        <v>207.0</v>
      </c>
      <c r="H69" s="24">
        <v>576.0</v>
      </c>
      <c r="I69" s="24">
        <v>0.0</v>
      </c>
      <c r="J69" s="24">
        <v>1.0</v>
      </c>
      <c r="K69" s="23" t="s">
        <v>27</v>
      </c>
      <c r="L69" s="25">
        <v>39931.86677083334</v>
      </c>
      <c r="M69" s="26" t="s">
        <v>242</v>
      </c>
      <c r="N69" s="26" t="s">
        <v>243</v>
      </c>
      <c r="O69" s="22" t="str">
        <f>HYPERLINK("https://pbs.twimg.com/profile_images/565847210089537537/_QAGYNG8_normal.jpeg","View")</f>
        <v>View</v>
      </c>
      <c r="P69" s="27" t="str">
        <f>HYPERLINK("https://ctrlq.org/maps/address/#28.73139265,-13.87070866","Map")</f>
        <v>#ERROR!</v>
      </c>
    </row>
    <row r="70">
      <c r="A70" s="19">
        <v>42701.60549768519</v>
      </c>
      <c r="B70" s="20" t="str">
        <f>HYPERLINK("https://twitter.com/LesRandosdeCaco","@LesRandosdeCaco")</f>
        <v>@LesRandosdeCaco</v>
      </c>
      <c r="C70" s="21" t="s">
        <v>186</v>
      </c>
      <c r="D70" s="21" t="s">
        <v>244</v>
      </c>
      <c r="E70" s="22" t="str">
        <f>HYPERLINK("https://twitter.com/LesRandosdeCaco/status/802882649245106176","802882649245106176")</f>
        <v>802882649245106176</v>
      </c>
      <c r="F70" s="23" t="s">
        <v>41</v>
      </c>
      <c r="G70" s="24">
        <v>7.0</v>
      </c>
      <c r="H70" s="24">
        <v>57.0</v>
      </c>
      <c r="I70" s="24">
        <v>0.0</v>
      </c>
      <c r="J70" s="24">
        <v>0.0</v>
      </c>
      <c r="K70" s="23" t="s">
        <v>27</v>
      </c>
      <c r="L70" s="25">
        <v>41643.68407407407</v>
      </c>
      <c r="M70" s="26" t="s">
        <v>188</v>
      </c>
      <c r="N70" s="26" t="s">
        <v>189</v>
      </c>
      <c r="O70" s="22" t="str">
        <f>HYPERLINK("https://pbs.twimg.com/profile_images/802073872866705408/wMHnHYch_normal.jpg","View")</f>
        <v>View</v>
      </c>
      <c r="P70" s="27"/>
    </row>
    <row r="71">
      <c r="A71" s="19">
        <v>42701.62173611111</v>
      </c>
      <c r="B71" s="20" t="str">
        <f>HYPERLINK("https://twitter.com/didimex1111","@didimex1111")</f>
        <v>@didimex1111</v>
      </c>
      <c r="C71" s="21" t="s">
        <v>245</v>
      </c>
      <c r="D71" s="21" t="s">
        <v>246</v>
      </c>
      <c r="E71" s="22" t="str">
        <f>HYPERLINK("https://twitter.com/didimex1111/status/802888533560070144","802888533560070144")</f>
        <v>802888533560070144</v>
      </c>
      <c r="F71" s="23" t="s">
        <v>26</v>
      </c>
      <c r="G71" s="24">
        <v>616.0</v>
      </c>
      <c r="H71" s="24">
        <v>547.0</v>
      </c>
      <c r="I71" s="24">
        <v>0.0</v>
      </c>
      <c r="J71" s="24">
        <v>1.0</v>
      </c>
      <c r="K71" s="23" t="s">
        <v>27</v>
      </c>
      <c r="L71" s="25">
        <v>40811.85047453704</v>
      </c>
      <c r="M71" s="26" t="s">
        <v>168</v>
      </c>
      <c r="N71" s="26" t="s">
        <v>247</v>
      </c>
      <c r="O71" s="22" t="str">
        <f>HYPERLINK("https://pbs.twimg.com/profile_images/769966667321540608/sSmWwdqJ_normal.jpg","View")</f>
        <v>View</v>
      </c>
      <c r="P71" s="27"/>
    </row>
    <row r="72">
      <c r="A72" s="19">
        <v>42701.625243055554</v>
      </c>
      <c r="B72" s="20" t="str">
        <f>HYPERLINK("https://twitter.com/JulioAl18175505","@JulioAl18175505")</f>
        <v>@JulioAl18175505</v>
      </c>
      <c r="C72" s="21" t="s">
        <v>248</v>
      </c>
      <c r="D72" s="21" t="s">
        <v>249</v>
      </c>
      <c r="E72" s="22" t="str">
        <f>HYPERLINK("https://twitter.com/JulioAl18175505/status/802889807823245312","802889807823245312")</f>
        <v>802889807823245312</v>
      </c>
      <c r="F72" s="23" t="s">
        <v>41</v>
      </c>
      <c r="G72" s="24">
        <v>3883.0</v>
      </c>
      <c r="H72" s="24">
        <v>3761.0</v>
      </c>
      <c r="I72" s="24">
        <v>4.0</v>
      </c>
      <c r="J72" s="24">
        <v>0.0</v>
      </c>
      <c r="K72" s="23" t="s">
        <v>27</v>
      </c>
      <c r="L72" s="25">
        <v>41713.45993055555</v>
      </c>
      <c r="M72" s="26" t="s">
        <v>250</v>
      </c>
      <c r="N72" s="26" t="s">
        <v>251</v>
      </c>
      <c r="O72" s="22" t="str">
        <f>HYPERLINK("https://pbs.twimg.com/profile_images/706839494851436544/7igsf91D_normal.jpg","View")</f>
        <v>View</v>
      </c>
      <c r="P72" s="27"/>
    </row>
    <row r="73">
      <c r="A73" s="19">
        <v>42701.63232638889</v>
      </c>
      <c r="B73" s="20" t="str">
        <f>HYPERLINK("https://twitter.com/gabychicharrera","@gabychicharrera")</f>
        <v>@gabychicharrera</v>
      </c>
      <c r="C73" s="21" t="s">
        <v>252</v>
      </c>
      <c r="D73" s="21" t="s">
        <v>54</v>
      </c>
      <c r="E73" s="22" t="str">
        <f>HYPERLINK("https://twitter.com/gabychicharrera/status/802892373059571713","802892373059571713")</f>
        <v>802892373059571713</v>
      </c>
      <c r="F73" s="23" t="s">
        <v>41</v>
      </c>
      <c r="G73" s="24">
        <v>104.0</v>
      </c>
      <c r="H73" s="24">
        <v>127.0</v>
      </c>
      <c r="I73" s="24">
        <v>3.0</v>
      </c>
      <c r="J73" s="24">
        <v>0.0</v>
      </c>
      <c r="K73" s="23" t="s">
        <v>27</v>
      </c>
      <c r="L73" s="25">
        <v>42135.91366898148</v>
      </c>
      <c r="M73" s="28"/>
      <c r="N73" s="28"/>
      <c r="O73" s="22" t="str">
        <f>HYPERLINK("https://pbs.twimg.com/profile_images/708443395635675136/OMlUXUbp_normal.jpg","View")</f>
        <v>View</v>
      </c>
      <c r="P73" s="27"/>
    </row>
    <row r="74">
      <c r="A74" s="19">
        <v>42701.63233796296</v>
      </c>
      <c r="B74" s="20" t="str">
        <f t="shared" ref="B74:B79" si="8">HYPERLINK("https://twitter.com/elastword","@elastword")</f>
        <v>@elastword</v>
      </c>
      <c r="C74" s="21" t="s">
        <v>253</v>
      </c>
      <c r="D74" s="21" t="s">
        <v>254</v>
      </c>
      <c r="E74" s="22" t="str">
        <f>HYPERLINK("https://twitter.com/elastword/status/802892378948435968","802892378948435968")</f>
        <v>802892378948435968</v>
      </c>
      <c r="F74" s="23" t="s">
        <v>81</v>
      </c>
      <c r="G74" s="24">
        <v>595.0</v>
      </c>
      <c r="H74" s="24">
        <v>417.0</v>
      </c>
      <c r="I74" s="24">
        <v>0.0</v>
      </c>
      <c r="J74" s="24">
        <v>0.0</v>
      </c>
      <c r="K74" s="23" t="s">
        <v>27</v>
      </c>
      <c r="L74" s="25">
        <v>40520.91306712963</v>
      </c>
      <c r="M74" s="26" t="s">
        <v>255</v>
      </c>
      <c r="N74" s="26" t="s">
        <v>256</v>
      </c>
      <c r="O74" s="22" t="str">
        <f t="shared" ref="O74:O79" si="9">HYPERLINK("https://pbs.twimg.com/profile_images/779785036996415489/a2nilB1d_normal.jpg","View")</f>
        <v>View</v>
      </c>
      <c r="P74" s="27" t="str">
        <f t="shared" ref="P74:P84" si="10">HYPERLINK("https://ctrlq.org/maps/address/#29.06,-13.56027778","Map")</f>
        <v>#ERROR!</v>
      </c>
    </row>
    <row r="75">
      <c r="A75" s="19">
        <v>42701.633125</v>
      </c>
      <c r="B75" s="20" t="str">
        <f t="shared" si="8"/>
        <v>@elastword</v>
      </c>
      <c r="C75" s="21" t="s">
        <v>253</v>
      </c>
      <c r="D75" s="21" t="s">
        <v>257</v>
      </c>
      <c r="E75" s="22" t="str">
        <f>HYPERLINK("https://twitter.com/elastword/status/802892664228249600","802892664228249600")</f>
        <v>802892664228249600</v>
      </c>
      <c r="F75" s="23" t="s">
        <v>81</v>
      </c>
      <c r="G75" s="24">
        <v>595.0</v>
      </c>
      <c r="H75" s="24">
        <v>417.0</v>
      </c>
      <c r="I75" s="24">
        <v>0.0</v>
      </c>
      <c r="J75" s="24">
        <v>0.0</v>
      </c>
      <c r="K75" s="23" t="s">
        <v>27</v>
      </c>
      <c r="L75" s="25">
        <v>40520.91306712963</v>
      </c>
      <c r="M75" s="26" t="s">
        <v>255</v>
      </c>
      <c r="N75" s="26" t="s">
        <v>256</v>
      </c>
      <c r="O75" s="22" t="str">
        <f t="shared" si="9"/>
        <v>View</v>
      </c>
      <c r="P75" s="27" t="str">
        <f t="shared" si="10"/>
        <v>#ERROR!</v>
      </c>
    </row>
    <row r="76">
      <c r="A76" s="19">
        <v>42701.63607638889</v>
      </c>
      <c r="B76" s="20" t="str">
        <f t="shared" si="8"/>
        <v>@elastword</v>
      </c>
      <c r="C76" s="21" t="s">
        <v>253</v>
      </c>
      <c r="D76" s="21" t="s">
        <v>258</v>
      </c>
      <c r="E76" s="22" t="str">
        <f>HYPERLINK("https://twitter.com/elastword/status/802893731837906948","802893731837906948")</f>
        <v>802893731837906948</v>
      </c>
      <c r="F76" s="23" t="s">
        <v>81</v>
      </c>
      <c r="G76" s="24">
        <v>595.0</v>
      </c>
      <c r="H76" s="24">
        <v>417.0</v>
      </c>
      <c r="I76" s="24">
        <v>0.0</v>
      </c>
      <c r="J76" s="24">
        <v>0.0</v>
      </c>
      <c r="K76" s="23" t="s">
        <v>27</v>
      </c>
      <c r="L76" s="25">
        <v>40520.91306712963</v>
      </c>
      <c r="M76" s="26" t="s">
        <v>255</v>
      </c>
      <c r="N76" s="26" t="s">
        <v>256</v>
      </c>
      <c r="O76" s="22" t="str">
        <f t="shared" si="9"/>
        <v>View</v>
      </c>
      <c r="P76" s="27" t="str">
        <f t="shared" si="10"/>
        <v>#ERROR!</v>
      </c>
    </row>
    <row r="77">
      <c r="A77" s="19">
        <v>42701.63780092592</v>
      </c>
      <c r="B77" s="20" t="str">
        <f t="shared" si="8"/>
        <v>@elastword</v>
      </c>
      <c r="C77" s="21" t="s">
        <v>253</v>
      </c>
      <c r="D77" s="21" t="s">
        <v>259</v>
      </c>
      <c r="E77" s="22" t="str">
        <f>HYPERLINK("https://twitter.com/elastword/status/802894356218871808","802894356218871808")</f>
        <v>802894356218871808</v>
      </c>
      <c r="F77" s="23" t="s">
        <v>81</v>
      </c>
      <c r="G77" s="24">
        <v>595.0</v>
      </c>
      <c r="H77" s="24">
        <v>417.0</v>
      </c>
      <c r="I77" s="24">
        <v>0.0</v>
      </c>
      <c r="J77" s="24">
        <v>0.0</v>
      </c>
      <c r="K77" s="23" t="s">
        <v>27</v>
      </c>
      <c r="L77" s="25">
        <v>40520.91306712963</v>
      </c>
      <c r="M77" s="26" t="s">
        <v>255</v>
      </c>
      <c r="N77" s="26" t="s">
        <v>256</v>
      </c>
      <c r="O77" s="22" t="str">
        <f t="shared" si="9"/>
        <v>View</v>
      </c>
      <c r="P77" s="27" t="str">
        <f t="shared" si="10"/>
        <v>#ERROR!</v>
      </c>
    </row>
    <row r="78">
      <c r="A78" s="19">
        <v>42701.63916666667</v>
      </c>
      <c r="B78" s="20" t="str">
        <f t="shared" si="8"/>
        <v>@elastword</v>
      </c>
      <c r="C78" s="21" t="s">
        <v>253</v>
      </c>
      <c r="D78" s="21" t="s">
        <v>260</v>
      </c>
      <c r="E78" s="22" t="str">
        <f>HYPERLINK("https://twitter.com/elastword/status/802894853550047233","802894853550047233")</f>
        <v>802894853550047233</v>
      </c>
      <c r="F78" s="23" t="s">
        <v>81</v>
      </c>
      <c r="G78" s="24">
        <v>595.0</v>
      </c>
      <c r="H78" s="24">
        <v>417.0</v>
      </c>
      <c r="I78" s="24">
        <v>0.0</v>
      </c>
      <c r="J78" s="24">
        <v>0.0</v>
      </c>
      <c r="K78" s="23" t="s">
        <v>27</v>
      </c>
      <c r="L78" s="25">
        <v>40520.91306712963</v>
      </c>
      <c r="M78" s="26" t="s">
        <v>255</v>
      </c>
      <c r="N78" s="26" t="s">
        <v>256</v>
      </c>
      <c r="O78" s="22" t="str">
        <f t="shared" si="9"/>
        <v>View</v>
      </c>
      <c r="P78" s="27" t="str">
        <f t="shared" si="10"/>
        <v>#ERROR!</v>
      </c>
    </row>
    <row r="79">
      <c r="A79" s="19">
        <v>42701.64120370371</v>
      </c>
      <c r="B79" s="20" t="str">
        <f t="shared" si="8"/>
        <v>@elastword</v>
      </c>
      <c r="C79" s="21" t="s">
        <v>253</v>
      </c>
      <c r="D79" s="21" t="s">
        <v>261</v>
      </c>
      <c r="E79" s="22" t="str">
        <f>HYPERLINK("https://twitter.com/elastword/status/802895589591674880","802895589591674880")</f>
        <v>802895589591674880</v>
      </c>
      <c r="F79" s="23" t="s">
        <v>81</v>
      </c>
      <c r="G79" s="24">
        <v>595.0</v>
      </c>
      <c r="H79" s="24">
        <v>417.0</v>
      </c>
      <c r="I79" s="24">
        <v>0.0</v>
      </c>
      <c r="J79" s="24">
        <v>0.0</v>
      </c>
      <c r="K79" s="23" t="s">
        <v>27</v>
      </c>
      <c r="L79" s="25">
        <v>40520.91306712963</v>
      </c>
      <c r="M79" s="26" t="s">
        <v>255</v>
      </c>
      <c r="N79" s="26" t="s">
        <v>256</v>
      </c>
      <c r="O79" s="22" t="str">
        <f t="shared" si="9"/>
        <v>View</v>
      </c>
      <c r="P79" s="27" t="str">
        <f t="shared" si="10"/>
        <v>#ERROR!</v>
      </c>
    </row>
    <row r="80">
      <c r="A80" s="19">
        <v>42701.64231481482</v>
      </c>
      <c r="B80" s="20" t="str">
        <f>HYPERLINK("https://twitter.com/besterwosgibt","@besterwosgibt")</f>
        <v>@besterwosgibt</v>
      </c>
      <c r="C80" s="21" t="s">
        <v>262</v>
      </c>
      <c r="D80" s="21" t="s">
        <v>263</v>
      </c>
      <c r="E80" s="22" t="str">
        <f>HYPERLINK("https://twitter.com/besterwosgibt/status/802895992597028866","802895992597028866")</f>
        <v>802895992597028866</v>
      </c>
      <c r="F80" s="23" t="s">
        <v>81</v>
      </c>
      <c r="G80" s="24">
        <v>507.0</v>
      </c>
      <c r="H80" s="24">
        <v>204.0</v>
      </c>
      <c r="I80" s="24">
        <v>0.0</v>
      </c>
      <c r="J80" s="24">
        <v>0.0</v>
      </c>
      <c r="K80" s="23" t="s">
        <v>27</v>
      </c>
      <c r="L80" s="25">
        <v>39567.663981481484</v>
      </c>
      <c r="M80" s="26" t="s">
        <v>264</v>
      </c>
      <c r="N80" s="26" t="s">
        <v>265</v>
      </c>
      <c r="O80" s="22" t="str">
        <f>HYPERLINK("https://pbs.twimg.com/profile_images/797139693443907584/sS8jlrzM_normal.jpg","View")</f>
        <v>View</v>
      </c>
      <c r="P80" s="27" t="str">
        <f t="shared" si="10"/>
        <v>#ERROR!</v>
      </c>
    </row>
    <row r="81">
      <c r="A81" s="19">
        <v>42701.642534722225</v>
      </c>
      <c r="B81" s="20" t="str">
        <f t="shared" ref="B81:B84" si="11">HYPERLINK("https://twitter.com/elastword","@elastword")</f>
        <v>@elastword</v>
      </c>
      <c r="C81" s="21" t="s">
        <v>253</v>
      </c>
      <c r="D81" s="21" t="s">
        <v>266</v>
      </c>
      <c r="E81" s="22" t="str">
        <f>HYPERLINK("https://twitter.com/elastword/status/802896073534636032","802896073534636032")</f>
        <v>802896073534636032</v>
      </c>
      <c r="F81" s="23" t="s">
        <v>81</v>
      </c>
      <c r="G81" s="24">
        <v>595.0</v>
      </c>
      <c r="H81" s="24">
        <v>417.0</v>
      </c>
      <c r="I81" s="24">
        <v>0.0</v>
      </c>
      <c r="J81" s="24">
        <v>0.0</v>
      </c>
      <c r="K81" s="23" t="s">
        <v>27</v>
      </c>
      <c r="L81" s="25">
        <v>40520.91306712963</v>
      </c>
      <c r="M81" s="26" t="s">
        <v>255</v>
      </c>
      <c r="N81" s="26" t="s">
        <v>256</v>
      </c>
      <c r="O81" s="22" t="str">
        <f t="shared" ref="O81:O84" si="12">HYPERLINK("https://pbs.twimg.com/profile_images/779785036996415489/a2nilB1d_normal.jpg","View")</f>
        <v>View</v>
      </c>
      <c r="P81" s="27" t="str">
        <f t="shared" si="10"/>
        <v>#ERROR!</v>
      </c>
    </row>
    <row r="82">
      <c r="A82" s="19">
        <v>42701.64375</v>
      </c>
      <c r="B82" s="20" t="str">
        <f t="shared" si="11"/>
        <v>@elastword</v>
      </c>
      <c r="C82" s="21" t="s">
        <v>253</v>
      </c>
      <c r="D82" s="21" t="s">
        <v>267</v>
      </c>
      <c r="E82" s="22" t="str">
        <f>HYPERLINK("https://twitter.com/elastword/status/802896511352848385","802896511352848385")</f>
        <v>802896511352848385</v>
      </c>
      <c r="F82" s="23" t="s">
        <v>81</v>
      </c>
      <c r="G82" s="24">
        <v>595.0</v>
      </c>
      <c r="H82" s="24">
        <v>417.0</v>
      </c>
      <c r="I82" s="24">
        <v>0.0</v>
      </c>
      <c r="J82" s="24">
        <v>0.0</v>
      </c>
      <c r="K82" s="23" t="s">
        <v>27</v>
      </c>
      <c r="L82" s="25">
        <v>40520.91306712963</v>
      </c>
      <c r="M82" s="26" t="s">
        <v>255</v>
      </c>
      <c r="N82" s="26" t="s">
        <v>256</v>
      </c>
      <c r="O82" s="22" t="str">
        <f t="shared" si="12"/>
        <v>View</v>
      </c>
      <c r="P82" s="27" t="str">
        <f t="shared" si="10"/>
        <v>#ERROR!</v>
      </c>
    </row>
    <row r="83">
      <c r="A83" s="19">
        <v>42701.64461805555</v>
      </c>
      <c r="B83" s="20" t="str">
        <f t="shared" si="11"/>
        <v>@elastword</v>
      </c>
      <c r="C83" s="21" t="s">
        <v>253</v>
      </c>
      <c r="D83" s="21" t="s">
        <v>268</v>
      </c>
      <c r="E83" s="22" t="str">
        <f>HYPERLINK("https://twitter.com/elastword/status/802896829046280197","802896829046280197")</f>
        <v>802896829046280197</v>
      </c>
      <c r="F83" s="23" t="s">
        <v>81</v>
      </c>
      <c r="G83" s="24">
        <v>595.0</v>
      </c>
      <c r="H83" s="24">
        <v>417.0</v>
      </c>
      <c r="I83" s="24">
        <v>0.0</v>
      </c>
      <c r="J83" s="24">
        <v>0.0</v>
      </c>
      <c r="K83" s="23" t="s">
        <v>27</v>
      </c>
      <c r="L83" s="25">
        <v>40520.91306712963</v>
      </c>
      <c r="M83" s="26" t="s">
        <v>255</v>
      </c>
      <c r="N83" s="26" t="s">
        <v>256</v>
      </c>
      <c r="O83" s="22" t="str">
        <f t="shared" si="12"/>
        <v>View</v>
      </c>
      <c r="P83" s="27" t="str">
        <f t="shared" si="10"/>
        <v>#ERROR!</v>
      </c>
    </row>
    <row r="84">
      <c r="A84" s="19">
        <v>42701.64608796296</v>
      </c>
      <c r="B84" s="20" t="str">
        <f t="shared" si="11"/>
        <v>@elastword</v>
      </c>
      <c r="C84" s="21" t="s">
        <v>253</v>
      </c>
      <c r="D84" s="21" t="s">
        <v>269</v>
      </c>
      <c r="E84" s="22" t="str">
        <f>HYPERLINK("https://twitter.com/elastword/status/802897361907367936","802897361907367936")</f>
        <v>802897361907367936</v>
      </c>
      <c r="F84" s="23" t="s">
        <v>81</v>
      </c>
      <c r="G84" s="24">
        <v>595.0</v>
      </c>
      <c r="H84" s="24">
        <v>417.0</v>
      </c>
      <c r="I84" s="24">
        <v>0.0</v>
      </c>
      <c r="J84" s="24">
        <v>0.0</v>
      </c>
      <c r="K84" s="23" t="s">
        <v>27</v>
      </c>
      <c r="L84" s="25">
        <v>40520.91306712963</v>
      </c>
      <c r="M84" s="26" t="s">
        <v>255</v>
      </c>
      <c r="N84" s="26" t="s">
        <v>256</v>
      </c>
      <c r="O84" s="22" t="str">
        <f t="shared" si="12"/>
        <v>View</v>
      </c>
      <c r="P84" s="27" t="str">
        <f t="shared" si="10"/>
        <v>#ERROR!</v>
      </c>
    </row>
    <row r="85">
      <c r="A85" s="19">
        <v>42701.65277777778</v>
      </c>
      <c r="B85" s="20" t="str">
        <f>HYPERLINK("https://twitter.com/yourgolftravel","@yourgolftravel")</f>
        <v>@yourgolftravel</v>
      </c>
      <c r="C85" s="21" t="s">
        <v>270</v>
      </c>
      <c r="D85" s="21" t="s">
        <v>271</v>
      </c>
      <c r="E85" s="22" t="str">
        <f>HYPERLINK("https://twitter.com/yourgolftravel/status/802899786512769025","802899786512769025")</f>
        <v>802899786512769025</v>
      </c>
      <c r="F85" s="23" t="s">
        <v>64</v>
      </c>
      <c r="G85" s="24">
        <v>27341.0</v>
      </c>
      <c r="H85" s="24">
        <v>6956.0</v>
      </c>
      <c r="I85" s="24">
        <v>0.0</v>
      </c>
      <c r="J85" s="24">
        <v>0.0</v>
      </c>
      <c r="K85" s="23" t="s">
        <v>27</v>
      </c>
      <c r="L85" s="25">
        <v>39850.42359953704</v>
      </c>
      <c r="M85" s="26" t="s">
        <v>272</v>
      </c>
      <c r="N85" s="26" t="s">
        <v>273</v>
      </c>
      <c r="O85" s="22" t="str">
        <f>HYPERLINK("https://pbs.twimg.com/profile_images/693087403129573376/KcJrOeqS_normal.jpg","View")</f>
        <v>View</v>
      </c>
      <c r="P85" s="27"/>
    </row>
    <row r="86">
      <c r="A86" s="19">
        <v>42701.67282407408</v>
      </c>
      <c r="B86" s="20" t="str">
        <f>HYPERLINK("https://twitter.com/manuelcarranco","@manuelcarranco")</f>
        <v>@manuelcarranco</v>
      </c>
      <c r="C86" s="21" t="s">
        <v>274</v>
      </c>
      <c r="D86" s="21" t="s">
        <v>275</v>
      </c>
      <c r="E86" s="22" t="str">
        <f>HYPERLINK("https://twitter.com/manuelcarranco/status/802907049868693505","802907049868693505")</f>
        <v>802907049868693505</v>
      </c>
      <c r="F86" s="23" t="s">
        <v>81</v>
      </c>
      <c r="G86" s="24">
        <v>846.0</v>
      </c>
      <c r="H86" s="24">
        <v>346.0</v>
      </c>
      <c r="I86" s="24">
        <v>0.0</v>
      </c>
      <c r="J86" s="24">
        <v>0.0</v>
      </c>
      <c r="K86" s="23" t="s">
        <v>27</v>
      </c>
      <c r="L86" s="25">
        <v>40072.69292824074</v>
      </c>
      <c r="M86" s="26" t="s">
        <v>55</v>
      </c>
      <c r="N86" s="26" t="s">
        <v>276</v>
      </c>
      <c r="O86" s="22" t="str">
        <f>HYPERLINK("https://pbs.twimg.com/profile_images/525944451177263104/jGofUCAA_normal.jpeg","View")</f>
        <v>View</v>
      </c>
      <c r="P86" s="27" t="str">
        <f>HYPERLINK("https://ctrlq.org/maps/address/#29.06,-13.56027778","Map")</f>
        <v>#ERROR!</v>
      </c>
    </row>
    <row r="87">
      <c r="A87" s="19">
        <v>42701.68959490741</v>
      </c>
      <c r="B87" s="20" t="str">
        <f>HYPERLINK("https://twitter.com/FerreGregoire","@FerreGregoire")</f>
        <v>@FerreGregoire</v>
      </c>
      <c r="C87" s="21" t="s">
        <v>277</v>
      </c>
      <c r="D87" s="21" t="s">
        <v>278</v>
      </c>
      <c r="E87" s="22" t="str">
        <f>HYPERLINK("https://twitter.com/FerreGregoire/status/802913128316928000","802913128316928000")</f>
        <v>802913128316928000</v>
      </c>
      <c r="F87" s="23" t="s">
        <v>26</v>
      </c>
      <c r="G87" s="24">
        <v>76.0</v>
      </c>
      <c r="H87" s="24">
        <v>96.0</v>
      </c>
      <c r="I87" s="24">
        <v>1.0</v>
      </c>
      <c r="J87" s="24">
        <v>0.0</v>
      </c>
      <c r="K87" s="23" t="s">
        <v>27</v>
      </c>
      <c r="L87" s="25">
        <v>41212.007638888885</v>
      </c>
      <c r="M87" s="26" t="s">
        <v>279</v>
      </c>
      <c r="N87" s="28"/>
      <c r="O87" s="22" t="str">
        <f>HYPERLINK("https://pbs.twimg.com/profile_images/615994608628170752/ADY9apA2_normal.jpg","View")</f>
        <v>View</v>
      </c>
      <c r="P87" s="27"/>
    </row>
    <row r="88">
      <c r="A88" s="19">
        <v>42701.697222222225</v>
      </c>
      <c r="B88" s="20" t="str">
        <f>HYPERLINK("https://twitter.com/nubialonso","@nubialonso")</f>
        <v>@nubialonso</v>
      </c>
      <c r="C88" s="21" t="s">
        <v>280</v>
      </c>
      <c r="D88" s="21" t="s">
        <v>281</v>
      </c>
      <c r="E88" s="22" t="str">
        <f>HYPERLINK("https://twitter.com/nubialonso/status/802915891939803136","802915891939803136")</f>
        <v>802915891939803136</v>
      </c>
      <c r="F88" s="23" t="s">
        <v>81</v>
      </c>
      <c r="G88" s="24">
        <v>255.0</v>
      </c>
      <c r="H88" s="24">
        <v>299.0</v>
      </c>
      <c r="I88" s="24">
        <v>0.0</v>
      </c>
      <c r="J88" s="24">
        <v>0.0</v>
      </c>
      <c r="K88" s="23" t="s">
        <v>27</v>
      </c>
      <c r="L88" s="25">
        <v>40635.622395833336</v>
      </c>
      <c r="M88" s="26" t="s">
        <v>282</v>
      </c>
      <c r="N88" s="26" t="s">
        <v>283</v>
      </c>
      <c r="O88" s="22" t="str">
        <f>HYPERLINK("https://pbs.twimg.com/profile_images/642570754161287168/0z29K6ho_normal.jpg","View")</f>
        <v>View</v>
      </c>
      <c r="P88" s="27" t="str">
        <f>HYPERLINK("https://ctrlq.org/maps/address/#28.46693897,-16.24795973","Map")</f>
        <v>#ERROR!</v>
      </c>
    </row>
    <row r="89">
      <c r="A89" s="19">
        <v>42701.702303240745</v>
      </c>
      <c r="B89" s="20" t="str">
        <f>HYPERLINK("https://twitter.com/bermaxo09","@bermaxo09")</f>
        <v>@bermaxo09</v>
      </c>
      <c r="C89" s="21" t="s">
        <v>284</v>
      </c>
      <c r="D89" s="21" t="s">
        <v>285</v>
      </c>
      <c r="E89" s="22" t="str">
        <f>HYPERLINK("https://twitter.com/bermaxo09/status/802917731666423808","802917731666423808")</f>
        <v>802917731666423808</v>
      </c>
      <c r="F89" s="23" t="s">
        <v>37</v>
      </c>
      <c r="G89" s="24">
        <v>193.0</v>
      </c>
      <c r="H89" s="24">
        <v>196.0</v>
      </c>
      <c r="I89" s="24">
        <v>12.0</v>
      </c>
      <c r="J89" s="24">
        <v>21.0</v>
      </c>
      <c r="K89" s="23" t="s">
        <v>27</v>
      </c>
      <c r="L89" s="25">
        <v>42689.441516203704</v>
      </c>
      <c r="M89" s="26" t="s">
        <v>109</v>
      </c>
      <c r="N89" s="26" t="s">
        <v>286</v>
      </c>
      <c r="O89" s="22" t="str">
        <f>HYPERLINK("https://pbs.twimg.com/profile_images/798476790478073856/iOD0HIRa_normal.jpg","View")</f>
        <v>View</v>
      </c>
      <c r="P89" s="27"/>
    </row>
    <row r="90">
      <c r="A90" s="19">
        <v>42701.70322916667</v>
      </c>
      <c r="B90" s="20" t="str">
        <f>HYPERLINK("https://twitter.com/ChumpiEl","@ChumpiEl")</f>
        <v>@ChumpiEl</v>
      </c>
      <c r="C90" s="21" t="s">
        <v>287</v>
      </c>
      <c r="D90" s="21" t="s">
        <v>288</v>
      </c>
      <c r="E90" s="22" t="str">
        <f>HYPERLINK("https://twitter.com/ChumpiEl/status/802918068695552001","802918068695552001")</f>
        <v>802918068695552001</v>
      </c>
      <c r="F90" s="23" t="s">
        <v>41</v>
      </c>
      <c r="G90" s="24">
        <v>242.0</v>
      </c>
      <c r="H90" s="24">
        <v>303.0</v>
      </c>
      <c r="I90" s="24">
        <v>12.0</v>
      </c>
      <c r="J90" s="24">
        <v>0.0</v>
      </c>
      <c r="K90" s="23" t="s">
        <v>27</v>
      </c>
      <c r="L90" s="25">
        <v>42595.9237037037</v>
      </c>
      <c r="M90" s="28"/>
      <c r="N90" s="26" t="s">
        <v>289</v>
      </c>
      <c r="O90" s="22" t="str">
        <f>HYPERLINK("https://pbs.twimg.com/profile_images/796583245542461440/zMZX15qh_normal.jpg","View")</f>
        <v>View</v>
      </c>
      <c r="P90" s="27"/>
    </row>
    <row r="91">
      <c r="A91" s="19">
        <v>42701.70506944445</v>
      </c>
      <c r="B91" s="20" t="str">
        <f>HYPERLINK("https://twitter.com/ebook_travel","@ebook_travel")</f>
        <v>@ebook_travel</v>
      </c>
      <c r="C91" s="21" t="s">
        <v>290</v>
      </c>
      <c r="D91" s="21" t="s">
        <v>291</v>
      </c>
      <c r="E91" s="22" t="str">
        <f>HYPERLINK("https://twitter.com/ebook_travel/status/802918734855708672","802918734855708672")</f>
        <v>802918734855708672</v>
      </c>
      <c r="F91" s="23" t="s">
        <v>59</v>
      </c>
      <c r="G91" s="24">
        <v>10366.0</v>
      </c>
      <c r="H91" s="24">
        <v>6407.0</v>
      </c>
      <c r="I91" s="24">
        <v>0.0</v>
      </c>
      <c r="J91" s="24">
        <v>0.0</v>
      </c>
      <c r="K91" s="23" t="s">
        <v>27</v>
      </c>
      <c r="L91" s="25">
        <v>40307.68127314815</v>
      </c>
      <c r="M91" s="26" t="s">
        <v>292</v>
      </c>
      <c r="N91" s="26" t="s">
        <v>293</v>
      </c>
      <c r="O91" s="22" t="str">
        <f>HYPERLINK("https://pbs.twimg.com/profile_images/506732081079013377/VmrRkhPe_normal.jpeg","View")</f>
        <v>View</v>
      </c>
      <c r="P91" s="27"/>
    </row>
    <row r="92">
      <c r="A92" s="19">
        <v>42701.706875</v>
      </c>
      <c r="B92" s="20" t="str">
        <f>HYPERLINK("https://twitter.com/paisajecanario","@paisajecanario")</f>
        <v>@paisajecanario</v>
      </c>
      <c r="C92" s="21" t="s">
        <v>70</v>
      </c>
      <c r="D92" s="21" t="s">
        <v>288</v>
      </c>
      <c r="E92" s="22" t="str">
        <f>HYPERLINK("https://twitter.com/paisajecanario/status/802919387246325760","802919387246325760")</f>
        <v>802919387246325760</v>
      </c>
      <c r="F92" s="23" t="s">
        <v>26</v>
      </c>
      <c r="G92" s="24">
        <v>13324.0</v>
      </c>
      <c r="H92" s="24">
        <v>434.0</v>
      </c>
      <c r="I92" s="24">
        <v>12.0</v>
      </c>
      <c r="J92" s="24">
        <v>0.0</v>
      </c>
      <c r="K92" s="23" t="s">
        <v>27</v>
      </c>
      <c r="L92" s="25">
        <v>41815.714641203704</v>
      </c>
      <c r="M92" s="26" t="s">
        <v>71</v>
      </c>
      <c r="N92" s="26" t="s">
        <v>72</v>
      </c>
      <c r="O92" s="22" t="str">
        <f>HYPERLINK("https://pbs.twimg.com/profile_images/789364630850240512/Mw90qAlM_normal.jpg","View")</f>
        <v>View</v>
      </c>
      <c r="P92" s="27"/>
    </row>
    <row r="93">
      <c r="A93" s="19">
        <v>42701.70763888889</v>
      </c>
      <c r="B93" s="20" t="str">
        <f>HYPERLINK("https://twitter.com/bermaxo09","@bermaxo09")</f>
        <v>@bermaxo09</v>
      </c>
      <c r="C93" s="21" t="s">
        <v>284</v>
      </c>
      <c r="D93" s="21" t="s">
        <v>294</v>
      </c>
      <c r="E93" s="22" t="str">
        <f>HYPERLINK("https://twitter.com/bermaxo09/status/802919666532261888","802919666532261888")</f>
        <v>802919666532261888</v>
      </c>
      <c r="F93" s="23" t="s">
        <v>37</v>
      </c>
      <c r="G93" s="24">
        <v>193.0</v>
      </c>
      <c r="H93" s="24">
        <v>196.0</v>
      </c>
      <c r="I93" s="24">
        <v>0.0</v>
      </c>
      <c r="J93" s="24">
        <v>4.0</v>
      </c>
      <c r="K93" s="23" t="s">
        <v>27</v>
      </c>
      <c r="L93" s="25">
        <v>42689.441516203704</v>
      </c>
      <c r="M93" s="26" t="s">
        <v>109</v>
      </c>
      <c r="N93" s="26" t="s">
        <v>286</v>
      </c>
      <c r="O93" s="22" t="str">
        <f>HYPERLINK("https://pbs.twimg.com/profile_images/798476790478073856/iOD0HIRa_normal.jpg","View")</f>
        <v>View</v>
      </c>
      <c r="P93" s="27"/>
    </row>
    <row r="94">
      <c r="A94" s="19">
        <v>42701.70984953704</v>
      </c>
      <c r="B94" s="20" t="str">
        <f>HYPERLINK("https://twitter.com/GiomedMario","@GiomedMario")</f>
        <v>@GiomedMario</v>
      </c>
      <c r="C94" s="21" t="s">
        <v>295</v>
      </c>
      <c r="D94" s="21" t="s">
        <v>288</v>
      </c>
      <c r="E94" s="22" t="str">
        <f>HYPERLINK("https://twitter.com/GiomedMario/status/802920466964828160","802920466964828160")</f>
        <v>802920466964828160</v>
      </c>
      <c r="F94" s="23" t="s">
        <v>90</v>
      </c>
      <c r="G94" s="24">
        <v>222.0</v>
      </c>
      <c r="H94" s="24">
        <v>208.0</v>
      </c>
      <c r="I94" s="24">
        <v>12.0</v>
      </c>
      <c r="J94" s="24">
        <v>0.0</v>
      </c>
      <c r="K94" s="23" t="s">
        <v>27</v>
      </c>
      <c r="L94" s="25">
        <v>41690.935162037036</v>
      </c>
      <c r="M94" s="28"/>
      <c r="N94" s="28"/>
      <c r="O94" s="22" t="str">
        <f>HYPERLINK("https://pbs.twimg.com/profile_images/782138674385395712/AZIMYDre_normal.jpg","View")</f>
        <v>View</v>
      </c>
      <c r="P94" s="27"/>
    </row>
    <row r="95">
      <c r="A95" s="19">
        <v>42701.712905092594</v>
      </c>
      <c r="B95" s="20" t="str">
        <f>HYPERLINK("https://twitter.com/Julio_y_Charina","@Julio_y_Charina")</f>
        <v>@Julio_y_Charina</v>
      </c>
      <c r="C95" s="21" t="s">
        <v>296</v>
      </c>
      <c r="D95" s="21" t="s">
        <v>288</v>
      </c>
      <c r="E95" s="22" t="str">
        <f>HYPERLINK("https://twitter.com/Julio_y_Charina/status/802921573766283264","802921573766283264")</f>
        <v>802921573766283264</v>
      </c>
      <c r="F95" s="23" t="s">
        <v>41</v>
      </c>
      <c r="G95" s="24">
        <v>463.0</v>
      </c>
      <c r="H95" s="24">
        <v>1908.0</v>
      </c>
      <c r="I95" s="24">
        <v>12.0</v>
      </c>
      <c r="J95" s="24">
        <v>0.0</v>
      </c>
      <c r="K95" s="23" t="s">
        <v>27</v>
      </c>
      <c r="L95" s="25">
        <v>41370.96759259259</v>
      </c>
      <c r="M95" s="26" t="s">
        <v>297</v>
      </c>
      <c r="N95" s="26" t="s">
        <v>298</v>
      </c>
      <c r="O95" s="22" t="str">
        <f>HYPERLINK("https://pbs.twimg.com/profile_images/455151866276745216/H6fsJ19-_normal.jpeg","View")</f>
        <v>View</v>
      </c>
      <c r="P95" s="27"/>
    </row>
    <row r="96">
      <c r="A96" s="19">
        <v>42701.71297453703</v>
      </c>
      <c r="B96" s="20" t="str">
        <f>HYPERLINK("https://twitter.com/Tenerife_Photo","@Tenerife_Photo")</f>
        <v>@Tenerife_Photo</v>
      </c>
      <c r="C96" s="21" t="s">
        <v>299</v>
      </c>
      <c r="D96" s="21" t="s">
        <v>300</v>
      </c>
      <c r="E96" s="22" t="str">
        <f>HYPERLINK("https://twitter.com/Tenerife_Photo/status/802921601234632704","802921601234632704")</f>
        <v>802921601234632704</v>
      </c>
      <c r="F96" s="23" t="s">
        <v>37</v>
      </c>
      <c r="G96" s="24">
        <v>309.0</v>
      </c>
      <c r="H96" s="24">
        <v>156.0</v>
      </c>
      <c r="I96" s="24">
        <v>0.0</v>
      </c>
      <c r="J96" s="24">
        <v>1.0</v>
      </c>
      <c r="K96" s="23" t="s">
        <v>27</v>
      </c>
      <c r="L96" s="25">
        <v>40198.78372685185</v>
      </c>
      <c r="M96" s="26" t="s">
        <v>301</v>
      </c>
      <c r="N96" s="26" t="s">
        <v>302</v>
      </c>
      <c r="O96" s="22" t="str">
        <f>HYPERLINK("https://pbs.twimg.com/profile_images/783793821234651136/01e22aGG_normal.jpg","View")</f>
        <v>View</v>
      </c>
      <c r="P96" s="27"/>
    </row>
    <row r="97">
      <c r="A97" s="19">
        <v>42701.71891203704</v>
      </c>
      <c r="B97" s="20" t="str">
        <f>HYPERLINK("https://twitter.com/bh_oceano","@bh_oceano")</f>
        <v>@bh_oceano</v>
      </c>
      <c r="C97" s="21" t="s">
        <v>303</v>
      </c>
      <c r="D97" s="21" t="s">
        <v>304</v>
      </c>
      <c r="E97" s="22" t="str">
        <f>HYPERLINK("https://twitter.com/bh_oceano/status/802923749838159873","802923749838159873")</f>
        <v>802923749838159873</v>
      </c>
      <c r="F97" s="23" t="s">
        <v>37</v>
      </c>
      <c r="G97" s="24">
        <v>1134.0</v>
      </c>
      <c r="H97" s="24">
        <v>264.0</v>
      </c>
      <c r="I97" s="24">
        <v>2.0</v>
      </c>
      <c r="J97" s="24">
        <v>8.0</v>
      </c>
      <c r="K97" s="23" t="s">
        <v>27</v>
      </c>
      <c r="L97" s="25">
        <v>42478.44100694444</v>
      </c>
      <c r="M97" s="26" t="s">
        <v>305</v>
      </c>
      <c r="N97" s="26" t="s">
        <v>306</v>
      </c>
      <c r="O97" s="22" t="str">
        <f>HYPERLINK("https://pbs.twimg.com/profile_images/794101918943604736/NxlDydce_normal.jpg","View")</f>
        <v>View</v>
      </c>
      <c r="P97" s="27"/>
    </row>
    <row r="98">
      <c r="A98" s="19">
        <v>42701.72659722222</v>
      </c>
      <c r="B98" s="20" t="str">
        <f>HYPERLINK("https://twitter.com/nia_swan22","@nia_swan22")</f>
        <v>@nia_swan22</v>
      </c>
      <c r="C98" s="21" t="s">
        <v>307</v>
      </c>
      <c r="D98" s="21" t="s">
        <v>308</v>
      </c>
      <c r="E98" s="22" t="str">
        <f>HYPERLINK("https://twitter.com/nia_swan22/status/802926536294858752","802926536294858752")</f>
        <v>802926536294858752</v>
      </c>
      <c r="F98" s="23" t="s">
        <v>81</v>
      </c>
      <c r="G98" s="24">
        <v>254.0</v>
      </c>
      <c r="H98" s="24">
        <v>271.0</v>
      </c>
      <c r="I98" s="24">
        <v>0.0</v>
      </c>
      <c r="J98" s="24">
        <v>1.0</v>
      </c>
      <c r="K98" s="23" t="s">
        <v>27</v>
      </c>
      <c r="L98" s="25">
        <v>42188.48792824074</v>
      </c>
      <c r="M98" s="26" t="s">
        <v>309</v>
      </c>
      <c r="N98" s="26" t="s">
        <v>310</v>
      </c>
      <c r="O98" s="22" t="str">
        <f>HYPERLINK("https://pbs.twimg.com/profile_images/791975618850263041/AJxDXBaa_normal.jpg","View")</f>
        <v>View</v>
      </c>
      <c r="P98" s="27"/>
    </row>
    <row r="99">
      <c r="A99" s="19">
        <v>42701.72826388889</v>
      </c>
      <c r="B99" s="20" t="str">
        <f>HYPERLINK("https://twitter.com/pazgcmara","@pazgcmara")</f>
        <v>@pazgcmara</v>
      </c>
      <c r="C99" s="21" t="s">
        <v>311</v>
      </c>
      <c r="D99" s="21" t="s">
        <v>288</v>
      </c>
      <c r="E99" s="22" t="str">
        <f>HYPERLINK("https://twitter.com/pazgcmara/status/802927141151272960","802927141151272960")</f>
        <v>802927141151272960</v>
      </c>
      <c r="F99" s="23" t="s">
        <v>41</v>
      </c>
      <c r="G99" s="24">
        <v>115.0</v>
      </c>
      <c r="H99" s="24">
        <v>132.0</v>
      </c>
      <c r="I99" s="24">
        <v>12.0</v>
      </c>
      <c r="J99" s="24">
        <v>0.0</v>
      </c>
      <c r="K99" s="23" t="s">
        <v>27</v>
      </c>
      <c r="L99" s="25">
        <v>41154.95905092593</v>
      </c>
      <c r="M99" s="28"/>
      <c r="N99" s="28"/>
      <c r="O99" s="22" t="str">
        <f>HYPERLINK("https://pbs.twimg.com/profile_images/774629921771626496/5phwvhV0_normal.jpg","View")</f>
        <v>View</v>
      </c>
      <c r="P99" s="27"/>
    </row>
    <row r="100">
      <c r="A100" s="19">
        <v>42701.75457175926</v>
      </c>
      <c r="B100" s="20" t="str">
        <f t="shared" ref="B100:B102" si="13">HYPERLINK("https://twitter.com/lcruisetours","@lcruisetours")</f>
        <v>@lcruisetours</v>
      </c>
      <c r="C100" s="21" t="s">
        <v>312</v>
      </c>
      <c r="D100" s="21" t="s">
        <v>313</v>
      </c>
      <c r="E100" s="22" t="str">
        <f>HYPERLINK("https://twitter.com/lcruisetours/status/802936675643039744","802936675643039744")</f>
        <v>802936675643039744</v>
      </c>
      <c r="F100" s="23" t="s">
        <v>64</v>
      </c>
      <c r="G100" s="24">
        <v>13.0</v>
      </c>
      <c r="H100" s="24">
        <v>10.0</v>
      </c>
      <c r="I100" s="24">
        <v>1.0</v>
      </c>
      <c r="J100" s="24">
        <v>0.0</v>
      </c>
      <c r="K100" s="23" t="s">
        <v>27</v>
      </c>
      <c r="L100" s="25">
        <v>41983.65516203704</v>
      </c>
      <c r="M100" s="28"/>
      <c r="N100" s="28"/>
      <c r="O100" s="22" t="str">
        <f t="shared" ref="O100:O102" si="14">HYPERLINK("https://pbs.twimg.com/profile_images/549237218955362304/X_z4yrVs_normal.png","View")</f>
        <v>View</v>
      </c>
      <c r="P100" s="27"/>
    </row>
    <row r="101">
      <c r="A101" s="19">
        <v>42701.75461805555</v>
      </c>
      <c r="B101" s="20" t="str">
        <f t="shared" si="13"/>
        <v>@lcruisetours</v>
      </c>
      <c r="C101" s="21" t="s">
        <v>312</v>
      </c>
      <c r="D101" s="21" t="s">
        <v>314</v>
      </c>
      <c r="E101" s="22" t="str">
        <f>HYPERLINK("https://twitter.com/lcruisetours/status/802936691787001856","802936691787001856")</f>
        <v>802936691787001856</v>
      </c>
      <c r="F101" s="23" t="s">
        <v>64</v>
      </c>
      <c r="G101" s="24">
        <v>13.0</v>
      </c>
      <c r="H101" s="24">
        <v>10.0</v>
      </c>
      <c r="I101" s="24">
        <v>1.0</v>
      </c>
      <c r="J101" s="24">
        <v>0.0</v>
      </c>
      <c r="K101" s="23" t="s">
        <v>27</v>
      </c>
      <c r="L101" s="25">
        <v>41983.65516203704</v>
      </c>
      <c r="M101" s="28"/>
      <c r="N101" s="28"/>
      <c r="O101" s="22" t="str">
        <f t="shared" si="14"/>
        <v>View</v>
      </c>
      <c r="P101" s="27"/>
    </row>
    <row r="102">
      <c r="A102" s="19">
        <v>42701.75466435185</v>
      </c>
      <c r="B102" s="20" t="str">
        <f t="shared" si="13"/>
        <v>@lcruisetours</v>
      </c>
      <c r="C102" s="21" t="s">
        <v>312</v>
      </c>
      <c r="D102" s="21" t="s">
        <v>315</v>
      </c>
      <c r="E102" s="22" t="str">
        <f>HYPERLINK("https://twitter.com/lcruisetours/status/802936706156625920","802936706156625920")</f>
        <v>802936706156625920</v>
      </c>
      <c r="F102" s="23" t="s">
        <v>64</v>
      </c>
      <c r="G102" s="24">
        <v>13.0</v>
      </c>
      <c r="H102" s="24">
        <v>10.0</v>
      </c>
      <c r="I102" s="24">
        <v>1.0</v>
      </c>
      <c r="J102" s="24">
        <v>0.0</v>
      </c>
      <c r="K102" s="23" t="s">
        <v>27</v>
      </c>
      <c r="L102" s="25">
        <v>41983.65516203704</v>
      </c>
      <c r="M102" s="28"/>
      <c r="N102" s="28"/>
      <c r="O102" s="22" t="str">
        <f t="shared" si="14"/>
        <v>View</v>
      </c>
      <c r="P102" s="27"/>
    </row>
    <row r="103">
      <c r="A103" s="19">
        <v>42701.76199074074</v>
      </c>
      <c r="B103" s="20" t="str">
        <f>HYPERLINK("https://twitter.com/guanac2","@guanac2")</f>
        <v>@guanac2</v>
      </c>
      <c r="C103" s="21" t="s">
        <v>217</v>
      </c>
      <c r="D103" s="21" t="s">
        <v>316</v>
      </c>
      <c r="E103" s="22" t="str">
        <f>HYPERLINK("https://twitter.com/guanac2/status/802939360593252356","802939360593252356")</f>
        <v>802939360593252356</v>
      </c>
      <c r="F103" s="23" t="s">
        <v>81</v>
      </c>
      <c r="G103" s="24">
        <v>141.0</v>
      </c>
      <c r="H103" s="24">
        <v>134.0</v>
      </c>
      <c r="I103" s="24">
        <v>0.0</v>
      </c>
      <c r="J103" s="24">
        <v>0.0</v>
      </c>
      <c r="K103" s="23" t="s">
        <v>27</v>
      </c>
      <c r="L103" s="25">
        <v>41343.91627314815</v>
      </c>
      <c r="M103" s="26" t="s">
        <v>109</v>
      </c>
      <c r="N103" s="26" t="s">
        <v>219</v>
      </c>
      <c r="O103" s="22" t="str">
        <f>HYPERLINK("https://pbs.twimg.com/profile_images/660990494768504833/nZJ5VzRf_normal.jpg","View")</f>
        <v>View</v>
      </c>
      <c r="P103" s="27"/>
    </row>
    <row r="104">
      <c r="A104" s="19">
        <v>42701.76777777778</v>
      </c>
      <c r="B104" s="20" t="str">
        <f>HYPERLINK("https://twitter.com/presasgc","@presasgc")</f>
        <v>@presasgc</v>
      </c>
      <c r="C104" s="21" t="s">
        <v>182</v>
      </c>
      <c r="D104" s="21" t="s">
        <v>317</v>
      </c>
      <c r="E104" s="22" t="str">
        <f>HYPERLINK("https://twitter.com/presasgc/status/802941458265374722","802941458265374722")</f>
        <v>802941458265374722</v>
      </c>
      <c r="F104" s="23" t="s">
        <v>41</v>
      </c>
      <c r="G104" s="24">
        <v>1352.0</v>
      </c>
      <c r="H104" s="24">
        <v>1654.0</v>
      </c>
      <c r="I104" s="24">
        <v>1.0</v>
      </c>
      <c r="J104" s="24">
        <v>0.0</v>
      </c>
      <c r="K104" s="23" t="s">
        <v>27</v>
      </c>
      <c r="L104" s="25">
        <v>41109.9346875</v>
      </c>
      <c r="M104" s="26" t="s">
        <v>184</v>
      </c>
      <c r="N104" s="26" t="s">
        <v>185</v>
      </c>
      <c r="O104" s="22" t="str">
        <f>HYPERLINK("https://pbs.twimg.com/profile_images/614822380859473920/pkG6W2ir_normal.jpg","View")</f>
        <v>View</v>
      </c>
      <c r="P104" s="27"/>
    </row>
    <row r="105">
      <c r="A105" s="19">
        <v>42701.769583333335</v>
      </c>
      <c r="B105" s="20" t="str">
        <f>HYPERLINK("https://twitter.com/enri_cardi","@enri_cardi")</f>
        <v>@enri_cardi</v>
      </c>
      <c r="C105" s="21" t="s">
        <v>318</v>
      </c>
      <c r="D105" s="21" t="s">
        <v>319</v>
      </c>
      <c r="E105" s="22" t="str">
        <f>HYPERLINK("https://twitter.com/enri_cardi/status/802942113658900480","802942113658900480")</f>
        <v>802942113658900480</v>
      </c>
      <c r="F105" s="23" t="s">
        <v>81</v>
      </c>
      <c r="G105" s="24">
        <v>534.0</v>
      </c>
      <c r="H105" s="24">
        <v>847.0</v>
      </c>
      <c r="I105" s="24">
        <v>0.0</v>
      </c>
      <c r="J105" s="24">
        <v>1.0</v>
      </c>
      <c r="K105" s="23" t="s">
        <v>27</v>
      </c>
      <c r="L105" s="25">
        <v>40663.09207175926</v>
      </c>
      <c r="M105" s="28"/>
      <c r="N105" s="26" t="s">
        <v>320</v>
      </c>
      <c r="O105" s="22" t="str">
        <f>HYPERLINK("https://pbs.twimg.com/profile_images/622340886916124672/0n21NsD9_normal.jpg","View")</f>
        <v>View</v>
      </c>
      <c r="P105" s="27" t="str">
        <f t="shared" ref="P105:P107" si="15">HYPERLINK("https://ctrlq.org/maps/address/#29.21463182,-13.4815181","Map")</f>
        <v>#ERROR!</v>
      </c>
    </row>
    <row r="106">
      <c r="A106" s="19">
        <v>42701.77145833333</v>
      </c>
      <c r="B106" s="20" t="str">
        <f>HYPERLINK("https://twitter.com/gergolippai","@gergolippai")</f>
        <v>@gergolippai</v>
      </c>
      <c r="C106" s="21" t="s">
        <v>79</v>
      </c>
      <c r="D106" s="21" t="s">
        <v>321</v>
      </c>
      <c r="E106" s="22" t="str">
        <f>HYPERLINK("https://twitter.com/gergolippai/status/802942791668076544","802942791668076544")</f>
        <v>802942791668076544</v>
      </c>
      <c r="F106" s="23" t="s">
        <v>81</v>
      </c>
      <c r="G106" s="24">
        <v>1139.0</v>
      </c>
      <c r="H106" s="24">
        <v>423.0</v>
      </c>
      <c r="I106" s="24">
        <v>0.0</v>
      </c>
      <c r="J106" s="24">
        <v>0.0</v>
      </c>
      <c r="K106" s="23" t="s">
        <v>27</v>
      </c>
      <c r="L106" s="25">
        <v>39576.45049768519</v>
      </c>
      <c r="M106" s="26" t="s">
        <v>82</v>
      </c>
      <c r="N106" s="26" t="s">
        <v>83</v>
      </c>
      <c r="O106" s="22" t="str">
        <f>HYPERLINK("https://pbs.twimg.com/profile_images/711341349983920129/gKtqDqg2_normal.jpg","View")</f>
        <v>View</v>
      </c>
      <c r="P106" s="27" t="str">
        <f t="shared" si="15"/>
        <v>#ERROR!</v>
      </c>
    </row>
    <row r="107">
      <c r="A107" s="19">
        <v>42701.77841435185</v>
      </c>
      <c r="B107" s="20" t="str">
        <f>HYPERLINK("https://twitter.com/starzionprod","@starzionprod")</f>
        <v>@starzionprod</v>
      </c>
      <c r="C107" s="21" t="s">
        <v>322</v>
      </c>
      <c r="D107" s="21" t="s">
        <v>323</v>
      </c>
      <c r="E107" s="22" t="str">
        <f>HYPERLINK("https://twitter.com/starzionprod/status/802945312201568256","802945312201568256")</f>
        <v>802945312201568256</v>
      </c>
      <c r="F107" s="23" t="s">
        <v>81</v>
      </c>
      <c r="G107" s="24">
        <v>164.0</v>
      </c>
      <c r="H107" s="24">
        <v>184.0</v>
      </c>
      <c r="I107" s="24">
        <v>0.0</v>
      </c>
      <c r="J107" s="24">
        <v>1.0</v>
      </c>
      <c r="K107" s="23" t="s">
        <v>27</v>
      </c>
      <c r="L107" s="25">
        <v>40460.82931712963</v>
      </c>
      <c r="M107" s="26" t="s">
        <v>324</v>
      </c>
      <c r="N107" s="26" t="s">
        <v>325</v>
      </c>
      <c r="O107" s="22" t="str">
        <f>HYPERLINK("https://pbs.twimg.com/profile_images/599868315637555200/kOgjENRZ_normal.jpg","View")</f>
        <v>View</v>
      </c>
      <c r="P107" s="27" t="str">
        <f t="shared" si="15"/>
        <v>#ERROR!</v>
      </c>
    </row>
    <row r="108">
      <c r="A108" s="19">
        <v>42701.77979166667</v>
      </c>
      <c r="B108" s="20" t="str">
        <f>HYPERLINK("https://twitter.com/SimonTurkas","@SimonTurkas")</f>
        <v>@SimonTurkas</v>
      </c>
      <c r="C108" s="21" t="s">
        <v>326</v>
      </c>
      <c r="D108" s="21" t="s">
        <v>327</v>
      </c>
      <c r="E108" s="22" t="str">
        <f>HYPERLINK("https://twitter.com/SimonTurkas/status/802945813227982850","802945813227982850")</f>
        <v>802945813227982850</v>
      </c>
      <c r="F108" s="23" t="s">
        <v>26</v>
      </c>
      <c r="G108" s="24">
        <v>14914.0</v>
      </c>
      <c r="H108" s="24">
        <v>10736.0</v>
      </c>
      <c r="I108" s="24">
        <v>2.0</v>
      </c>
      <c r="J108" s="24">
        <v>0.0</v>
      </c>
      <c r="K108" s="23" t="s">
        <v>27</v>
      </c>
      <c r="L108" s="25">
        <v>41019.515069444446</v>
      </c>
      <c r="M108" s="26" t="s">
        <v>328</v>
      </c>
      <c r="N108" s="26" t="s">
        <v>329</v>
      </c>
      <c r="O108" s="22" t="str">
        <f>HYPERLINK("https://pbs.twimg.com/profile_images/800292908008144896/TiECGUpd_normal.jpg","View")</f>
        <v>View</v>
      </c>
      <c r="P108" s="27"/>
    </row>
    <row r="109">
      <c r="A109" s="19">
        <v>42701.78076388889</v>
      </c>
      <c r="B109" s="20" t="str">
        <f>HYPERLINK("https://twitter.com/eo_hotels","@eo_hotels")</f>
        <v>@eo_hotels</v>
      </c>
      <c r="C109" s="21" t="s">
        <v>330</v>
      </c>
      <c r="D109" s="21" t="s">
        <v>331</v>
      </c>
      <c r="E109" s="22" t="str">
        <f>HYPERLINK("https://twitter.com/eo_hotels/status/802946167084556288","802946167084556288")</f>
        <v>802946167084556288</v>
      </c>
      <c r="F109" s="23" t="s">
        <v>69</v>
      </c>
      <c r="G109" s="24">
        <v>246.0</v>
      </c>
      <c r="H109" s="24">
        <v>163.0</v>
      </c>
      <c r="I109" s="24">
        <v>0.0</v>
      </c>
      <c r="J109" s="24">
        <v>0.0</v>
      </c>
      <c r="K109" s="23" t="s">
        <v>27</v>
      </c>
      <c r="L109" s="25">
        <v>42024.58443287037</v>
      </c>
      <c r="M109" s="26" t="s">
        <v>332</v>
      </c>
      <c r="N109" s="26" t="s">
        <v>333</v>
      </c>
      <c r="O109" s="22" t="str">
        <f>HYPERLINK("https://pbs.twimg.com/profile_images/557538879318671360/fFcBJm6g_normal.jpeg","View")</f>
        <v>View</v>
      </c>
      <c r="P109" s="27"/>
    </row>
    <row r="110">
      <c r="A110" s="19">
        <v>42701.7972337963</v>
      </c>
      <c r="B110" s="20" t="str">
        <f t="shared" ref="B110:B111" si="16">HYPERLINK("https://twitter.com/javier_e_br","@javier_e_br")</f>
        <v>@javier_e_br</v>
      </c>
      <c r="C110" s="21" t="s">
        <v>334</v>
      </c>
      <c r="D110" s="21" t="s">
        <v>288</v>
      </c>
      <c r="E110" s="22" t="str">
        <f>HYPERLINK("https://twitter.com/javier_e_br/status/802952133310107648","802952133310107648")</f>
        <v>802952133310107648</v>
      </c>
      <c r="F110" s="23" t="s">
        <v>37</v>
      </c>
      <c r="G110" s="24">
        <v>23398.0</v>
      </c>
      <c r="H110" s="24">
        <v>19910.0</v>
      </c>
      <c r="I110" s="24">
        <v>12.0</v>
      </c>
      <c r="J110" s="24">
        <v>0.0</v>
      </c>
      <c r="K110" s="23" t="s">
        <v>27</v>
      </c>
      <c r="L110" s="25">
        <v>41214.94907407407</v>
      </c>
      <c r="M110" s="26" t="s">
        <v>335</v>
      </c>
      <c r="N110" s="26" t="s">
        <v>336</v>
      </c>
      <c r="O110" s="22" t="str">
        <f t="shared" ref="O110:O111" si="17">HYPERLINK("https://pbs.twimg.com/profile_images/782870651996692480/6jjashki_normal.jpg","View")</f>
        <v>View</v>
      </c>
      <c r="P110" s="27"/>
    </row>
    <row r="111">
      <c r="A111" s="19">
        <v>42701.79736111111</v>
      </c>
      <c r="B111" s="20" t="str">
        <f t="shared" si="16"/>
        <v>@javier_e_br</v>
      </c>
      <c r="C111" s="21" t="s">
        <v>334</v>
      </c>
      <c r="D111" s="21" t="s">
        <v>205</v>
      </c>
      <c r="E111" s="22" t="str">
        <f>HYPERLINK("https://twitter.com/javier_e_br/status/802952180957265924","802952180957265924")</f>
        <v>802952180957265924</v>
      </c>
      <c r="F111" s="23" t="s">
        <v>37</v>
      </c>
      <c r="G111" s="24">
        <v>23398.0</v>
      </c>
      <c r="H111" s="24">
        <v>19910.0</v>
      </c>
      <c r="I111" s="24">
        <v>7.0</v>
      </c>
      <c r="J111" s="24">
        <v>0.0</v>
      </c>
      <c r="K111" s="23" t="s">
        <v>27</v>
      </c>
      <c r="L111" s="25">
        <v>41214.94907407407</v>
      </c>
      <c r="M111" s="26" t="s">
        <v>335</v>
      </c>
      <c r="N111" s="26" t="s">
        <v>336</v>
      </c>
      <c r="O111" s="22" t="str">
        <f t="shared" si="17"/>
        <v>View</v>
      </c>
      <c r="P111" s="27"/>
    </row>
    <row r="112">
      <c r="A112" s="19">
        <v>42701.79828703703</v>
      </c>
      <c r="B112" s="20" t="str">
        <f>HYPERLINK("https://twitter.com/7defabb21818418","@7defabb21818418")</f>
        <v>@7defabb21818418</v>
      </c>
      <c r="C112" s="21" t="s">
        <v>337</v>
      </c>
      <c r="D112" s="21" t="s">
        <v>40</v>
      </c>
      <c r="E112" s="22" t="str">
        <f>HYPERLINK("https://twitter.com/7defabb21818418/status/802952515083993088","802952515083993088")</f>
        <v>802952515083993088</v>
      </c>
      <c r="F112" s="23" t="s">
        <v>41</v>
      </c>
      <c r="G112" s="24">
        <v>227.0</v>
      </c>
      <c r="H112" s="24">
        <v>278.0</v>
      </c>
      <c r="I112" s="24">
        <v>12.0</v>
      </c>
      <c r="J112" s="24">
        <v>0.0</v>
      </c>
      <c r="K112" s="23" t="s">
        <v>27</v>
      </c>
      <c r="L112" s="25">
        <v>41983.74391203704</v>
      </c>
      <c r="M112" s="26" t="s">
        <v>338</v>
      </c>
      <c r="N112" s="26" t="s">
        <v>339</v>
      </c>
      <c r="O112" s="22" t="str">
        <f>HYPERLINK("https://pbs.twimg.com/profile_images/573176497390940160/iZGqs28N_normal.jpeg","View")</f>
        <v>View</v>
      </c>
      <c r="P112" s="27"/>
    </row>
    <row r="113">
      <c r="A113" s="19">
        <v>42701.80305555556</v>
      </c>
      <c r="B113" s="20" t="str">
        <f>HYPERLINK("https://twitter.com/islaspromo","@islaspromo")</f>
        <v>@islaspromo</v>
      </c>
      <c r="C113" s="21" t="s">
        <v>215</v>
      </c>
      <c r="D113" s="21" t="s">
        <v>288</v>
      </c>
      <c r="E113" s="22" t="str">
        <f>HYPERLINK("https://twitter.com/islaspromo/status/802954245158768640","802954245158768640")</f>
        <v>802954245158768640</v>
      </c>
      <c r="F113" s="23" t="s">
        <v>37</v>
      </c>
      <c r="G113" s="24">
        <v>785.0</v>
      </c>
      <c r="H113" s="24">
        <v>591.0</v>
      </c>
      <c r="I113" s="24">
        <v>12.0</v>
      </c>
      <c r="J113" s="24">
        <v>0.0</v>
      </c>
      <c r="K113" s="23" t="s">
        <v>27</v>
      </c>
      <c r="L113" s="25">
        <v>42060.74221064815</v>
      </c>
      <c r="M113" s="26" t="s">
        <v>51</v>
      </c>
      <c r="N113" s="26" t="s">
        <v>216</v>
      </c>
      <c r="O113" s="22" t="str">
        <f>HYPERLINK("https://pbs.twimg.com/profile_images/570644453866483712/dvbC2x8W_normal.jpeg","View")</f>
        <v>View</v>
      </c>
      <c r="P113" s="27"/>
    </row>
    <row r="114">
      <c r="A114" s="19">
        <v>42701.809583333335</v>
      </c>
      <c r="B114" s="20" t="str">
        <f>HYPERLINK("https://twitter.com/VeraSychrova","@VeraSychrova")</f>
        <v>@VeraSychrova</v>
      </c>
      <c r="C114" s="21" t="s">
        <v>340</v>
      </c>
      <c r="D114" s="21" t="s">
        <v>341</v>
      </c>
      <c r="E114" s="22" t="str">
        <f>HYPERLINK("https://twitter.com/VeraSychrova/status/802956608762507264","802956608762507264")</f>
        <v>802956608762507264</v>
      </c>
      <c r="F114" s="23" t="s">
        <v>37</v>
      </c>
      <c r="G114" s="24">
        <v>93.0</v>
      </c>
      <c r="H114" s="24">
        <v>139.0</v>
      </c>
      <c r="I114" s="24">
        <v>0.0</v>
      </c>
      <c r="J114" s="24">
        <v>2.0</v>
      </c>
      <c r="K114" s="23" t="s">
        <v>27</v>
      </c>
      <c r="L114" s="25">
        <v>40221.510046296295</v>
      </c>
      <c r="M114" s="26" t="s">
        <v>342</v>
      </c>
      <c r="N114" s="26" t="s">
        <v>343</v>
      </c>
      <c r="O114" s="22" t="str">
        <f>HYPERLINK("https://pbs.twimg.com/profile_images/715217860361121792/d_kZTx2u_normal.jpg","View")</f>
        <v>View</v>
      </c>
      <c r="P114" s="27"/>
    </row>
    <row r="115">
      <c r="A115" s="19">
        <v>42701.81327546296</v>
      </c>
      <c r="B115" s="20" t="str">
        <f>HYPERLINK("https://twitter.com/LuxurySpainTrav","@LuxurySpainTrav")</f>
        <v>@LuxurySpainTrav</v>
      </c>
      <c r="C115" s="21" t="s">
        <v>344</v>
      </c>
      <c r="D115" s="21" t="s">
        <v>345</v>
      </c>
      <c r="E115" s="22" t="str">
        <f>HYPERLINK("https://twitter.com/LuxurySpainTrav/status/802957946615463936","802957946615463936")</f>
        <v>802957946615463936</v>
      </c>
      <c r="F115" s="23" t="s">
        <v>37</v>
      </c>
      <c r="G115" s="24">
        <v>1252.0</v>
      </c>
      <c r="H115" s="24">
        <v>1932.0</v>
      </c>
      <c r="I115" s="24">
        <v>1.0</v>
      </c>
      <c r="J115" s="24">
        <v>0.0</v>
      </c>
      <c r="K115" s="23" t="s">
        <v>27</v>
      </c>
      <c r="L115" s="25">
        <v>40635.43659722222</v>
      </c>
      <c r="M115" s="26" t="s">
        <v>203</v>
      </c>
      <c r="N115" s="26" t="s">
        <v>346</v>
      </c>
      <c r="O115" s="22" t="str">
        <f>HYPERLINK("https://pbs.twimg.com/profile_images/659310953503334400/p4bMqDd0_normal.jpg","View")</f>
        <v>View</v>
      </c>
      <c r="P115" s="27"/>
    </row>
    <row r="116">
      <c r="A116" s="19">
        <v>42701.81675925926</v>
      </c>
      <c r="B116" s="20" t="str">
        <f>HYPERLINK("https://twitter.com/CJ_TenisClub","@CJ_TenisClub")</f>
        <v>@CJ_TenisClub</v>
      </c>
      <c r="C116" s="21" t="s">
        <v>347</v>
      </c>
      <c r="D116" s="21" t="s">
        <v>348</v>
      </c>
      <c r="E116" s="22" t="str">
        <f>HYPERLINK("https://twitter.com/CJ_TenisClub/status/802959208308207616","802959208308207616")</f>
        <v>802959208308207616</v>
      </c>
      <c r="F116" s="23" t="s">
        <v>69</v>
      </c>
      <c r="G116" s="24">
        <v>214.0</v>
      </c>
      <c r="H116" s="24">
        <v>130.0</v>
      </c>
      <c r="I116" s="24">
        <v>0.0</v>
      </c>
      <c r="J116" s="24">
        <v>0.0</v>
      </c>
      <c r="K116" s="23" t="s">
        <v>27</v>
      </c>
      <c r="L116" s="25">
        <v>41570.99730324074</v>
      </c>
      <c r="M116" s="28"/>
      <c r="N116" s="26" t="s">
        <v>349</v>
      </c>
      <c r="O116" s="22" t="str">
        <f>HYPERLINK("https://pbs.twimg.com/profile_images/718837181683494913/iga7i5m8_normal.jpg","View")</f>
        <v>View</v>
      </c>
      <c r="P116" s="27"/>
    </row>
    <row r="117">
      <c r="A117" s="19">
        <v>42701.83545138889</v>
      </c>
      <c r="B117" s="20" t="str">
        <f>HYPERLINK("https://twitter.com/holidayhype","@holidayhype")</f>
        <v>@holidayhype</v>
      </c>
      <c r="C117" s="21" t="s">
        <v>350</v>
      </c>
      <c r="D117" s="21" t="s">
        <v>351</v>
      </c>
      <c r="E117" s="22" t="str">
        <f>HYPERLINK("https://twitter.com/holidayhype/status/802965981488300032","802965981488300032")</f>
        <v>802965981488300032</v>
      </c>
      <c r="F117" s="23" t="s">
        <v>352</v>
      </c>
      <c r="G117" s="24">
        <v>11626.0</v>
      </c>
      <c r="H117" s="24">
        <v>1424.0</v>
      </c>
      <c r="I117" s="24">
        <v>0.0</v>
      </c>
      <c r="J117" s="24">
        <v>0.0</v>
      </c>
      <c r="K117" s="23" t="s">
        <v>27</v>
      </c>
      <c r="L117" s="25">
        <v>39885.43760416667</v>
      </c>
      <c r="M117" s="26" t="s">
        <v>353</v>
      </c>
      <c r="N117" s="26" t="s">
        <v>354</v>
      </c>
      <c r="O117" s="22" t="str">
        <f>HYPERLINK("https://pbs.twimg.com/profile_images/804253424007151617/4SgpI4u9_normal.jpg","View")</f>
        <v>View</v>
      </c>
      <c r="P117" s="27"/>
    </row>
    <row r="118">
      <c r="A118" s="19">
        <v>42701.83553240741</v>
      </c>
      <c r="B118" s="20" t="str">
        <f>HYPERLINK("https://twitter.com/EvaSait","@EvaSait")</f>
        <v>@EvaSait</v>
      </c>
      <c r="C118" s="21" t="s">
        <v>355</v>
      </c>
      <c r="D118" s="21" t="s">
        <v>288</v>
      </c>
      <c r="E118" s="22" t="str">
        <f>HYPERLINK("https://twitter.com/EvaSait/status/802966013335760898","802966013335760898")</f>
        <v>802966013335760898</v>
      </c>
      <c r="F118" s="23" t="s">
        <v>41</v>
      </c>
      <c r="G118" s="24">
        <v>21.0</v>
      </c>
      <c r="H118" s="24">
        <v>39.0</v>
      </c>
      <c r="I118" s="24">
        <v>12.0</v>
      </c>
      <c r="J118" s="24">
        <v>0.0</v>
      </c>
      <c r="K118" s="23" t="s">
        <v>27</v>
      </c>
      <c r="L118" s="25">
        <v>42224.74814814815</v>
      </c>
      <c r="M118" s="28"/>
      <c r="N118" s="28"/>
      <c r="O118" s="22" t="str">
        <f>HYPERLINK("https://pbs.twimg.com/profile_images/670590595962953728/Wms2JA_L_normal.jpg","View")</f>
        <v>View</v>
      </c>
      <c r="P118" s="27"/>
    </row>
    <row r="119">
      <c r="A119" s="19">
        <v>42701.8577662037</v>
      </c>
      <c r="B119" s="20" t="str">
        <f>HYPERLINK("https://twitter.com/LesRandosdeCaco","@LesRandosdeCaco")</f>
        <v>@LesRandosdeCaco</v>
      </c>
      <c r="C119" s="21" t="s">
        <v>186</v>
      </c>
      <c r="D119" s="21" t="s">
        <v>356</v>
      </c>
      <c r="E119" s="22" t="str">
        <f>HYPERLINK("https://twitter.com/LesRandosdeCaco/status/802974070107029504","802974070107029504")</f>
        <v>802974070107029504</v>
      </c>
      <c r="F119" s="23" t="s">
        <v>41</v>
      </c>
      <c r="G119" s="24">
        <v>7.0</v>
      </c>
      <c r="H119" s="24">
        <v>57.0</v>
      </c>
      <c r="I119" s="24">
        <v>2.0</v>
      </c>
      <c r="J119" s="24">
        <v>0.0</v>
      </c>
      <c r="K119" s="23" t="s">
        <v>27</v>
      </c>
      <c r="L119" s="25">
        <v>41643.68407407407</v>
      </c>
      <c r="M119" s="26" t="s">
        <v>188</v>
      </c>
      <c r="N119" s="26" t="s">
        <v>189</v>
      </c>
      <c r="O119" s="22" t="str">
        <f>HYPERLINK("https://pbs.twimg.com/profile_images/802073872866705408/wMHnHYch_normal.jpg","View")</f>
        <v>View</v>
      </c>
      <c r="P119" s="27"/>
    </row>
    <row r="120">
      <c r="A120" s="19">
        <v>42701.873715277776</v>
      </c>
      <c r="B120" s="20" t="str">
        <f>HYPERLINK("https://twitter.com/travelsupport7","@travelsupport7")</f>
        <v>@travelsupport7</v>
      </c>
      <c r="C120" s="21" t="s">
        <v>357</v>
      </c>
      <c r="D120" s="21" t="s">
        <v>358</v>
      </c>
      <c r="E120" s="22" t="str">
        <f>HYPERLINK("https://twitter.com/travelsupport7/status/802979849220538369","802979849220538369")</f>
        <v>802979849220538369</v>
      </c>
      <c r="F120" s="23" t="s">
        <v>26</v>
      </c>
      <c r="G120" s="24">
        <v>423.0</v>
      </c>
      <c r="H120" s="24">
        <v>355.0</v>
      </c>
      <c r="I120" s="24">
        <v>1.0</v>
      </c>
      <c r="J120" s="24">
        <v>0.0</v>
      </c>
      <c r="K120" s="23" t="s">
        <v>27</v>
      </c>
      <c r="L120" s="25">
        <v>42155.61892361111</v>
      </c>
      <c r="M120" s="26" t="s">
        <v>359</v>
      </c>
      <c r="N120" s="26" t="s">
        <v>360</v>
      </c>
      <c r="O120" s="22" t="str">
        <f>HYPERLINK("https://pbs.twimg.com/profile_images/739756655391481857/1iOj5jcg_normal.jpg","View")</f>
        <v>View</v>
      </c>
      <c r="P120" s="27"/>
    </row>
    <row r="121">
      <c r="A121" s="19">
        <v>42701.879155092596</v>
      </c>
      <c r="B121" s="20" t="str">
        <f>HYPERLINK("https://twitter.com/yosi222010","@yosi222010")</f>
        <v>@yosi222010</v>
      </c>
      <c r="C121" s="21" t="s">
        <v>361</v>
      </c>
      <c r="D121" s="21" t="s">
        <v>40</v>
      </c>
      <c r="E121" s="22" t="str">
        <f>HYPERLINK("https://twitter.com/yosi222010/status/802981820447002624","802981820447002624")</f>
        <v>802981820447002624</v>
      </c>
      <c r="F121" s="23" t="s">
        <v>41</v>
      </c>
      <c r="G121" s="24">
        <v>27.0</v>
      </c>
      <c r="H121" s="24">
        <v>67.0</v>
      </c>
      <c r="I121" s="24">
        <v>12.0</v>
      </c>
      <c r="J121" s="24">
        <v>0.0</v>
      </c>
      <c r="K121" s="23" t="s">
        <v>27</v>
      </c>
      <c r="L121" s="25">
        <v>42002.9593287037</v>
      </c>
      <c r="M121" s="26" t="s">
        <v>362</v>
      </c>
      <c r="N121" s="28"/>
      <c r="O121" s="22" t="str">
        <f>HYPERLINK("https://pbs.twimg.com/profile_images/563035503684231168/RLWuY9HK_normal.jpeg","View")</f>
        <v>View</v>
      </c>
      <c r="P121" s="27"/>
    </row>
    <row r="122">
      <c r="A122" s="19">
        <v>42701.881990740745</v>
      </c>
      <c r="B122" s="20" t="str">
        <f>HYPERLINK("https://twitter.com/NikoJardiner","@NikoJardiner")</f>
        <v>@NikoJardiner</v>
      </c>
      <c r="C122" s="21" t="s">
        <v>363</v>
      </c>
      <c r="D122" s="21" t="s">
        <v>364</v>
      </c>
      <c r="E122" s="22" t="str">
        <f>HYPERLINK("https://twitter.com/NikoJardiner/status/802982847074054144","802982847074054144")</f>
        <v>802982847074054144</v>
      </c>
      <c r="F122" s="23" t="s">
        <v>365</v>
      </c>
      <c r="G122" s="24">
        <v>357.0</v>
      </c>
      <c r="H122" s="24">
        <v>550.0</v>
      </c>
      <c r="I122" s="24">
        <v>2.0</v>
      </c>
      <c r="J122" s="24">
        <v>0.0</v>
      </c>
      <c r="K122" s="23" t="s">
        <v>27</v>
      </c>
      <c r="L122" s="25">
        <v>42249.81045138889</v>
      </c>
      <c r="M122" s="26" t="s">
        <v>366</v>
      </c>
      <c r="N122" s="28"/>
      <c r="O122" s="22" t="str">
        <f>HYPERLINK("https://pbs.twimg.com/profile_images/639142993065287680/-EVuuybA_normal.jpg","View")</f>
        <v>View</v>
      </c>
      <c r="P122" s="27"/>
    </row>
    <row r="123">
      <c r="A123" s="19">
        <v>42701.88475694445</v>
      </c>
      <c r="B123" s="20" t="str">
        <f>HYPERLINK("https://twitter.com/Tosky07_PS","@Tosky07_PS")</f>
        <v>@Tosky07_PS</v>
      </c>
      <c r="C123" s="21" t="s">
        <v>367</v>
      </c>
      <c r="D123" s="21" t="s">
        <v>288</v>
      </c>
      <c r="E123" s="22" t="str">
        <f>HYPERLINK("https://twitter.com/Tosky07_PS/status/802983851844739073","802983851844739073")</f>
        <v>802983851844739073</v>
      </c>
      <c r="F123" s="23" t="s">
        <v>41</v>
      </c>
      <c r="G123" s="24">
        <v>46.0</v>
      </c>
      <c r="H123" s="24">
        <v>134.0</v>
      </c>
      <c r="I123" s="24">
        <v>12.0</v>
      </c>
      <c r="J123" s="24">
        <v>0.0</v>
      </c>
      <c r="K123" s="23" t="s">
        <v>27</v>
      </c>
      <c r="L123" s="25">
        <v>42257.59050925926</v>
      </c>
      <c r="M123" s="26" t="s">
        <v>109</v>
      </c>
      <c r="N123" s="26" t="s">
        <v>368</v>
      </c>
      <c r="O123" s="22" t="str">
        <f>HYPERLINK("https://pbs.twimg.com/profile_images/740274644851281920/lU2QY09I_normal.jpg","View")</f>
        <v>View</v>
      </c>
      <c r="P123" s="27"/>
    </row>
    <row r="124">
      <c r="A124" s="19">
        <v>42701.887442129635</v>
      </c>
      <c r="B124" s="20" t="str">
        <f>HYPERLINK("https://twitter.com/maytequimera","@maytequimera")</f>
        <v>@maytequimera</v>
      </c>
      <c r="C124" s="21" t="s">
        <v>369</v>
      </c>
      <c r="D124" s="21" t="s">
        <v>364</v>
      </c>
      <c r="E124" s="22" t="str">
        <f>HYPERLINK("https://twitter.com/maytequimera/status/802984826223480832","802984826223480832")</f>
        <v>802984826223480832</v>
      </c>
      <c r="F124" s="23" t="s">
        <v>41</v>
      </c>
      <c r="G124" s="24">
        <v>610.0</v>
      </c>
      <c r="H124" s="24">
        <v>814.0</v>
      </c>
      <c r="I124" s="24">
        <v>2.0</v>
      </c>
      <c r="J124" s="24">
        <v>0.0</v>
      </c>
      <c r="K124" s="23" t="s">
        <v>27</v>
      </c>
      <c r="L124" s="25">
        <v>41904.711493055554</v>
      </c>
      <c r="M124" s="28"/>
      <c r="N124" s="28"/>
      <c r="O124" s="22" t="str">
        <f>HYPERLINK("https://pbs.twimg.com/profile_images/767813041043931137/hXrdJnyo_normal.jpg","View")</f>
        <v>View</v>
      </c>
      <c r="P124" s="27"/>
    </row>
    <row r="125">
      <c r="A125" s="19">
        <v>42701.89612268518</v>
      </c>
      <c r="B125" s="20" t="str">
        <f>HYPERLINK("https://twitter.com/alesielmio2","@alesielmio2")</f>
        <v>@alesielmio2</v>
      </c>
      <c r="C125" s="21" t="s">
        <v>370</v>
      </c>
      <c r="D125" s="21" t="s">
        <v>371</v>
      </c>
      <c r="E125" s="22" t="str">
        <f>HYPERLINK("https://twitter.com/alesielmio2/status/802987969002934272","802987969002934272")</f>
        <v>802987969002934272</v>
      </c>
      <c r="F125" s="23" t="s">
        <v>41</v>
      </c>
      <c r="G125" s="24">
        <v>156.0</v>
      </c>
      <c r="H125" s="24">
        <v>317.0</v>
      </c>
      <c r="I125" s="24">
        <v>4.0</v>
      </c>
      <c r="J125" s="24">
        <v>0.0</v>
      </c>
      <c r="K125" s="23" t="s">
        <v>27</v>
      </c>
      <c r="L125" s="25">
        <v>42005.68675925926</v>
      </c>
      <c r="M125" s="26" t="s">
        <v>372</v>
      </c>
      <c r="N125" s="26" t="s">
        <v>373</v>
      </c>
      <c r="O125" s="22" t="str">
        <f>HYPERLINK("https://pbs.twimg.com/profile_images/557630528963502081/OCAAyTzI_normal.jpeg","View")</f>
        <v>View</v>
      </c>
      <c r="P125" s="27"/>
    </row>
    <row r="126">
      <c r="A126" s="19">
        <v>42701.901967592596</v>
      </c>
      <c r="B126" s="20" t="str">
        <f>HYPERLINK("https://twitter.com/CostaAdejeHotel","@CostaAdejeHotel")</f>
        <v>@CostaAdejeHotel</v>
      </c>
      <c r="C126" s="21" t="s">
        <v>374</v>
      </c>
      <c r="D126" s="21" t="s">
        <v>375</v>
      </c>
      <c r="E126" s="22" t="str">
        <f>HYPERLINK("https://twitter.com/CostaAdejeHotel/status/802990086493179904","802990086493179904")</f>
        <v>802990086493179904</v>
      </c>
      <c r="F126" s="23" t="s">
        <v>37</v>
      </c>
      <c r="G126" s="24">
        <v>78.0</v>
      </c>
      <c r="H126" s="24">
        <v>106.0</v>
      </c>
      <c r="I126" s="24">
        <v>8.0</v>
      </c>
      <c r="J126" s="24">
        <v>0.0</v>
      </c>
      <c r="K126" s="23" t="s">
        <v>27</v>
      </c>
      <c r="L126" s="25">
        <v>42456.415613425925</v>
      </c>
      <c r="M126" s="26" t="s">
        <v>376</v>
      </c>
      <c r="N126" s="26" t="s">
        <v>377</v>
      </c>
      <c r="O126" s="22" t="str">
        <f>HYPERLINK("https://pbs.twimg.com/profile_images/742950874637598721/-n4GbJer_normal.jpg","View")</f>
        <v>View</v>
      </c>
      <c r="P126" s="27"/>
    </row>
    <row r="127">
      <c r="A127" s="19">
        <v>42701.91747685186</v>
      </c>
      <c r="B127" s="20" t="str">
        <f>HYPERLINK("https://twitter.com/swisshop4uEs","@swisshop4uEs")</f>
        <v>@swisshop4uEs</v>
      </c>
      <c r="C127" s="21" t="s">
        <v>48</v>
      </c>
      <c r="D127" s="21" t="s">
        <v>378</v>
      </c>
      <c r="E127" s="22" t="str">
        <f>HYPERLINK("https://twitter.com/swisshop4uEs/status/802995709117165569","802995709117165569")</f>
        <v>802995709117165569</v>
      </c>
      <c r="F127" s="23" t="s">
        <v>50</v>
      </c>
      <c r="G127" s="24">
        <v>455.0</v>
      </c>
      <c r="H127" s="24">
        <v>424.0</v>
      </c>
      <c r="I127" s="24">
        <v>0.0</v>
      </c>
      <c r="J127" s="24">
        <v>0.0</v>
      </c>
      <c r="K127" s="23" t="s">
        <v>27</v>
      </c>
      <c r="L127" s="25">
        <v>41468.93072916666</v>
      </c>
      <c r="M127" s="26" t="s">
        <v>51</v>
      </c>
      <c r="N127" s="26" t="s">
        <v>52</v>
      </c>
      <c r="O127" s="22" t="str">
        <f>HYPERLINK("https://pbs.twimg.com/profile_images/378800000213382003/4f562b59f92995b884d2d440f71fc5ce_normal.png","View")</f>
        <v>View</v>
      </c>
      <c r="P127" s="27"/>
    </row>
    <row r="128">
      <c r="A128" s="19">
        <v>42701.95731481482</v>
      </c>
      <c r="B128" s="20" t="str">
        <f>HYPERLINK("https://twitter.com/Selhso","@Selhso")</f>
        <v>@Selhso</v>
      </c>
      <c r="C128" s="21" t="s">
        <v>194</v>
      </c>
      <c r="D128" s="21" t="s">
        <v>379</v>
      </c>
      <c r="E128" s="22" t="str">
        <f>HYPERLINK("https://twitter.com/Selhso/status/803010145500307456","803010145500307456")</f>
        <v>803010145500307456</v>
      </c>
      <c r="F128" s="23" t="s">
        <v>37</v>
      </c>
      <c r="G128" s="24">
        <v>1615.0</v>
      </c>
      <c r="H128" s="24">
        <v>1661.0</v>
      </c>
      <c r="I128" s="24">
        <v>10.0</v>
      </c>
      <c r="J128" s="24">
        <v>15.0</v>
      </c>
      <c r="K128" s="23" t="s">
        <v>27</v>
      </c>
      <c r="L128" s="25">
        <v>40372.68681712963</v>
      </c>
      <c r="M128" s="26" t="s">
        <v>196</v>
      </c>
      <c r="N128" s="26" t="s">
        <v>109</v>
      </c>
      <c r="O128" s="22" t="str">
        <f>HYPERLINK("https://pbs.twimg.com/profile_images/800845512836579328/cKh_5hB2_normal.jpg","View")</f>
        <v>View</v>
      </c>
      <c r="P128" s="27"/>
    </row>
    <row r="129">
      <c r="A129" s="19">
        <v>42701.985821759255</v>
      </c>
      <c r="B129" s="20" t="str">
        <f>HYPERLINK("https://twitter.com/MarkPREVERT","@MarkPREVERT")</f>
        <v>@MarkPREVERT</v>
      </c>
      <c r="C129" s="21" t="s">
        <v>380</v>
      </c>
      <c r="D129" s="21" t="s">
        <v>381</v>
      </c>
      <c r="E129" s="22" t="str">
        <f>HYPERLINK("https://twitter.com/MarkPREVERT/status/803020474712064000","803020474712064000")</f>
        <v>803020474712064000</v>
      </c>
      <c r="F129" s="23" t="s">
        <v>37</v>
      </c>
      <c r="G129" s="24">
        <v>18.0</v>
      </c>
      <c r="H129" s="24">
        <v>26.0</v>
      </c>
      <c r="I129" s="24">
        <v>21.0</v>
      </c>
      <c r="J129" s="24">
        <v>0.0</v>
      </c>
      <c r="K129" s="23" t="s">
        <v>27</v>
      </c>
      <c r="L129" s="25">
        <v>42641.21975694444</v>
      </c>
      <c r="M129" s="26" t="s">
        <v>382</v>
      </c>
      <c r="N129" s="26" t="s">
        <v>383</v>
      </c>
      <c r="O129" s="22" t="str">
        <f>HYPERLINK("https://pbs.twimg.com/profile_images/788244479618654209/fAQmlrW4_normal.jpg","View")</f>
        <v>View</v>
      </c>
      <c r="P129" s="27"/>
    </row>
    <row r="130">
      <c r="A130" s="19">
        <v>42701.995370370365</v>
      </c>
      <c r="B130" s="20" t="str">
        <f>HYPERLINK("https://twitter.com/EmocionesCan","@EmocionesCan")</f>
        <v>@EmocionesCan</v>
      </c>
      <c r="C130" s="21" t="s">
        <v>39</v>
      </c>
      <c r="D130" s="21" t="s">
        <v>384</v>
      </c>
      <c r="E130" s="22" t="str">
        <f>HYPERLINK("https://twitter.com/EmocionesCan/status/803023936258707460","803023936258707460")</f>
        <v>803023936258707460</v>
      </c>
      <c r="F130" s="23" t="s">
        <v>41</v>
      </c>
      <c r="G130" s="24">
        <v>61321.0</v>
      </c>
      <c r="H130" s="24">
        <v>3424.0</v>
      </c>
      <c r="I130" s="24">
        <v>10.0</v>
      </c>
      <c r="J130" s="24">
        <v>0.0</v>
      </c>
      <c r="K130" s="23" t="s">
        <v>27</v>
      </c>
      <c r="L130" s="25">
        <v>40776.91810185185</v>
      </c>
      <c r="M130" s="26" t="s">
        <v>42</v>
      </c>
      <c r="N130" s="26" t="s">
        <v>43</v>
      </c>
      <c r="O130" s="22" t="str">
        <f>HYPERLINK("https://pbs.twimg.com/profile_images/1508754713/Logos_Perfiles_EECC_-_Sin_borde_y_sin_texto_normal.jpg","View")</f>
        <v>View</v>
      </c>
      <c r="P130" s="27"/>
    </row>
    <row r="131">
      <c r="A131" s="19">
        <v>42701.99664351852</v>
      </c>
      <c r="B131" s="20" t="str">
        <f>HYPERLINK("https://twitter.com/MariolaTNFGC84","@MariolaTNFGC84")</f>
        <v>@MariolaTNFGC84</v>
      </c>
      <c r="C131" s="21" t="s">
        <v>385</v>
      </c>
      <c r="D131" s="21" t="s">
        <v>384</v>
      </c>
      <c r="E131" s="22" t="str">
        <f>HYPERLINK("https://twitter.com/MariolaTNFGC84/status/803024397309247490","803024397309247490")</f>
        <v>803024397309247490</v>
      </c>
      <c r="F131" s="23" t="s">
        <v>37</v>
      </c>
      <c r="G131" s="24">
        <v>391.0</v>
      </c>
      <c r="H131" s="24">
        <v>891.0</v>
      </c>
      <c r="I131" s="24">
        <v>10.0</v>
      </c>
      <c r="J131" s="24">
        <v>0.0</v>
      </c>
      <c r="K131" s="23" t="s">
        <v>27</v>
      </c>
      <c r="L131" s="25">
        <v>42181.55790509259</v>
      </c>
      <c r="M131" s="28"/>
      <c r="N131" s="28"/>
      <c r="O131" s="22" t="str">
        <f>HYPERLINK("https://pbs.twimg.com/profile_images/765266327804190720/3kytWWcC_normal.jpg","View")</f>
        <v>View</v>
      </c>
      <c r="P131" s="27"/>
    </row>
    <row r="132">
      <c r="A132" s="19">
        <v>42701.997187500005</v>
      </c>
      <c r="B132" s="20" t="str">
        <f>HYPERLINK("https://twitter.com/EmocionesCan","@EmocionesCan")</f>
        <v>@EmocionesCan</v>
      </c>
      <c r="C132" s="21" t="s">
        <v>39</v>
      </c>
      <c r="D132" s="21" t="s">
        <v>205</v>
      </c>
      <c r="E132" s="22" t="str">
        <f>HYPERLINK("https://twitter.com/EmocionesCan/status/803024595561435136","803024595561435136")</f>
        <v>803024595561435136</v>
      </c>
      <c r="F132" s="23" t="s">
        <v>41</v>
      </c>
      <c r="G132" s="24">
        <v>61321.0</v>
      </c>
      <c r="H132" s="24">
        <v>3424.0</v>
      </c>
      <c r="I132" s="24">
        <v>7.0</v>
      </c>
      <c r="J132" s="24">
        <v>0.0</v>
      </c>
      <c r="K132" s="23" t="s">
        <v>27</v>
      </c>
      <c r="L132" s="25">
        <v>40776.91810185185</v>
      </c>
      <c r="M132" s="26" t="s">
        <v>42</v>
      </c>
      <c r="N132" s="26" t="s">
        <v>43</v>
      </c>
      <c r="O132" s="22" t="str">
        <f>HYPERLINK("https://pbs.twimg.com/profile_images/1508754713/Logos_Perfiles_EECC_-_Sin_borde_y_sin_texto_normal.jpg","View")</f>
        <v>View</v>
      </c>
      <c r="P132" s="27"/>
    </row>
    <row r="133">
      <c r="A133" s="19">
        <v>42701.9981712963</v>
      </c>
      <c r="B133" s="20" t="str">
        <f>HYPERLINK("https://twitter.com/gonzalomartin19","@gonzalomartin19")</f>
        <v>@gonzalomartin19</v>
      </c>
      <c r="C133" s="21" t="s">
        <v>386</v>
      </c>
      <c r="D133" s="21" t="s">
        <v>384</v>
      </c>
      <c r="E133" s="22" t="str">
        <f>HYPERLINK("https://twitter.com/gonzalomartin19/status/803024950126903297","803024950126903297")</f>
        <v>803024950126903297</v>
      </c>
      <c r="F133" s="23" t="s">
        <v>26</v>
      </c>
      <c r="G133" s="24">
        <v>3046.0</v>
      </c>
      <c r="H133" s="24">
        <v>1716.0</v>
      </c>
      <c r="I133" s="24">
        <v>10.0</v>
      </c>
      <c r="J133" s="24">
        <v>0.0</v>
      </c>
      <c r="K133" s="23" t="s">
        <v>27</v>
      </c>
      <c r="L133" s="25">
        <v>39975.55291666667</v>
      </c>
      <c r="M133" s="26" t="s">
        <v>387</v>
      </c>
      <c r="N133" s="26" t="s">
        <v>388</v>
      </c>
      <c r="O133" s="22" t="str">
        <f>HYPERLINK("https://pbs.twimg.com/profile_images/788378410800340992/S31aB3GU_normal.jpg","View")</f>
        <v>View</v>
      </c>
      <c r="P133" s="27"/>
    </row>
    <row r="134">
      <c r="A134" s="19">
        <v>42701.99857638888</v>
      </c>
      <c r="B134" s="20" t="str">
        <f>HYPERLINK("https://twitter.com/Salamanca_SSV","@Salamanca_SSV")</f>
        <v>@Salamanca_SSV</v>
      </c>
      <c r="C134" s="21" t="s">
        <v>170</v>
      </c>
      <c r="D134" s="21" t="s">
        <v>384</v>
      </c>
      <c r="E134" s="22" t="str">
        <f>HYPERLINK("https://twitter.com/Salamanca_SSV/status/803025098034860032","803025098034860032")</f>
        <v>803025098034860032</v>
      </c>
      <c r="F134" s="23" t="s">
        <v>41</v>
      </c>
      <c r="G134" s="24">
        <v>7240.0</v>
      </c>
      <c r="H134" s="24">
        <v>7824.0</v>
      </c>
      <c r="I134" s="24">
        <v>10.0</v>
      </c>
      <c r="J134" s="24">
        <v>0.0</v>
      </c>
      <c r="K134" s="23" t="s">
        <v>27</v>
      </c>
      <c r="L134" s="25">
        <v>41317.78532407407</v>
      </c>
      <c r="M134" s="26" t="s">
        <v>171</v>
      </c>
      <c r="N134" s="26" t="s">
        <v>172</v>
      </c>
      <c r="O134" s="22" t="str">
        <f>HYPERLINK("https://pbs.twimg.com/profile_images/3461850627/70f1c6c744e939681691ad3a09d64375_normal.png","View")</f>
        <v>View</v>
      </c>
      <c r="P134" s="27"/>
    </row>
    <row r="135">
      <c r="A135" s="19">
        <v>42702.00063657407</v>
      </c>
      <c r="B135" s="20" t="str">
        <f>HYPERLINK("https://twitter.com/MariolaTNFGC84","@MariolaTNFGC84")</f>
        <v>@MariolaTNFGC84</v>
      </c>
      <c r="C135" s="21" t="s">
        <v>385</v>
      </c>
      <c r="D135" s="21" t="s">
        <v>205</v>
      </c>
      <c r="E135" s="22" t="str">
        <f>HYPERLINK("https://twitter.com/MariolaTNFGC84/status/803025844683862016","803025844683862016")</f>
        <v>803025844683862016</v>
      </c>
      <c r="F135" s="23" t="s">
        <v>37</v>
      </c>
      <c r="G135" s="24">
        <v>391.0</v>
      </c>
      <c r="H135" s="24">
        <v>891.0</v>
      </c>
      <c r="I135" s="24">
        <v>7.0</v>
      </c>
      <c r="J135" s="24">
        <v>0.0</v>
      </c>
      <c r="K135" s="23" t="s">
        <v>27</v>
      </c>
      <c r="L135" s="25">
        <v>42181.55790509259</v>
      </c>
      <c r="M135" s="28"/>
      <c r="N135" s="28"/>
      <c r="O135" s="22" t="str">
        <f>HYPERLINK("https://pbs.twimg.com/profile_images/765266327804190720/3kytWWcC_normal.jpg","View")</f>
        <v>View</v>
      </c>
      <c r="P135" s="27"/>
    </row>
    <row r="136">
      <c r="A136" s="19">
        <v>42702.0027662037</v>
      </c>
      <c r="B136" s="20" t="str">
        <f>HYPERLINK("https://twitter.com/EmocionesCan","@EmocionesCan")</f>
        <v>@EmocionesCan</v>
      </c>
      <c r="C136" s="21" t="s">
        <v>39</v>
      </c>
      <c r="D136" s="21" t="s">
        <v>389</v>
      </c>
      <c r="E136" s="22" t="str">
        <f>HYPERLINK("https://twitter.com/EmocionesCan/status/803026614942568448","803026614942568448")</f>
        <v>803026614942568448</v>
      </c>
      <c r="F136" s="23" t="s">
        <v>41</v>
      </c>
      <c r="G136" s="24">
        <v>61321.0</v>
      </c>
      <c r="H136" s="24">
        <v>3424.0</v>
      </c>
      <c r="I136" s="24">
        <v>2.0</v>
      </c>
      <c r="J136" s="24">
        <v>0.0</v>
      </c>
      <c r="K136" s="23" t="s">
        <v>27</v>
      </c>
      <c r="L136" s="25">
        <v>40776.91810185185</v>
      </c>
      <c r="M136" s="26" t="s">
        <v>42</v>
      </c>
      <c r="N136" s="26" t="s">
        <v>43</v>
      </c>
      <c r="O136" s="22" t="str">
        <f>HYPERLINK("https://pbs.twimg.com/profile_images/1508754713/Logos_Perfiles_EECC_-_Sin_borde_y_sin_texto_normal.jpg","View")</f>
        <v>View</v>
      </c>
      <c r="P136" s="27"/>
    </row>
    <row r="137">
      <c r="A137" s="19">
        <v>42702.00361111111</v>
      </c>
      <c r="B137" s="20" t="str">
        <f>HYPERLINK("https://twitter.com/swisshop4uEs","@swisshop4uEs")</f>
        <v>@swisshop4uEs</v>
      </c>
      <c r="C137" s="21" t="s">
        <v>48</v>
      </c>
      <c r="D137" s="21" t="s">
        <v>390</v>
      </c>
      <c r="E137" s="22" t="str">
        <f>HYPERLINK("https://twitter.com/swisshop4uEs/status/803026922494103556","803026922494103556")</f>
        <v>803026922494103556</v>
      </c>
      <c r="F137" s="23" t="s">
        <v>50</v>
      </c>
      <c r="G137" s="24">
        <v>455.0</v>
      </c>
      <c r="H137" s="24">
        <v>424.0</v>
      </c>
      <c r="I137" s="24">
        <v>0.0</v>
      </c>
      <c r="J137" s="24">
        <v>0.0</v>
      </c>
      <c r="K137" s="23" t="s">
        <v>27</v>
      </c>
      <c r="L137" s="25">
        <v>41468.93072916666</v>
      </c>
      <c r="M137" s="26" t="s">
        <v>51</v>
      </c>
      <c r="N137" s="26" t="s">
        <v>52</v>
      </c>
      <c r="O137" s="22" t="str">
        <f>HYPERLINK("https://pbs.twimg.com/profile_images/378800000213382003/4f562b59f92995b884d2d440f71fc5ce_normal.png","View")</f>
        <v>View</v>
      </c>
      <c r="P137" s="27"/>
    </row>
    <row r="138">
      <c r="A138" s="19">
        <v>42702.01909722222</v>
      </c>
      <c r="B138" s="20" t="str">
        <f>HYPERLINK("https://twitter.com/joseman52","@joseman52")</f>
        <v>@joseman52</v>
      </c>
      <c r="C138" s="21" t="s">
        <v>391</v>
      </c>
      <c r="D138" s="21" t="s">
        <v>384</v>
      </c>
      <c r="E138" s="22" t="str">
        <f>HYPERLINK("https://twitter.com/joseman52/status/803032534820917248","803032534820917248")</f>
        <v>803032534820917248</v>
      </c>
      <c r="F138" s="23" t="s">
        <v>26</v>
      </c>
      <c r="G138" s="24">
        <v>2036.0</v>
      </c>
      <c r="H138" s="24">
        <v>1947.0</v>
      </c>
      <c r="I138" s="24">
        <v>10.0</v>
      </c>
      <c r="J138" s="24">
        <v>0.0</v>
      </c>
      <c r="K138" s="23" t="s">
        <v>27</v>
      </c>
      <c r="L138" s="25">
        <v>41066.03964120371</v>
      </c>
      <c r="M138" s="26" t="s">
        <v>332</v>
      </c>
      <c r="N138" s="26" t="s">
        <v>392</v>
      </c>
      <c r="O138" s="22" t="str">
        <f>HYPERLINK("https://pbs.twimg.com/profile_images/3198137873/a6a62ca591734d8cf8d4a40ef5a4507b_normal.jpeg","View")</f>
        <v>View</v>
      </c>
      <c r="P138" s="27"/>
    </row>
    <row r="139">
      <c r="A139" s="19">
        <v>42702.03376157407</v>
      </c>
      <c r="B139" s="20" t="str">
        <f>HYPERLINK("https://twitter.com/holyber","@holyber")</f>
        <v>@holyber</v>
      </c>
      <c r="C139" s="21" t="s">
        <v>45</v>
      </c>
      <c r="D139" s="21" t="s">
        <v>384</v>
      </c>
      <c r="E139" s="22" t="str">
        <f>HYPERLINK("https://twitter.com/holyber/status/803037849243119616","803037849243119616")</f>
        <v>803037849243119616</v>
      </c>
      <c r="F139" s="23" t="s">
        <v>37</v>
      </c>
      <c r="G139" s="24">
        <v>106410.0</v>
      </c>
      <c r="H139" s="24">
        <v>94316.0</v>
      </c>
      <c r="I139" s="24">
        <v>10.0</v>
      </c>
      <c r="J139" s="24">
        <v>0.0</v>
      </c>
      <c r="K139" s="23" t="s">
        <v>27</v>
      </c>
      <c r="L139" s="25">
        <v>41144.80637731482</v>
      </c>
      <c r="M139" s="26" t="s">
        <v>46</v>
      </c>
      <c r="N139" s="26" t="s">
        <v>47</v>
      </c>
      <c r="O139" s="22" t="str">
        <f>HYPERLINK("https://pbs.twimg.com/profile_images/475644614448123904/FiCl2pX4_normal.jpeg","View")</f>
        <v>View</v>
      </c>
      <c r="P139" s="27"/>
    </row>
    <row r="140">
      <c r="A140" s="19">
        <v>42702.04173611111</v>
      </c>
      <c r="B140" s="20" t="str">
        <f>HYPERLINK("https://twitter.com/Johnalanpick","@Johnalanpick")</f>
        <v>@Johnalanpick</v>
      </c>
      <c r="C140" s="21" t="s">
        <v>30</v>
      </c>
      <c r="D140" s="21" t="s">
        <v>31</v>
      </c>
      <c r="E140" s="22" t="str">
        <f>HYPERLINK("https://twitter.com/Johnalanpick/status/803040740414631936","803040740414631936")</f>
        <v>803040740414631936</v>
      </c>
      <c r="F140" s="23" t="s">
        <v>32</v>
      </c>
      <c r="G140" s="24">
        <v>1309.0</v>
      </c>
      <c r="H140" s="24">
        <v>1417.0</v>
      </c>
      <c r="I140" s="24">
        <v>0.0</v>
      </c>
      <c r="J140" s="24">
        <v>0.0</v>
      </c>
      <c r="K140" s="23" t="s">
        <v>27</v>
      </c>
      <c r="L140" s="25">
        <v>39949.55190972222</v>
      </c>
      <c r="M140" s="26" t="s">
        <v>33</v>
      </c>
      <c r="N140" s="26" t="s">
        <v>34</v>
      </c>
      <c r="O140" s="22" t="str">
        <f>HYPERLINK("https://pbs.twimg.com/profile_images/721987658449305600/1WmSYuM-_normal.jpg","View")</f>
        <v>View</v>
      </c>
      <c r="P140" s="27"/>
    </row>
    <row r="141">
      <c r="A141" s="19">
        <v>42702.06964120371</v>
      </c>
      <c r="B141" s="20" t="str">
        <f>HYPERLINK("https://twitter.com/sunnawint","@sunnawint")</f>
        <v>@sunnawint</v>
      </c>
      <c r="C141" s="21" t="s">
        <v>393</v>
      </c>
      <c r="D141" s="21" t="s">
        <v>394</v>
      </c>
      <c r="E141" s="22" t="str">
        <f>HYPERLINK("https://twitter.com/sunnawint/status/803050849849245696","803050849849245696")</f>
        <v>803050849849245696</v>
      </c>
      <c r="F141" s="23" t="s">
        <v>41</v>
      </c>
      <c r="G141" s="24">
        <v>206.0</v>
      </c>
      <c r="H141" s="24">
        <v>850.0</v>
      </c>
      <c r="I141" s="24">
        <v>1.0</v>
      </c>
      <c r="J141" s="24">
        <v>0.0</v>
      </c>
      <c r="K141" s="23" t="s">
        <v>27</v>
      </c>
      <c r="L141" s="25">
        <v>42132.47866898148</v>
      </c>
      <c r="M141" s="28"/>
      <c r="N141" s="26" t="s">
        <v>395</v>
      </c>
      <c r="O141" s="22" t="str">
        <f>HYPERLINK("https://pbs.twimg.com/profile_images/771641650003058688/16k3vSNt_normal.jpg","View")</f>
        <v>View</v>
      </c>
      <c r="P141" s="27"/>
    </row>
    <row r="142">
      <c r="A142" s="19">
        <v>42702.093125</v>
      </c>
      <c r="B142" s="20" t="str">
        <f>HYPERLINK("https://twitter.com/IVIagazine","@IVIagazine")</f>
        <v>@IVIagazine</v>
      </c>
      <c r="C142" s="21" t="s">
        <v>396</v>
      </c>
      <c r="D142" s="21" t="s">
        <v>397</v>
      </c>
      <c r="E142" s="22" t="str">
        <f>HYPERLINK("https://twitter.com/IVIagazine/status/803059359777492992","803059359777492992")</f>
        <v>803059359777492992</v>
      </c>
      <c r="F142" s="23" t="s">
        <v>37</v>
      </c>
      <c r="G142" s="24">
        <v>876.0</v>
      </c>
      <c r="H142" s="24">
        <v>750.0</v>
      </c>
      <c r="I142" s="24">
        <v>11.0</v>
      </c>
      <c r="J142" s="24">
        <v>0.0</v>
      </c>
      <c r="K142" s="23" t="s">
        <v>27</v>
      </c>
      <c r="L142" s="25">
        <v>42699.66253472222</v>
      </c>
      <c r="M142" s="26" t="s">
        <v>51</v>
      </c>
      <c r="N142" s="26" t="s">
        <v>398</v>
      </c>
      <c r="O142" s="22" t="str">
        <f>HYPERLINK("https://pbs.twimg.com/profile_images/803050109021863936/f3FOGbN3_normal.jpg","View")</f>
        <v>View</v>
      </c>
      <c r="P142" s="27"/>
    </row>
    <row r="143">
      <c r="A143" s="19">
        <v>42702.09733796296</v>
      </c>
      <c r="B143" s="20" t="str">
        <f>HYPERLINK("https://twitter.com/TripsMax","@TripsMax")</f>
        <v>@TripsMax</v>
      </c>
      <c r="C143" s="21" t="s">
        <v>399</v>
      </c>
      <c r="D143" s="21" t="s">
        <v>400</v>
      </c>
      <c r="E143" s="22" t="str">
        <f>HYPERLINK("https://twitter.com/TripsMax/status/803060886533447680","803060886533447680")</f>
        <v>803060886533447680</v>
      </c>
      <c r="F143" s="23" t="s">
        <v>401</v>
      </c>
      <c r="G143" s="24">
        <v>17039.0</v>
      </c>
      <c r="H143" s="24">
        <v>16.0</v>
      </c>
      <c r="I143" s="24">
        <v>0.0</v>
      </c>
      <c r="J143" s="24">
        <v>0.0</v>
      </c>
      <c r="K143" s="23" t="s">
        <v>27</v>
      </c>
      <c r="L143" s="25">
        <v>42479.21665509259</v>
      </c>
      <c r="M143" s="26" t="s">
        <v>402</v>
      </c>
      <c r="N143" s="26" t="s">
        <v>403</v>
      </c>
      <c r="O143" s="22" t="str">
        <f>HYPERLINK("https://pbs.twimg.com/profile_images/722276690668314624/DVEMR4Mc_normal.jpg","View")</f>
        <v>View</v>
      </c>
      <c r="P143" s="27"/>
    </row>
    <row r="144">
      <c r="A144" s="19">
        <v>42702.103055555555</v>
      </c>
      <c r="B144" s="20" t="str">
        <f>HYPERLINK("https://twitter.com/Oceanpreneur","@Oceanpreneur")</f>
        <v>@Oceanpreneur</v>
      </c>
      <c r="C144" s="21" t="s">
        <v>404</v>
      </c>
      <c r="D144" s="21" t="s">
        <v>405</v>
      </c>
      <c r="E144" s="22" t="str">
        <f>HYPERLINK("https://twitter.com/Oceanpreneur/status/803062959241129985","803062959241129985")</f>
        <v>803062959241129985</v>
      </c>
      <c r="F144" s="23" t="s">
        <v>406</v>
      </c>
      <c r="G144" s="24">
        <v>1991.0</v>
      </c>
      <c r="H144" s="24">
        <v>2511.0</v>
      </c>
      <c r="I144" s="24">
        <v>0.0</v>
      </c>
      <c r="J144" s="24">
        <v>0.0</v>
      </c>
      <c r="K144" s="23" t="s">
        <v>27</v>
      </c>
      <c r="L144" s="25">
        <v>40547.43133101852</v>
      </c>
      <c r="M144" s="26" t="s">
        <v>407</v>
      </c>
      <c r="N144" s="26" t="s">
        <v>408</v>
      </c>
      <c r="O144" s="22" t="str">
        <f>HYPERLINK("https://pbs.twimg.com/profile_images/725068129924091904/I0y0LS4c_normal.jpg","View")</f>
        <v>View</v>
      </c>
      <c r="P144" s="27"/>
    </row>
    <row r="145">
      <c r="A145" s="19">
        <v>42702.135671296295</v>
      </c>
      <c r="B145" s="20" t="str">
        <f t="shared" ref="B145:B147" si="18">HYPERLINK("https://twitter.com/cokeaddict","@cokeaddict")</f>
        <v>@cokeaddict</v>
      </c>
      <c r="C145" s="21" t="s">
        <v>409</v>
      </c>
      <c r="D145" s="21" t="s">
        <v>410</v>
      </c>
      <c r="E145" s="22" t="str">
        <f>HYPERLINK("https://twitter.com/cokeaddict/status/803074780505194496","803074780505194496")</f>
        <v>803074780505194496</v>
      </c>
      <c r="F145" s="23" t="s">
        <v>64</v>
      </c>
      <c r="G145" s="24">
        <v>1152.0</v>
      </c>
      <c r="H145" s="24">
        <v>639.0</v>
      </c>
      <c r="I145" s="24">
        <v>0.0</v>
      </c>
      <c r="J145" s="24">
        <v>0.0</v>
      </c>
      <c r="K145" s="23" t="s">
        <v>27</v>
      </c>
      <c r="L145" s="25">
        <v>39673.07373842593</v>
      </c>
      <c r="M145" s="26" t="s">
        <v>411</v>
      </c>
      <c r="N145" s="26" t="s">
        <v>412</v>
      </c>
      <c r="O145" s="22" t="str">
        <f t="shared" ref="O145:O147" si="19">HYPERLINK("https://pbs.twimg.com/profile_images/733369791248007169/EnfXk5ci_normal.jpg","View")</f>
        <v>View</v>
      </c>
      <c r="P145" s="27"/>
    </row>
    <row r="146">
      <c r="A146" s="19">
        <v>42702.13658564815</v>
      </c>
      <c r="B146" s="20" t="str">
        <f t="shared" si="18"/>
        <v>@cokeaddict</v>
      </c>
      <c r="C146" s="21" t="s">
        <v>409</v>
      </c>
      <c r="D146" s="21" t="s">
        <v>413</v>
      </c>
      <c r="E146" s="22" t="str">
        <f>HYPERLINK("https://twitter.com/cokeaddict/status/803075111284854788","803075111284854788")</f>
        <v>803075111284854788</v>
      </c>
      <c r="F146" s="23" t="s">
        <v>64</v>
      </c>
      <c r="G146" s="24">
        <v>1152.0</v>
      </c>
      <c r="H146" s="24">
        <v>639.0</v>
      </c>
      <c r="I146" s="24">
        <v>0.0</v>
      </c>
      <c r="J146" s="24">
        <v>0.0</v>
      </c>
      <c r="K146" s="23" t="s">
        <v>27</v>
      </c>
      <c r="L146" s="25">
        <v>39673.07373842593</v>
      </c>
      <c r="M146" s="26" t="s">
        <v>411</v>
      </c>
      <c r="N146" s="26" t="s">
        <v>412</v>
      </c>
      <c r="O146" s="22" t="str">
        <f t="shared" si="19"/>
        <v>View</v>
      </c>
      <c r="P146" s="27"/>
    </row>
    <row r="147">
      <c r="A147" s="19">
        <v>42702.13753472222</v>
      </c>
      <c r="B147" s="20" t="str">
        <f t="shared" si="18"/>
        <v>@cokeaddict</v>
      </c>
      <c r="C147" s="21" t="s">
        <v>409</v>
      </c>
      <c r="D147" s="21" t="s">
        <v>414</v>
      </c>
      <c r="E147" s="22" t="str">
        <f>HYPERLINK("https://twitter.com/cokeaddict/status/803075454257217536","803075454257217536")</f>
        <v>803075454257217536</v>
      </c>
      <c r="F147" s="23" t="s">
        <v>64</v>
      </c>
      <c r="G147" s="24">
        <v>1152.0</v>
      </c>
      <c r="H147" s="24">
        <v>639.0</v>
      </c>
      <c r="I147" s="24">
        <v>0.0</v>
      </c>
      <c r="J147" s="24">
        <v>0.0</v>
      </c>
      <c r="K147" s="23" t="s">
        <v>27</v>
      </c>
      <c r="L147" s="25">
        <v>39673.07373842593</v>
      </c>
      <c r="M147" s="26" t="s">
        <v>411</v>
      </c>
      <c r="N147" s="26" t="s">
        <v>412</v>
      </c>
      <c r="O147" s="22" t="str">
        <f t="shared" si="19"/>
        <v>View</v>
      </c>
      <c r="P147" s="27"/>
    </row>
    <row r="148">
      <c r="A148" s="19">
        <v>42702.169016203705</v>
      </c>
      <c r="B148" s="20" t="str">
        <f>HYPERLINK("https://twitter.com/SandraDanby","@SandraDanby")</f>
        <v>@SandraDanby</v>
      </c>
      <c r="C148" s="21" t="s">
        <v>415</v>
      </c>
      <c r="D148" s="21" t="s">
        <v>416</v>
      </c>
      <c r="E148" s="22" t="str">
        <f>HYPERLINK("https://twitter.com/SandraDanby/status/803086862806118400","803086862806118400")</f>
        <v>803086862806118400</v>
      </c>
      <c r="F148" s="23" t="s">
        <v>77</v>
      </c>
      <c r="G148" s="24">
        <v>864.0</v>
      </c>
      <c r="H148" s="24">
        <v>414.0</v>
      </c>
      <c r="I148" s="24">
        <v>1.0</v>
      </c>
      <c r="J148" s="24">
        <v>4.0</v>
      </c>
      <c r="K148" s="23" t="s">
        <v>27</v>
      </c>
      <c r="L148" s="25">
        <v>41698.47079861111</v>
      </c>
      <c r="M148" s="26" t="s">
        <v>353</v>
      </c>
      <c r="N148" s="26" t="s">
        <v>417</v>
      </c>
      <c r="O148" s="22" t="str">
        <f>HYPERLINK("https://pbs.twimg.com/profile_images/664118244702310400/CgCkt2Uu_normal.jpg","View")</f>
        <v>View</v>
      </c>
      <c r="P148" s="27"/>
    </row>
    <row r="149">
      <c r="A149" s="19">
        <v>42702.19253472222</v>
      </c>
      <c r="B149" s="20" t="str">
        <f>HYPERLINK("https://twitter.com/cokeaddict","@cokeaddict")</f>
        <v>@cokeaddict</v>
      </c>
      <c r="C149" s="21" t="s">
        <v>409</v>
      </c>
      <c r="D149" s="21" t="s">
        <v>418</v>
      </c>
      <c r="E149" s="22" t="str">
        <f>HYPERLINK("https://twitter.com/cokeaddict/status/803095384440483840","803095384440483840")</f>
        <v>803095384440483840</v>
      </c>
      <c r="F149" s="23" t="s">
        <v>64</v>
      </c>
      <c r="G149" s="24">
        <v>1152.0</v>
      </c>
      <c r="H149" s="24">
        <v>639.0</v>
      </c>
      <c r="I149" s="24">
        <v>0.0</v>
      </c>
      <c r="J149" s="24">
        <v>2.0</v>
      </c>
      <c r="K149" s="23" t="s">
        <v>27</v>
      </c>
      <c r="L149" s="25">
        <v>39673.07373842593</v>
      </c>
      <c r="M149" s="26" t="s">
        <v>411</v>
      </c>
      <c r="N149" s="26" t="s">
        <v>412</v>
      </c>
      <c r="O149" s="22" t="str">
        <f>HYPERLINK("https://pbs.twimg.com/profile_images/733369791248007169/EnfXk5ci_normal.jpg","View")</f>
        <v>View</v>
      </c>
      <c r="P149" s="27"/>
    </row>
    <row r="150">
      <c r="A150" s="19">
        <v>42702.25723379629</v>
      </c>
      <c r="B150" s="20" t="str">
        <f>HYPERLINK("https://twitter.com/worldwanderista","@worldwanderista")</f>
        <v>@worldwanderista</v>
      </c>
      <c r="C150" s="21" t="s">
        <v>419</v>
      </c>
      <c r="D150" s="21" t="s">
        <v>420</v>
      </c>
      <c r="E150" s="22" t="str">
        <f>HYPERLINK("https://twitter.com/worldwanderista/status/803118832164356096","803118832164356096")</f>
        <v>803118832164356096</v>
      </c>
      <c r="F150" s="23" t="s">
        <v>81</v>
      </c>
      <c r="G150" s="24">
        <v>127.0</v>
      </c>
      <c r="H150" s="24">
        <v>71.0</v>
      </c>
      <c r="I150" s="24">
        <v>0.0</v>
      </c>
      <c r="J150" s="24">
        <v>0.0</v>
      </c>
      <c r="K150" s="23" t="s">
        <v>27</v>
      </c>
      <c r="L150" s="25">
        <v>40780.244618055556</v>
      </c>
      <c r="M150" s="26" t="s">
        <v>421</v>
      </c>
      <c r="N150" s="26" t="s">
        <v>422</v>
      </c>
      <c r="O150" s="22" t="str">
        <f>HYPERLINK("https://pbs.twimg.com/profile_images/613078542872481792/WyiGAf0y_normal.jpg","View")</f>
        <v>View</v>
      </c>
      <c r="P150" s="27" t="str">
        <f>HYPERLINK("https://ctrlq.org/maps/address/#27.81533583,-15.75253007","Map")</f>
        <v>#ERROR!</v>
      </c>
    </row>
    <row r="151">
      <c r="A151" s="19">
        <v>42702.276446759264</v>
      </c>
      <c r="B151" s="20" t="str">
        <f t="shared" ref="B151:B152" si="20">HYPERLINK("https://twitter.com/JAGreenhill","@JAGreenhill")</f>
        <v>@JAGreenhill</v>
      </c>
      <c r="C151" s="21" t="s">
        <v>423</v>
      </c>
      <c r="D151" s="21" t="s">
        <v>424</v>
      </c>
      <c r="E151" s="22" t="str">
        <f>HYPERLINK("https://twitter.com/JAGreenhill/status/803125795828875264","803125795828875264")</f>
        <v>803125795828875264</v>
      </c>
      <c r="F151" s="23" t="s">
        <v>69</v>
      </c>
      <c r="G151" s="24">
        <v>57.0</v>
      </c>
      <c r="H151" s="24">
        <v>66.0</v>
      </c>
      <c r="I151" s="24">
        <v>0.0</v>
      </c>
      <c r="J151" s="24">
        <v>1.0</v>
      </c>
      <c r="K151" s="23" t="s">
        <v>27</v>
      </c>
      <c r="L151" s="25">
        <v>39966.43601851852</v>
      </c>
      <c r="M151" s="26" t="s">
        <v>425</v>
      </c>
      <c r="N151" s="26" t="s">
        <v>426</v>
      </c>
      <c r="O151" s="22" t="str">
        <f t="shared" ref="O151:O152" si="21">HYPERLINK("https://pbs.twimg.com/profile_images/805052311466897409/zHKEhdG9_normal.jpg","View")</f>
        <v>View</v>
      </c>
      <c r="P151" s="27"/>
    </row>
    <row r="152">
      <c r="A152" s="19">
        <v>42702.27738425926</v>
      </c>
      <c r="B152" s="20" t="str">
        <f t="shared" si="20"/>
        <v>@JAGreenhill</v>
      </c>
      <c r="C152" s="21" t="s">
        <v>423</v>
      </c>
      <c r="D152" s="21" t="s">
        <v>427</v>
      </c>
      <c r="E152" s="22" t="str">
        <f>HYPERLINK("https://twitter.com/JAGreenhill/status/803126135630548992","803126135630548992")</f>
        <v>803126135630548992</v>
      </c>
      <c r="F152" s="23" t="s">
        <v>69</v>
      </c>
      <c r="G152" s="24">
        <v>57.0</v>
      </c>
      <c r="H152" s="24">
        <v>66.0</v>
      </c>
      <c r="I152" s="24">
        <v>0.0</v>
      </c>
      <c r="J152" s="24">
        <v>1.0</v>
      </c>
      <c r="K152" s="23" t="s">
        <v>27</v>
      </c>
      <c r="L152" s="25">
        <v>39966.43601851852</v>
      </c>
      <c r="M152" s="26" t="s">
        <v>425</v>
      </c>
      <c r="N152" s="26" t="s">
        <v>426</v>
      </c>
      <c r="O152" s="22" t="str">
        <f t="shared" si="21"/>
        <v>View</v>
      </c>
      <c r="P152" s="27"/>
    </row>
    <row r="153">
      <c r="A153" s="19">
        <v>42702.30715277778</v>
      </c>
      <c r="B153" s="20" t="str">
        <f>HYPERLINK("https://twitter.com/fotostoff","@fotostoff")</f>
        <v>@fotostoff</v>
      </c>
      <c r="C153" s="21" t="s">
        <v>428</v>
      </c>
      <c r="D153" s="21" t="s">
        <v>429</v>
      </c>
      <c r="E153" s="22" t="str">
        <f>HYPERLINK("https://twitter.com/fotostoff/status/803136923141373952","803136923141373952")</f>
        <v>803136923141373952</v>
      </c>
      <c r="F153" s="23" t="s">
        <v>41</v>
      </c>
      <c r="G153" s="24">
        <v>438.0</v>
      </c>
      <c r="H153" s="24">
        <v>546.0</v>
      </c>
      <c r="I153" s="24">
        <v>0.0</v>
      </c>
      <c r="J153" s="24">
        <v>7.0</v>
      </c>
      <c r="K153" s="23" t="s">
        <v>27</v>
      </c>
      <c r="L153" s="25">
        <v>40566.80043981482</v>
      </c>
      <c r="M153" s="26" t="s">
        <v>430</v>
      </c>
      <c r="N153" s="26" t="s">
        <v>431</v>
      </c>
      <c r="O153" s="22" t="str">
        <f>HYPERLINK("https://pbs.twimg.com/profile_images/3727261726/1843799b46a5fa62ad6b30af95da897b_normal.jpeg","View")</f>
        <v>View</v>
      </c>
      <c r="P153" s="27"/>
    </row>
    <row r="154">
      <c r="A154" s="19">
        <v>42702.31626157407</v>
      </c>
      <c r="B154" s="20" t="str">
        <f>HYPERLINK("https://twitter.com/paisajecanario","@paisajecanario")</f>
        <v>@paisajecanario</v>
      </c>
      <c r="C154" s="21" t="s">
        <v>70</v>
      </c>
      <c r="D154" s="21" t="s">
        <v>384</v>
      </c>
      <c r="E154" s="22" t="str">
        <f>HYPERLINK("https://twitter.com/paisajecanario/status/803140221533646848","803140221533646848")</f>
        <v>803140221533646848</v>
      </c>
      <c r="F154" s="23" t="s">
        <v>26</v>
      </c>
      <c r="G154" s="24">
        <v>13324.0</v>
      </c>
      <c r="H154" s="24">
        <v>434.0</v>
      </c>
      <c r="I154" s="24">
        <v>10.0</v>
      </c>
      <c r="J154" s="24">
        <v>0.0</v>
      </c>
      <c r="K154" s="23" t="s">
        <v>27</v>
      </c>
      <c r="L154" s="25">
        <v>41815.714641203704</v>
      </c>
      <c r="M154" s="26" t="s">
        <v>71</v>
      </c>
      <c r="N154" s="26" t="s">
        <v>72</v>
      </c>
      <c r="O154" s="22" t="str">
        <f>HYPERLINK("https://pbs.twimg.com/profile_images/789364630850240512/Mw90qAlM_normal.jpg","View")</f>
        <v>View</v>
      </c>
      <c r="P154" s="27"/>
    </row>
    <row r="155">
      <c r="A155" s="19">
        <v>42702.32298611111</v>
      </c>
      <c r="B155" s="20" t="str">
        <f>HYPERLINK("https://twitter.com/owl_girl","@owl_girl")</f>
        <v>@owl_girl</v>
      </c>
      <c r="C155" s="21" t="s">
        <v>432</v>
      </c>
      <c r="D155" s="21" t="s">
        <v>433</v>
      </c>
      <c r="E155" s="22" t="str">
        <f>HYPERLINK("https://twitter.com/owl_girl/status/803142662123491328","803142662123491328")</f>
        <v>803142662123491328</v>
      </c>
      <c r="F155" s="23" t="s">
        <v>41</v>
      </c>
      <c r="G155" s="24">
        <v>9.0</v>
      </c>
      <c r="H155" s="24">
        <v>119.0</v>
      </c>
      <c r="I155" s="24">
        <v>7.0</v>
      </c>
      <c r="J155" s="24">
        <v>0.0</v>
      </c>
      <c r="K155" s="23" t="s">
        <v>27</v>
      </c>
      <c r="L155" s="25">
        <v>40416.97460648148</v>
      </c>
      <c r="M155" s="28"/>
      <c r="N155" s="28"/>
      <c r="O155" s="22" t="str">
        <f>HYPERLINK("https://pbs.twimg.com/profile_images/804106127843753985/GH3JeqWf_normal.jpg","View")</f>
        <v>View</v>
      </c>
      <c r="P155" s="27"/>
    </row>
    <row r="156">
      <c r="A156" s="19">
        <v>42702.32346064815</v>
      </c>
      <c r="B156" s="20" t="str">
        <f>HYPERLINK("https://twitter.com/travelsupport7","@travelsupport7")</f>
        <v>@travelsupport7</v>
      </c>
      <c r="C156" s="21" t="s">
        <v>357</v>
      </c>
      <c r="D156" s="21" t="s">
        <v>434</v>
      </c>
      <c r="E156" s="22" t="str">
        <f>HYPERLINK("https://twitter.com/travelsupport7/status/803142831015530496","803142831015530496")</f>
        <v>803142831015530496</v>
      </c>
      <c r="F156" s="23" t="s">
        <v>26</v>
      </c>
      <c r="G156" s="24">
        <v>423.0</v>
      </c>
      <c r="H156" s="24">
        <v>355.0</v>
      </c>
      <c r="I156" s="24">
        <v>1.0</v>
      </c>
      <c r="J156" s="24">
        <v>0.0</v>
      </c>
      <c r="K156" s="23" t="s">
        <v>27</v>
      </c>
      <c r="L156" s="25">
        <v>42155.61892361111</v>
      </c>
      <c r="M156" s="26" t="s">
        <v>359</v>
      </c>
      <c r="N156" s="26" t="s">
        <v>360</v>
      </c>
      <c r="O156" s="22" t="str">
        <f>HYPERLINK("https://pbs.twimg.com/profile_images/739756655391481857/1iOj5jcg_normal.jpg","View")</f>
        <v>View</v>
      </c>
      <c r="P156" s="27"/>
    </row>
    <row r="157">
      <c r="A157" s="19">
        <v>42702.32917824074</v>
      </c>
      <c r="B157" s="20" t="str">
        <f>HYPERLINK("https://twitter.com/DorisShades","@DorisShades")</f>
        <v>@DorisShades</v>
      </c>
      <c r="C157" s="21" t="s">
        <v>121</v>
      </c>
      <c r="D157" s="21" t="s">
        <v>435</v>
      </c>
      <c r="E157" s="22" t="str">
        <f>HYPERLINK("https://twitter.com/DorisShades/status/803144903328792576","803144903328792576")</f>
        <v>803144903328792576</v>
      </c>
      <c r="F157" s="23" t="s">
        <v>77</v>
      </c>
      <c r="G157" s="24">
        <v>3693.0</v>
      </c>
      <c r="H157" s="24">
        <v>4432.0</v>
      </c>
      <c r="I157" s="24">
        <v>0.0</v>
      </c>
      <c r="J157" s="24">
        <v>0.0</v>
      </c>
      <c r="K157" s="23" t="s">
        <v>27</v>
      </c>
      <c r="L157" s="25">
        <v>42095.182499999995</v>
      </c>
      <c r="M157" s="26" t="s">
        <v>123</v>
      </c>
      <c r="N157" s="26" t="s">
        <v>124</v>
      </c>
      <c r="O157" s="22" t="str">
        <f>HYPERLINK("https://pbs.twimg.com/profile_images/777456052094791681/oTN7NDTr_normal.jpg","View")</f>
        <v>View</v>
      </c>
      <c r="P157" s="27"/>
    </row>
    <row r="158">
      <c r="A158" s="19">
        <v>42702.329201388886</v>
      </c>
      <c r="B158" s="20" t="str">
        <f>HYPERLINK("https://twitter.com/Doris_Blog","@Doris_Blog")</f>
        <v>@Doris_Blog</v>
      </c>
      <c r="C158" s="21" t="s">
        <v>125</v>
      </c>
      <c r="D158" s="21" t="s">
        <v>436</v>
      </c>
      <c r="E158" s="22" t="str">
        <f>HYPERLINK("https://twitter.com/Doris_Blog/status/803144910551609344","803144910551609344")</f>
        <v>803144910551609344</v>
      </c>
      <c r="F158" s="23" t="s">
        <v>77</v>
      </c>
      <c r="G158" s="24">
        <v>2333.0</v>
      </c>
      <c r="H158" s="24">
        <v>3655.0</v>
      </c>
      <c r="I158" s="24">
        <v>0.0</v>
      </c>
      <c r="J158" s="24">
        <v>1.0</v>
      </c>
      <c r="K158" s="23" t="s">
        <v>27</v>
      </c>
      <c r="L158" s="25">
        <v>42095.21026620371</v>
      </c>
      <c r="M158" s="26" t="s">
        <v>119</v>
      </c>
      <c r="N158" s="26" t="s">
        <v>127</v>
      </c>
      <c r="O158" s="22" t="str">
        <f>HYPERLINK("https://pbs.twimg.com/profile_images/769621211911450624/O-JLlK5O_normal.jpg","View")</f>
        <v>View</v>
      </c>
      <c r="P158" s="27"/>
    </row>
    <row r="159">
      <c r="A159" s="19">
        <v>42702.32922453704</v>
      </c>
      <c r="B159" s="20" t="str">
        <f>HYPERLINK("https://twitter.com/DorisVisitsUK","@DorisVisitsUK")</f>
        <v>@DorisVisitsUK</v>
      </c>
      <c r="C159" s="21" t="s">
        <v>437</v>
      </c>
      <c r="D159" s="21" t="s">
        <v>438</v>
      </c>
      <c r="E159" s="22" t="str">
        <f>HYPERLINK("https://twitter.com/DorisVisitsUK/status/803144919233757184","803144919233757184")</f>
        <v>803144919233757184</v>
      </c>
      <c r="F159" s="23" t="s">
        <v>77</v>
      </c>
      <c r="G159" s="24">
        <v>2647.0</v>
      </c>
      <c r="H159" s="24">
        <v>3792.0</v>
      </c>
      <c r="I159" s="24">
        <v>0.0</v>
      </c>
      <c r="J159" s="24">
        <v>0.0</v>
      </c>
      <c r="K159" s="23" t="s">
        <v>27</v>
      </c>
      <c r="L159" s="25">
        <v>42095.200590277775</v>
      </c>
      <c r="M159" s="26" t="s">
        <v>119</v>
      </c>
      <c r="N159" s="26" t="s">
        <v>439</v>
      </c>
      <c r="O159" s="22" t="str">
        <f>HYPERLINK("https://pbs.twimg.com/profile_images/777545822254825472/0-x9uu3s_normal.jpg","View")</f>
        <v>View</v>
      </c>
      <c r="P159" s="27"/>
    </row>
    <row r="160">
      <c r="A160" s="19">
        <v>42702.329247685186</v>
      </c>
      <c r="B160" s="20" t="str">
        <f>HYPERLINK("https://twitter.com/ComposerShades","@ComposerShades")</f>
        <v>@ComposerShades</v>
      </c>
      <c r="C160" s="21" t="s">
        <v>128</v>
      </c>
      <c r="D160" s="21" t="s">
        <v>440</v>
      </c>
      <c r="E160" s="22" t="str">
        <f>HYPERLINK("https://twitter.com/ComposerShades/status/803144927521755137","803144927521755137")</f>
        <v>803144927521755137</v>
      </c>
      <c r="F160" s="23" t="s">
        <v>77</v>
      </c>
      <c r="G160" s="24">
        <v>1827.0</v>
      </c>
      <c r="H160" s="24">
        <v>3691.0</v>
      </c>
      <c r="I160" s="24">
        <v>0.0</v>
      </c>
      <c r="J160" s="24">
        <v>0.0</v>
      </c>
      <c r="K160" s="23" t="s">
        <v>27</v>
      </c>
      <c r="L160" s="25">
        <v>42209.46724537037</v>
      </c>
      <c r="M160" s="26" t="s">
        <v>130</v>
      </c>
      <c r="N160" s="26" t="s">
        <v>131</v>
      </c>
      <c r="O160" s="22" t="str">
        <f>HYPERLINK("https://pbs.twimg.com/profile_images/783382917640781824/AqM_zAOY_normal.jpg","View")</f>
        <v>View</v>
      </c>
      <c r="P160" s="27"/>
    </row>
    <row r="161">
      <c r="A161" s="19">
        <v>42702.32925925926</v>
      </c>
      <c r="B161" s="20" t="str">
        <f>HYPERLINK("https://twitter.com/GuestActorShade","@GuestActorShade")</f>
        <v>@GuestActorShade</v>
      </c>
      <c r="C161" s="21" t="s">
        <v>441</v>
      </c>
      <c r="D161" s="21" t="s">
        <v>442</v>
      </c>
      <c r="E161" s="22" t="str">
        <f>HYPERLINK("https://twitter.com/GuestActorShade/status/803144933003657216","803144933003657216")</f>
        <v>803144933003657216</v>
      </c>
      <c r="F161" s="23" t="s">
        <v>77</v>
      </c>
      <c r="G161" s="24">
        <v>739.0</v>
      </c>
      <c r="H161" s="24">
        <v>2374.0</v>
      </c>
      <c r="I161" s="24">
        <v>0.0</v>
      </c>
      <c r="J161" s="24">
        <v>0.0</v>
      </c>
      <c r="K161" s="23" t="s">
        <v>27</v>
      </c>
      <c r="L161" s="25">
        <v>42215.31605324074</v>
      </c>
      <c r="M161" s="26" t="s">
        <v>130</v>
      </c>
      <c r="N161" s="26" t="s">
        <v>443</v>
      </c>
      <c r="O161" s="22" t="str">
        <f>HYPERLINK("https://pbs.twimg.com/profile_images/777552444800765952/Vo7e7swC_normal.jpg","View")</f>
        <v>View</v>
      </c>
      <c r="P161" s="27"/>
    </row>
    <row r="162">
      <c r="A162" s="19">
        <v>42702.32927083333</v>
      </c>
      <c r="B162" s="20" t="str">
        <f>HYPERLINK("https://twitter.com/ShadesDirector","@ShadesDirector")</f>
        <v>@ShadesDirector</v>
      </c>
      <c r="C162" s="21" t="s">
        <v>444</v>
      </c>
      <c r="D162" s="21" t="s">
        <v>445</v>
      </c>
      <c r="E162" s="22" t="str">
        <f>HYPERLINK("https://twitter.com/ShadesDirector/status/803144939269918720","803144939269918720")</f>
        <v>803144939269918720</v>
      </c>
      <c r="F162" s="23" t="s">
        <v>77</v>
      </c>
      <c r="G162" s="24">
        <v>2731.0</v>
      </c>
      <c r="H162" s="24">
        <v>3129.0</v>
      </c>
      <c r="I162" s="24">
        <v>0.0</v>
      </c>
      <c r="J162" s="24">
        <v>0.0</v>
      </c>
      <c r="K162" s="23" t="s">
        <v>27</v>
      </c>
      <c r="L162" s="25">
        <v>42231.6780787037</v>
      </c>
      <c r="M162" s="28"/>
      <c r="N162" s="26" t="s">
        <v>446</v>
      </c>
      <c r="O162" s="22" t="str">
        <f>HYPERLINK("https://pbs.twimg.com/profile_images/769622463344959489/FhJxVtM2_normal.jpg","View")</f>
        <v>View</v>
      </c>
      <c r="P162" s="27"/>
    </row>
    <row r="163">
      <c r="A163" s="19">
        <v>42702.329293981486</v>
      </c>
      <c r="B163" s="20" t="str">
        <f>HYPERLINK("https://twitter.com/DorisVisits","@DorisVisits")</f>
        <v>@DorisVisits</v>
      </c>
      <c r="C163" s="21" t="s">
        <v>132</v>
      </c>
      <c r="D163" s="21" t="s">
        <v>447</v>
      </c>
      <c r="E163" s="22" t="str">
        <f>HYPERLINK("https://twitter.com/DorisVisits/status/803144945267675136","803144945267675136")</f>
        <v>803144945267675136</v>
      </c>
      <c r="F163" s="23" t="s">
        <v>77</v>
      </c>
      <c r="G163" s="24">
        <v>3046.0</v>
      </c>
      <c r="H163" s="24">
        <v>4501.0</v>
      </c>
      <c r="I163" s="24">
        <v>0.0</v>
      </c>
      <c r="J163" s="24">
        <v>3.0</v>
      </c>
      <c r="K163" s="23" t="s">
        <v>27</v>
      </c>
      <c r="L163" s="25">
        <v>42330.5372337963</v>
      </c>
      <c r="M163" s="26" t="s">
        <v>134</v>
      </c>
      <c r="N163" s="26" t="s">
        <v>135</v>
      </c>
      <c r="O163" s="22" t="str">
        <f>HYPERLINK("https://pbs.twimg.com/profile_images/668416648211222529/-2knYf0__normal.jpg","View")</f>
        <v>View</v>
      </c>
      <c r="P163" s="27"/>
    </row>
    <row r="164">
      <c r="A164" s="19">
        <v>42702.35417824074</v>
      </c>
      <c r="B164" s="20" t="str">
        <f>HYPERLINK("https://twitter.com/SuneHolidays","@SuneHolidays")</f>
        <v>@SuneHolidays</v>
      </c>
      <c r="C164" s="21" t="s">
        <v>62</v>
      </c>
      <c r="D164" s="21" t="s">
        <v>448</v>
      </c>
      <c r="E164" s="22" t="str">
        <f>HYPERLINK("https://twitter.com/SuneHolidays/status/803153964455735297","803153964455735297")</f>
        <v>803153964455735297</v>
      </c>
      <c r="F164" s="23" t="s">
        <v>64</v>
      </c>
      <c r="G164" s="24">
        <v>396.0</v>
      </c>
      <c r="H164" s="24">
        <v>990.0</v>
      </c>
      <c r="I164" s="24">
        <v>1.0</v>
      </c>
      <c r="J164" s="24">
        <v>2.0</v>
      </c>
      <c r="K164" s="23" t="s">
        <v>27</v>
      </c>
      <c r="L164" s="25">
        <v>40929.92998842592</v>
      </c>
      <c r="M164" s="26" t="s">
        <v>65</v>
      </c>
      <c r="N164" s="26" t="s">
        <v>66</v>
      </c>
      <c r="O164" s="22" t="str">
        <f>HYPERLINK("https://pbs.twimg.com/profile_images/686922727480029184/9ztyb32p_normal.jpg","View")</f>
        <v>View</v>
      </c>
      <c r="P164" s="27"/>
    </row>
    <row r="165">
      <c r="A165" s="19">
        <v>42702.35443287037</v>
      </c>
      <c r="B165" s="20" t="str">
        <f>HYPERLINK("https://twitter.com/Wekitempel","@Wekitempel")</f>
        <v>@Wekitempel</v>
      </c>
      <c r="C165" s="21" t="s">
        <v>449</v>
      </c>
      <c r="D165" s="21" t="s">
        <v>389</v>
      </c>
      <c r="E165" s="22" t="str">
        <f>HYPERLINK("https://twitter.com/Wekitempel/status/803154055321292801","803154055321292801")</f>
        <v>803154055321292801</v>
      </c>
      <c r="F165" s="23" t="s">
        <v>37</v>
      </c>
      <c r="G165" s="24">
        <v>43.0</v>
      </c>
      <c r="H165" s="24">
        <v>51.0</v>
      </c>
      <c r="I165" s="24">
        <v>2.0</v>
      </c>
      <c r="J165" s="24">
        <v>0.0</v>
      </c>
      <c r="K165" s="23" t="s">
        <v>27</v>
      </c>
      <c r="L165" s="25">
        <v>42395.82728009259</v>
      </c>
      <c r="M165" s="26" t="s">
        <v>450</v>
      </c>
      <c r="N165" s="26" t="s">
        <v>451</v>
      </c>
      <c r="O165" s="22" t="str">
        <f>HYPERLINK("https://pbs.twimg.com/profile_images/768816974147227648/vJ_HBErH_normal.jpg","View")</f>
        <v>View</v>
      </c>
      <c r="P165" s="27"/>
    </row>
    <row r="166">
      <c r="A166" s="19">
        <v>42702.35445601852</v>
      </c>
      <c r="B166" s="20" t="str">
        <f>HYPERLINK("https://twitter.com/KeyserSoSo","@KeyserSoSo")</f>
        <v>@KeyserSoSo</v>
      </c>
      <c r="C166" s="21" t="s">
        <v>452</v>
      </c>
      <c r="D166" s="21" t="s">
        <v>453</v>
      </c>
      <c r="E166" s="22" t="str">
        <f>HYPERLINK("https://twitter.com/KeyserSoSo/status/803154065463058434","803154065463058434")</f>
        <v>803154065463058434</v>
      </c>
      <c r="F166" s="23" t="s">
        <v>26</v>
      </c>
      <c r="G166" s="24">
        <v>65.0</v>
      </c>
      <c r="H166" s="24">
        <v>122.0</v>
      </c>
      <c r="I166" s="24">
        <v>1.0</v>
      </c>
      <c r="J166" s="24">
        <v>0.0</v>
      </c>
      <c r="K166" s="23" t="s">
        <v>27</v>
      </c>
      <c r="L166" s="25">
        <v>41843.658842592595</v>
      </c>
      <c r="M166" s="26" t="s">
        <v>292</v>
      </c>
      <c r="N166" s="28"/>
      <c r="O166" s="22" t="str">
        <f>HYPERLINK("https://pbs.twimg.com/profile_images/592798998773235713/aPa65SQO_normal.jpg","View")</f>
        <v>View</v>
      </c>
      <c r="P166" s="27"/>
    </row>
    <row r="167">
      <c r="A167" s="19">
        <v>42702.366365740745</v>
      </c>
      <c r="B167" s="20" t="str">
        <f>HYPERLINK("https://twitter.com/PatrioticPorc","@PatrioticPorc")</f>
        <v>@PatrioticPorc</v>
      </c>
      <c r="C167" s="21" t="s">
        <v>454</v>
      </c>
      <c r="D167" s="21" t="s">
        <v>36</v>
      </c>
      <c r="E167" s="22" t="str">
        <f>HYPERLINK("https://twitter.com/PatrioticPorc/status/803158379401134081","803158379401134081")</f>
        <v>803158379401134081</v>
      </c>
      <c r="F167" s="23" t="s">
        <v>37</v>
      </c>
      <c r="G167" s="24">
        <v>901.0</v>
      </c>
      <c r="H167" s="24">
        <v>2277.0</v>
      </c>
      <c r="I167" s="24">
        <v>47.0</v>
      </c>
      <c r="J167" s="24">
        <v>0.0</v>
      </c>
      <c r="K167" s="23" t="s">
        <v>27</v>
      </c>
      <c r="L167" s="25">
        <v>42581.49388888889</v>
      </c>
      <c r="M167" s="26" t="s">
        <v>455</v>
      </c>
      <c r="N167" s="26" t="s">
        <v>456</v>
      </c>
      <c r="O167" s="22" t="str">
        <f>HYPERLINK("https://pbs.twimg.com/profile_images/797345640816615424/2WXY3ylI_normal.jpg","View")</f>
        <v>View</v>
      </c>
      <c r="P167" s="27"/>
    </row>
    <row r="168">
      <c r="A168" s="19">
        <v>42702.36908564815</v>
      </c>
      <c r="B168" s="20" t="str">
        <f>HYPERLINK("https://twitter.com/Foto_MarcosR","@Foto_MarcosR")</f>
        <v>@Foto_MarcosR</v>
      </c>
      <c r="C168" s="21" t="s">
        <v>457</v>
      </c>
      <c r="D168" s="21" t="s">
        <v>458</v>
      </c>
      <c r="E168" s="22" t="str">
        <f>HYPERLINK("https://twitter.com/Foto_MarcosR/status/803159366560055296","803159366560055296")</f>
        <v>803159366560055296</v>
      </c>
      <c r="F168" s="23" t="s">
        <v>37</v>
      </c>
      <c r="G168" s="24">
        <v>27.0</v>
      </c>
      <c r="H168" s="24">
        <v>184.0</v>
      </c>
      <c r="I168" s="24">
        <v>0.0</v>
      </c>
      <c r="J168" s="24">
        <v>2.0</v>
      </c>
      <c r="K168" s="23" t="s">
        <v>27</v>
      </c>
      <c r="L168" s="25">
        <v>42690.44731481481</v>
      </c>
      <c r="M168" s="28"/>
      <c r="N168" s="28"/>
      <c r="O168" s="22" t="str">
        <f>HYPERLINK("https://pbs.twimg.com/profile_images/800293643127058432/P9Bxoq_U_normal.jpg","View")</f>
        <v>View</v>
      </c>
      <c r="P168" s="27"/>
    </row>
    <row r="169">
      <c r="A169" s="19">
        <v>42702.37159722223</v>
      </c>
      <c r="B169" s="20" t="str">
        <f>HYPERLINK("https://twitter.com/CanaryIslandsEN","@CanaryIslandsEN")</f>
        <v>@CanaryIslandsEN</v>
      </c>
      <c r="C169" s="21" t="s">
        <v>165</v>
      </c>
      <c r="D169" s="21" t="s">
        <v>459</v>
      </c>
      <c r="E169" s="22" t="str">
        <f>HYPERLINK("https://twitter.com/CanaryIslandsEN/status/803160277176885248","803160277176885248")</f>
        <v>803160277176885248</v>
      </c>
      <c r="F169" s="23" t="s">
        <v>167</v>
      </c>
      <c r="G169" s="24">
        <v>14287.0</v>
      </c>
      <c r="H169" s="24">
        <v>1533.0</v>
      </c>
      <c r="I169" s="24">
        <v>12.0</v>
      </c>
      <c r="J169" s="24">
        <v>15.0</v>
      </c>
      <c r="K169" s="23" t="s">
        <v>27</v>
      </c>
      <c r="L169" s="25">
        <v>41264.365949074076</v>
      </c>
      <c r="M169" s="26" t="s">
        <v>168</v>
      </c>
      <c r="N169" s="26" t="s">
        <v>169</v>
      </c>
      <c r="O169" s="22" t="str">
        <f>HYPERLINK("https://pbs.twimg.com/profile_images/754960714704584704/14dQxsF8_normal.jpg","View")</f>
        <v>View</v>
      </c>
      <c r="P169" s="27"/>
    </row>
    <row r="170">
      <c r="A170" s="19">
        <v>42702.37231481481</v>
      </c>
      <c r="B170" s="20" t="str">
        <f>HYPERLINK("https://twitter.com/enduriaholidays","@enduriaholidays")</f>
        <v>@enduriaholidays</v>
      </c>
      <c r="C170" s="21" t="s">
        <v>173</v>
      </c>
      <c r="D170" s="21" t="s">
        <v>460</v>
      </c>
      <c r="E170" s="22" t="str">
        <f>HYPERLINK("https://twitter.com/enduriaholidays/status/803160535915261953","803160535915261953")</f>
        <v>803160535915261953</v>
      </c>
      <c r="F170" s="23" t="s">
        <v>69</v>
      </c>
      <c r="G170" s="24">
        <v>319.0</v>
      </c>
      <c r="H170" s="24">
        <v>313.0</v>
      </c>
      <c r="I170" s="24">
        <v>0.0</v>
      </c>
      <c r="J170" s="24">
        <v>0.0</v>
      </c>
      <c r="K170" s="23" t="s">
        <v>27</v>
      </c>
      <c r="L170" s="25">
        <v>42489.5252662037</v>
      </c>
      <c r="M170" s="28"/>
      <c r="N170" s="28"/>
      <c r="O170" s="22" t="str">
        <f>HYPERLINK("https://pbs.twimg.com/profile_images/726026649356128258/xCSaP1IW_normal.jpg","View")</f>
        <v>View</v>
      </c>
      <c r="P170" s="27"/>
    </row>
    <row r="171">
      <c r="A171" s="19">
        <v>42702.37372685185</v>
      </c>
      <c r="B171" s="20" t="str">
        <f>HYPERLINK("https://twitter.com/foulks31","@foulks31")</f>
        <v>@foulks31</v>
      </c>
      <c r="C171" s="21" t="s">
        <v>461</v>
      </c>
      <c r="D171" s="21" t="s">
        <v>462</v>
      </c>
      <c r="E171" s="22" t="str">
        <f>HYPERLINK("https://twitter.com/foulks31/status/803161047825838080","803161047825838080")</f>
        <v>803161047825838080</v>
      </c>
      <c r="F171" s="23" t="s">
        <v>26</v>
      </c>
      <c r="G171" s="24">
        <v>99.0</v>
      </c>
      <c r="H171" s="24">
        <v>953.0</v>
      </c>
      <c r="I171" s="24">
        <v>12.0</v>
      </c>
      <c r="J171" s="24">
        <v>0.0</v>
      </c>
      <c r="K171" s="23" t="s">
        <v>27</v>
      </c>
      <c r="L171" s="25">
        <v>41268.00105324074</v>
      </c>
      <c r="M171" s="26" t="s">
        <v>463</v>
      </c>
      <c r="N171" s="28"/>
      <c r="O171" s="22" t="str">
        <f>HYPERLINK("https://pbs.twimg.com/profile_images/753690261017026560/yQcZDAxO_normal.jpg","View")</f>
        <v>View</v>
      </c>
      <c r="P171" s="27"/>
    </row>
    <row r="172">
      <c r="A172" s="19">
        <v>42702.37564814815</v>
      </c>
      <c r="B172" s="20" t="str">
        <f>HYPERLINK("https://twitter.com/vportch","@vportch")</f>
        <v>@vportch</v>
      </c>
      <c r="C172" s="21" t="s">
        <v>464</v>
      </c>
      <c r="D172" s="21" t="s">
        <v>462</v>
      </c>
      <c r="E172" s="22" t="str">
        <f>HYPERLINK("https://twitter.com/vportch/status/803161743371341825","803161743371341825")</f>
        <v>803161743371341825</v>
      </c>
      <c r="F172" s="23" t="s">
        <v>41</v>
      </c>
      <c r="G172" s="24">
        <v>226.0</v>
      </c>
      <c r="H172" s="24">
        <v>806.0</v>
      </c>
      <c r="I172" s="24">
        <v>12.0</v>
      </c>
      <c r="J172" s="24">
        <v>0.0</v>
      </c>
      <c r="K172" s="23" t="s">
        <v>27</v>
      </c>
      <c r="L172" s="25">
        <v>40893.85853009259</v>
      </c>
      <c r="M172" s="28"/>
      <c r="N172" s="26" t="s">
        <v>465</v>
      </c>
      <c r="O172" s="22" t="str">
        <f>HYPERLINK("https://pbs.twimg.com/profile_images/761865120007983104/IP8dypaM_normal.jpg","View")</f>
        <v>View</v>
      </c>
      <c r="P172" s="27"/>
    </row>
    <row r="173">
      <c r="A173" s="19">
        <v>42702.376296296294</v>
      </c>
      <c r="B173" s="20" t="str">
        <f>HYPERLINK("https://twitter.com/islaspromo","@islaspromo")</f>
        <v>@islaspromo</v>
      </c>
      <c r="C173" s="21" t="s">
        <v>215</v>
      </c>
      <c r="D173" s="21" t="s">
        <v>384</v>
      </c>
      <c r="E173" s="22" t="str">
        <f>HYPERLINK("https://twitter.com/islaspromo/status/803161977317105664","803161977317105664")</f>
        <v>803161977317105664</v>
      </c>
      <c r="F173" s="23" t="s">
        <v>41</v>
      </c>
      <c r="G173" s="24">
        <v>785.0</v>
      </c>
      <c r="H173" s="24">
        <v>591.0</v>
      </c>
      <c r="I173" s="24">
        <v>10.0</v>
      </c>
      <c r="J173" s="24">
        <v>0.0</v>
      </c>
      <c r="K173" s="23" t="s">
        <v>27</v>
      </c>
      <c r="L173" s="25">
        <v>42060.74221064815</v>
      </c>
      <c r="M173" s="26" t="s">
        <v>51</v>
      </c>
      <c r="N173" s="26" t="s">
        <v>216</v>
      </c>
      <c r="O173" s="22" t="str">
        <f>HYPERLINK("https://pbs.twimg.com/profile_images/570644453866483712/dvbC2x8W_normal.jpeg","View")</f>
        <v>View</v>
      </c>
      <c r="P173" s="27"/>
    </row>
    <row r="174">
      <c r="A174" s="19">
        <v>42702.38401620371</v>
      </c>
      <c r="B174" s="20" t="str">
        <f>HYPERLINK("https://twitter.com/BudaBruxBrat","@BudaBruxBrat")</f>
        <v>@BudaBruxBrat</v>
      </c>
      <c r="C174" s="21" t="s">
        <v>466</v>
      </c>
      <c r="D174" s="21" t="s">
        <v>467</v>
      </c>
      <c r="E174" s="22" t="str">
        <f>HYPERLINK("https://twitter.com/BudaBruxBrat/status/803164778017472512","803164778017472512")</f>
        <v>803164778017472512</v>
      </c>
      <c r="F174" s="23" t="s">
        <v>26</v>
      </c>
      <c r="G174" s="24">
        <v>1495.0</v>
      </c>
      <c r="H174" s="24">
        <v>2281.0</v>
      </c>
      <c r="I174" s="24">
        <v>0.0</v>
      </c>
      <c r="J174" s="24">
        <v>1.0</v>
      </c>
      <c r="K174" s="23" t="s">
        <v>27</v>
      </c>
      <c r="L174" s="25">
        <v>39356.42726851852</v>
      </c>
      <c r="M174" s="26" t="s">
        <v>231</v>
      </c>
      <c r="N174" s="26" t="s">
        <v>468</v>
      </c>
      <c r="O174" s="22" t="str">
        <f>HYPERLINK("https://pbs.twimg.com/profile_images/727130961293508608/_H1Y6ehd_normal.jpg","View")</f>
        <v>View</v>
      </c>
      <c r="P174" s="27"/>
    </row>
    <row r="175">
      <c r="A175" s="19">
        <v>42702.38613425926</v>
      </c>
      <c r="B175" s="20" t="str">
        <f>HYPERLINK("https://twitter.com/SabinaGril1","@SabinaGril1")</f>
        <v>@SabinaGril1</v>
      </c>
      <c r="C175" s="21" t="s">
        <v>469</v>
      </c>
      <c r="D175" s="21" t="s">
        <v>462</v>
      </c>
      <c r="E175" s="22" t="str">
        <f>HYPERLINK("https://twitter.com/SabinaGril1/status/803165546095091717","803165546095091717")</f>
        <v>803165546095091717</v>
      </c>
      <c r="F175" s="23" t="s">
        <v>41</v>
      </c>
      <c r="G175" s="24">
        <v>211.0</v>
      </c>
      <c r="H175" s="24">
        <v>1323.0</v>
      </c>
      <c r="I175" s="24">
        <v>12.0</v>
      </c>
      <c r="J175" s="24">
        <v>0.0</v>
      </c>
      <c r="K175" s="23" t="s">
        <v>27</v>
      </c>
      <c r="L175" s="25">
        <v>41623.44388888889</v>
      </c>
      <c r="M175" s="26" t="s">
        <v>470</v>
      </c>
      <c r="N175" s="26" t="s">
        <v>471</v>
      </c>
      <c r="O175" s="22" t="str">
        <f>HYPERLINK("https://pbs.twimg.com/profile_images/799004611118039041/v3y6UfvA_normal.jpg","View")</f>
        <v>View</v>
      </c>
      <c r="P175" s="27"/>
    </row>
    <row r="176">
      <c r="A176" s="19">
        <v>42702.39295138889</v>
      </c>
      <c r="B176" s="20" t="str">
        <f>HYPERLINK("https://twitter.com/DAZZABOY11","@DAZZABOY11")</f>
        <v>@DAZZABOY11</v>
      </c>
      <c r="C176" s="21" t="s">
        <v>472</v>
      </c>
      <c r="D176" s="21" t="s">
        <v>462</v>
      </c>
      <c r="E176" s="22" t="str">
        <f>HYPERLINK("https://twitter.com/DAZZABOY11/status/803168015785267200","803168015785267200")</f>
        <v>803168015785267200</v>
      </c>
      <c r="F176" s="23" t="s">
        <v>41</v>
      </c>
      <c r="G176" s="24">
        <v>216.0</v>
      </c>
      <c r="H176" s="24">
        <v>543.0</v>
      </c>
      <c r="I176" s="24">
        <v>12.0</v>
      </c>
      <c r="J176" s="24">
        <v>0.0</v>
      </c>
      <c r="K176" s="23" t="s">
        <v>27</v>
      </c>
      <c r="L176" s="25">
        <v>41065.66724537037</v>
      </c>
      <c r="M176" s="26" t="s">
        <v>473</v>
      </c>
      <c r="N176" s="26" t="s">
        <v>474</v>
      </c>
      <c r="O176" s="22" t="str">
        <f>HYPERLINK("https://pbs.twimg.com/profile_images/785887706492628993/YtC1XvPg_normal.jpg","View")</f>
        <v>View</v>
      </c>
      <c r="P176" s="27"/>
    </row>
    <row r="177">
      <c r="A177" s="19">
        <v>42702.39601851851</v>
      </c>
      <c r="B177" s="20" t="str">
        <f>HYPERLINK("https://twitter.com/AlexBramwellGC","@AlexBramwellGC")</f>
        <v>@AlexBramwellGC</v>
      </c>
      <c r="C177" s="21" t="s">
        <v>475</v>
      </c>
      <c r="D177" s="21" t="s">
        <v>476</v>
      </c>
      <c r="E177" s="22" t="str">
        <f>HYPERLINK("https://twitter.com/AlexBramwellGC/status/803169125816156161","803169125816156161")</f>
        <v>803169125816156161</v>
      </c>
      <c r="F177" s="23" t="s">
        <v>167</v>
      </c>
      <c r="G177" s="24">
        <v>4023.0</v>
      </c>
      <c r="H177" s="24">
        <v>2573.0</v>
      </c>
      <c r="I177" s="24">
        <v>1.0</v>
      </c>
      <c r="J177" s="24">
        <v>3.0</v>
      </c>
      <c r="K177" s="23" t="s">
        <v>27</v>
      </c>
      <c r="L177" s="25">
        <v>40233.01298611111</v>
      </c>
      <c r="M177" s="26" t="s">
        <v>477</v>
      </c>
      <c r="N177" s="26" t="s">
        <v>478</v>
      </c>
      <c r="O177" s="22" t="str">
        <f>HYPERLINK("https://pbs.twimg.com/profile_images/657142929920794624/Z8UQpOEp_normal.jpg","View")</f>
        <v>View</v>
      </c>
      <c r="P177" s="27"/>
    </row>
    <row r="178">
      <c r="A178" s="19">
        <v>42702.39776620371</v>
      </c>
      <c r="B178" s="20" t="str">
        <f>HYPERLINK("https://twitter.com/auto_reisen","@auto_reisen")</f>
        <v>@auto_reisen</v>
      </c>
      <c r="C178" s="21" t="s">
        <v>479</v>
      </c>
      <c r="D178" s="21" t="s">
        <v>480</v>
      </c>
      <c r="E178" s="22" t="str">
        <f>HYPERLINK("https://twitter.com/auto_reisen/status/803169760024334336","803169760024334336")</f>
        <v>803169760024334336</v>
      </c>
      <c r="F178" s="23" t="s">
        <v>37</v>
      </c>
      <c r="G178" s="24">
        <v>64.0</v>
      </c>
      <c r="H178" s="24">
        <v>12.0</v>
      </c>
      <c r="I178" s="24">
        <v>0.0</v>
      </c>
      <c r="J178" s="24">
        <v>0.0</v>
      </c>
      <c r="K178" s="23" t="s">
        <v>27</v>
      </c>
      <c r="L178" s="25">
        <v>40229.94081018519</v>
      </c>
      <c r="M178" s="26" t="s">
        <v>305</v>
      </c>
      <c r="N178" s="26" t="s">
        <v>481</v>
      </c>
      <c r="O178" s="22" t="str">
        <f>HYPERLINK("https://pbs.twimg.com/profile_images/753537830752845824/CAcHgdYu_normal.jpg","View")</f>
        <v>View</v>
      </c>
      <c r="P178" s="27"/>
    </row>
    <row r="179">
      <c r="A179" s="19">
        <v>42702.404074074075</v>
      </c>
      <c r="B179" s="20" t="str">
        <f>HYPERLINK("https://twitter.com/rossbaileyleeds","@rossbaileyleeds")</f>
        <v>@rossbaileyleeds</v>
      </c>
      <c r="C179" s="21" t="s">
        <v>482</v>
      </c>
      <c r="D179" s="21" t="s">
        <v>483</v>
      </c>
      <c r="E179" s="22" t="str">
        <f>HYPERLINK("https://twitter.com/rossbaileyleeds/status/803172046633107456","803172046633107456")</f>
        <v>803172046633107456</v>
      </c>
      <c r="F179" s="23" t="s">
        <v>41</v>
      </c>
      <c r="G179" s="24">
        <v>192.0</v>
      </c>
      <c r="H179" s="24">
        <v>1209.0</v>
      </c>
      <c r="I179" s="24">
        <v>0.0</v>
      </c>
      <c r="J179" s="24">
        <v>0.0</v>
      </c>
      <c r="K179" s="23" t="s">
        <v>27</v>
      </c>
      <c r="L179" s="25">
        <v>40189.45533564815</v>
      </c>
      <c r="M179" s="26" t="s">
        <v>484</v>
      </c>
      <c r="N179" s="26" t="s">
        <v>485</v>
      </c>
      <c r="O179" s="22" t="str">
        <f>HYPERLINK("https://pbs.twimg.com/profile_images/775017226369921024/TCCngSxe_normal.jpg","View")</f>
        <v>View</v>
      </c>
      <c r="P179" s="27"/>
    </row>
    <row r="180">
      <c r="A180" s="19">
        <v>42702.40574074074</v>
      </c>
      <c r="B180" s="20" t="str">
        <f>HYPERLINK("https://twitter.com/Arte8Pop","@Arte8Pop")</f>
        <v>@Arte8Pop</v>
      </c>
      <c r="C180" s="21" t="s">
        <v>486</v>
      </c>
      <c r="D180" s="21" t="s">
        <v>487</v>
      </c>
      <c r="E180" s="22" t="str">
        <f>HYPERLINK("https://twitter.com/Arte8Pop/status/803172648402489344","803172648402489344")</f>
        <v>803172648402489344</v>
      </c>
      <c r="F180" s="23" t="s">
        <v>59</v>
      </c>
      <c r="G180" s="24">
        <v>243.0</v>
      </c>
      <c r="H180" s="24">
        <v>489.0</v>
      </c>
      <c r="I180" s="24">
        <v>0.0</v>
      </c>
      <c r="J180" s="24">
        <v>0.0</v>
      </c>
      <c r="K180" s="23" t="s">
        <v>27</v>
      </c>
      <c r="L180" s="25">
        <v>41633.79451388889</v>
      </c>
      <c r="M180" s="26" t="s">
        <v>488</v>
      </c>
      <c r="N180" s="26" t="s">
        <v>486</v>
      </c>
      <c r="O180" s="22" t="str">
        <f>HYPERLINK("https://pbs.twimg.com/profile_images/664416561084686336/4IvWuK-e_normal.jpg","View")</f>
        <v>View</v>
      </c>
      <c r="P180" s="27"/>
    </row>
    <row r="181">
      <c r="A181" s="19">
        <v>42702.41101851852</v>
      </c>
      <c r="B181" s="20" t="str">
        <f>HYPERLINK("https://twitter.com/TheGetaways_","@TheGetaways_")</f>
        <v>@TheGetaways_</v>
      </c>
      <c r="C181" s="21" t="s">
        <v>489</v>
      </c>
      <c r="D181" s="21" t="s">
        <v>490</v>
      </c>
      <c r="E181" s="22" t="str">
        <f>HYPERLINK("https://twitter.com/TheGetaways_/status/803174561403408384","803174561403408384")</f>
        <v>803174561403408384</v>
      </c>
      <c r="F181" s="23" t="s">
        <v>69</v>
      </c>
      <c r="G181" s="24">
        <v>167.0</v>
      </c>
      <c r="H181" s="24">
        <v>164.0</v>
      </c>
      <c r="I181" s="24">
        <v>0.0</v>
      </c>
      <c r="J181" s="24">
        <v>0.0</v>
      </c>
      <c r="K181" s="23" t="s">
        <v>27</v>
      </c>
      <c r="L181" s="25">
        <v>42647.59372685185</v>
      </c>
      <c r="M181" s="26" t="s">
        <v>491</v>
      </c>
      <c r="N181" s="26" t="s">
        <v>492</v>
      </c>
      <c r="O181" s="22" t="str">
        <f>HYPERLINK("https://pbs.twimg.com/profile_images/783295780115324929/-aQDr3Jo_normal.jpg","View")</f>
        <v>View</v>
      </c>
      <c r="P181" s="27"/>
    </row>
    <row r="182">
      <c r="A182" s="19">
        <v>42702.41449074074</v>
      </c>
      <c r="B182" s="20" t="str">
        <f>HYPERLINK("https://twitter.com/AMChronicles","@AMChronicles")</f>
        <v>@AMChronicles</v>
      </c>
      <c r="C182" s="21" t="s">
        <v>493</v>
      </c>
      <c r="D182" s="21" t="s">
        <v>494</v>
      </c>
      <c r="E182" s="22" t="str">
        <f>HYPERLINK("https://twitter.com/AMChronicles/status/803175819384266756","803175819384266756")</f>
        <v>803175819384266756</v>
      </c>
      <c r="F182" s="23" t="s">
        <v>41</v>
      </c>
      <c r="G182" s="24">
        <v>654.0</v>
      </c>
      <c r="H182" s="24">
        <v>377.0</v>
      </c>
      <c r="I182" s="24">
        <v>0.0</v>
      </c>
      <c r="J182" s="24">
        <v>0.0</v>
      </c>
      <c r="K182" s="23" t="s">
        <v>27</v>
      </c>
      <c r="L182" s="25">
        <v>41141.35671296297</v>
      </c>
      <c r="M182" s="26" t="s">
        <v>495</v>
      </c>
      <c r="N182" s="26" t="s">
        <v>496</v>
      </c>
      <c r="O182" s="22" t="str">
        <f>HYPERLINK("https://pbs.twimg.com/profile_images/711542384509763584/0zNKXviQ_normal.jpg","View")</f>
        <v>View</v>
      </c>
      <c r="P182" s="27"/>
    </row>
    <row r="183">
      <c r="A183" s="19">
        <v>42702.41547453703</v>
      </c>
      <c r="B183" s="20" t="str">
        <f>HYPERLINK("https://twitter.com/_TenDive","@_TenDive")</f>
        <v>@_TenDive</v>
      </c>
      <c r="C183" s="21" t="s">
        <v>103</v>
      </c>
      <c r="D183" s="21" t="s">
        <v>497</v>
      </c>
      <c r="E183" s="22" t="str">
        <f>HYPERLINK("https://twitter.com/_TenDive/status/803176177829457924","803176177829457924")</f>
        <v>803176177829457924</v>
      </c>
      <c r="F183" s="23" t="s">
        <v>37</v>
      </c>
      <c r="G183" s="24">
        <v>235.0</v>
      </c>
      <c r="H183" s="24">
        <v>118.0</v>
      </c>
      <c r="I183" s="24">
        <v>0.0</v>
      </c>
      <c r="J183" s="24">
        <v>1.0</v>
      </c>
      <c r="K183" s="23" t="s">
        <v>27</v>
      </c>
      <c r="L183" s="25">
        <v>41385.479999999996</v>
      </c>
      <c r="M183" s="26" t="s">
        <v>105</v>
      </c>
      <c r="N183" s="26" t="s">
        <v>106</v>
      </c>
      <c r="O183" s="22" t="str">
        <f>HYPERLINK("https://pbs.twimg.com/profile_images/694439157893107712/KkG57Zcq_normal.jpg","View")</f>
        <v>View</v>
      </c>
      <c r="P183" s="27"/>
    </row>
    <row r="184">
      <c r="A184" s="19">
        <v>42702.41881944444</v>
      </c>
      <c r="B184" s="20" t="str">
        <f>HYPERLINK("https://twitter.com/Mortgage_ShopES","@Mortgage_ShopES")</f>
        <v>@Mortgage_ShopES</v>
      </c>
      <c r="C184" s="21" t="s">
        <v>498</v>
      </c>
      <c r="D184" s="21" t="s">
        <v>499</v>
      </c>
      <c r="E184" s="22" t="str">
        <f>HYPERLINK("https://twitter.com/Mortgage_ShopES/status/803177387055837184","803177387055837184")</f>
        <v>803177387055837184</v>
      </c>
      <c r="F184" s="23" t="s">
        <v>37</v>
      </c>
      <c r="G184" s="24">
        <v>733.0</v>
      </c>
      <c r="H184" s="24">
        <v>823.0</v>
      </c>
      <c r="I184" s="24">
        <v>0.0</v>
      </c>
      <c r="J184" s="24">
        <v>0.0</v>
      </c>
      <c r="K184" s="23" t="s">
        <v>27</v>
      </c>
      <c r="L184" s="25">
        <v>42296.45390046296</v>
      </c>
      <c r="M184" s="26" t="s">
        <v>500</v>
      </c>
      <c r="N184" s="26" t="s">
        <v>501</v>
      </c>
      <c r="O184" s="22" t="str">
        <f>HYPERLINK("https://pbs.twimg.com/profile_images/661490131757568000/N4vOkYn9_normal.jpg","View")</f>
        <v>View</v>
      </c>
      <c r="P184" s="27"/>
    </row>
    <row r="185">
      <c r="A185" s="19">
        <v>42702.42967592593</v>
      </c>
      <c r="B185" s="20" t="str">
        <f>HYPERLINK("https://twitter.com/fenderstrat9","@fenderstrat9")</f>
        <v>@fenderstrat9</v>
      </c>
      <c r="C185" s="21" t="s">
        <v>502</v>
      </c>
      <c r="D185" s="21" t="s">
        <v>462</v>
      </c>
      <c r="E185" s="22" t="str">
        <f>HYPERLINK("https://twitter.com/fenderstrat9/status/803181322206330880","803181322206330880")</f>
        <v>803181322206330880</v>
      </c>
      <c r="F185" s="23" t="s">
        <v>41</v>
      </c>
      <c r="G185" s="24">
        <v>395.0</v>
      </c>
      <c r="H185" s="24">
        <v>2059.0</v>
      </c>
      <c r="I185" s="24">
        <v>12.0</v>
      </c>
      <c r="J185" s="24">
        <v>0.0</v>
      </c>
      <c r="K185" s="23" t="s">
        <v>27</v>
      </c>
      <c r="L185" s="25">
        <v>41645.81280092592</v>
      </c>
      <c r="M185" s="28"/>
      <c r="N185" s="28"/>
      <c r="O185" s="22" t="str">
        <f>HYPERLINK("https://pbs.twimg.com/profile_images/728129314596610049/we9Wqexp_normal.jpg","View")</f>
        <v>View</v>
      </c>
      <c r="P185" s="27"/>
    </row>
    <row r="186">
      <c r="A186" s="19">
        <v>42702.434537037036</v>
      </c>
      <c r="B186" s="20" t="str">
        <f>HYPERLINK("https://twitter.com/IGROCA","@IGROCA")</f>
        <v>@IGROCA</v>
      </c>
      <c r="C186" s="21" t="s">
        <v>503</v>
      </c>
      <c r="D186" s="21" t="s">
        <v>504</v>
      </c>
      <c r="E186" s="22" t="str">
        <f>HYPERLINK("https://twitter.com/IGROCA/status/803183083025526784","803183083025526784")</f>
        <v>803183083025526784</v>
      </c>
      <c r="F186" s="23" t="s">
        <v>41</v>
      </c>
      <c r="G186" s="24">
        <v>948.0</v>
      </c>
      <c r="H186" s="24">
        <v>2486.0</v>
      </c>
      <c r="I186" s="24">
        <v>14.0</v>
      </c>
      <c r="J186" s="24">
        <v>60.0</v>
      </c>
      <c r="K186" s="23" t="s">
        <v>27</v>
      </c>
      <c r="L186" s="25">
        <v>40545.51291666667</v>
      </c>
      <c r="M186" s="26" t="s">
        <v>168</v>
      </c>
      <c r="N186" s="26" t="s">
        <v>505</v>
      </c>
      <c r="O186" s="22" t="str">
        <f>HYPERLINK("https://pbs.twimg.com/profile_images/669044929251946496/aajLpTkP_normal.jpg","View")</f>
        <v>View</v>
      </c>
      <c r="P186" s="27" t="str">
        <f>HYPERLINK("https://ctrlq.org/maps/address/#50.8641911,4.3488227","Map")</f>
        <v>#ERROR!</v>
      </c>
    </row>
    <row r="187">
      <c r="A187" s="19">
        <v>42702.4357175926</v>
      </c>
      <c r="B187" s="20" t="str">
        <f>HYPERLINK("https://twitter.com/CwCanaryIslands","@CwCanaryIslands")</f>
        <v>@CwCanaryIslands</v>
      </c>
      <c r="C187" s="21" t="s">
        <v>506</v>
      </c>
      <c r="D187" s="21" t="s">
        <v>507</v>
      </c>
      <c r="E187" s="22" t="str">
        <f>HYPERLINK("https://twitter.com/CwCanaryIslands/status/803183513180704768","803183513180704768")</f>
        <v>803183513180704768</v>
      </c>
      <c r="F187" s="23" t="s">
        <v>41</v>
      </c>
      <c r="G187" s="24">
        <v>1430.0</v>
      </c>
      <c r="H187" s="24">
        <v>2636.0</v>
      </c>
      <c r="I187" s="24">
        <v>14.0</v>
      </c>
      <c r="J187" s="24">
        <v>0.0</v>
      </c>
      <c r="K187" s="23" t="s">
        <v>27</v>
      </c>
      <c r="L187" s="25">
        <v>41974.397986111115</v>
      </c>
      <c r="M187" s="26" t="s">
        <v>51</v>
      </c>
      <c r="N187" s="26" t="s">
        <v>508</v>
      </c>
      <c r="O187" s="22" t="str">
        <f>HYPERLINK("https://pbs.twimg.com/profile_images/787019931879636992/6RTPkXHU_normal.jpg","View")</f>
        <v>View</v>
      </c>
      <c r="P187" s="27"/>
    </row>
    <row r="188">
      <c r="A188" s="19">
        <v>42702.435949074075</v>
      </c>
      <c r="B188" s="20" t="str">
        <f>HYPERLINK("https://twitter.com/LpaVisit","@LpaVisit")</f>
        <v>@LpaVisit</v>
      </c>
      <c r="C188" s="21" t="s">
        <v>141</v>
      </c>
      <c r="D188" s="21" t="s">
        <v>507</v>
      </c>
      <c r="E188" s="22" t="str">
        <f>HYPERLINK("https://twitter.com/LpaVisit/status/803183596320280576","803183596320280576")</f>
        <v>803183596320280576</v>
      </c>
      <c r="F188" s="23" t="s">
        <v>37</v>
      </c>
      <c r="G188" s="24">
        <v>9640.0</v>
      </c>
      <c r="H188" s="24">
        <v>554.0</v>
      </c>
      <c r="I188" s="24">
        <v>14.0</v>
      </c>
      <c r="J188" s="24">
        <v>0.0</v>
      </c>
      <c r="K188" s="23" t="s">
        <v>27</v>
      </c>
      <c r="L188" s="25">
        <v>40866.561064814814</v>
      </c>
      <c r="M188" s="26" t="s">
        <v>109</v>
      </c>
      <c r="N188" s="26" t="s">
        <v>142</v>
      </c>
      <c r="O188" s="22" t="str">
        <f>HYPERLINK("https://pbs.twimg.com/profile_images/656385242819907584/6_e-4aUc_normal.jpg","View")</f>
        <v>View</v>
      </c>
      <c r="P188" s="27"/>
    </row>
    <row r="189">
      <c r="A189" s="19">
        <v>42702.43601851852</v>
      </c>
      <c r="B189" s="20" t="str">
        <f>HYPERLINK("https://twitter.com/nomadcitylpa","@nomadcitylpa")</f>
        <v>@nomadcitylpa</v>
      </c>
      <c r="C189" s="21" t="s">
        <v>509</v>
      </c>
      <c r="D189" s="21" t="s">
        <v>507</v>
      </c>
      <c r="E189" s="22" t="str">
        <f>HYPERLINK("https://twitter.com/nomadcitylpa/status/803183620097789953","803183620097789953")</f>
        <v>803183620097789953</v>
      </c>
      <c r="F189" s="23" t="s">
        <v>41</v>
      </c>
      <c r="G189" s="24">
        <v>274.0</v>
      </c>
      <c r="H189" s="24">
        <v>522.0</v>
      </c>
      <c r="I189" s="24">
        <v>14.0</v>
      </c>
      <c r="J189" s="24">
        <v>0.0</v>
      </c>
      <c r="K189" s="23" t="s">
        <v>27</v>
      </c>
      <c r="L189" s="25">
        <v>42657.293692129635</v>
      </c>
      <c r="M189" s="26" t="s">
        <v>510</v>
      </c>
      <c r="N189" s="26" t="s">
        <v>511</v>
      </c>
      <c r="O189" s="22" t="str">
        <f>HYPERLINK("https://pbs.twimg.com/profile_images/787729071291727873/nUJ1BYQd_normal.jpg","View")</f>
        <v>View</v>
      </c>
      <c r="P189" s="27"/>
    </row>
    <row r="190">
      <c r="A190" s="19">
        <v>42702.436678240745</v>
      </c>
      <c r="B190" s="20" t="str">
        <f>HYPERLINK("https://twitter.com/EuropeCoworking","@EuropeCoworking")</f>
        <v>@EuropeCoworking</v>
      </c>
      <c r="C190" s="21" t="s">
        <v>512</v>
      </c>
      <c r="D190" s="21" t="s">
        <v>507</v>
      </c>
      <c r="E190" s="22" t="str">
        <f>HYPERLINK("https://twitter.com/EuropeCoworking/status/803183862264250368","803183862264250368")</f>
        <v>803183862264250368</v>
      </c>
      <c r="F190" s="23" t="s">
        <v>90</v>
      </c>
      <c r="G190" s="24">
        <v>7303.0</v>
      </c>
      <c r="H190" s="24">
        <v>1988.0</v>
      </c>
      <c r="I190" s="24">
        <v>14.0</v>
      </c>
      <c r="J190" s="24">
        <v>0.0</v>
      </c>
      <c r="K190" s="23" t="s">
        <v>27</v>
      </c>
      <c r="L190" s="25">
        <v>40445.50958333333</v>
      </c>
      <c r="M190" s="26" t="s">
        <v>513</v>
      </c>
      <c r="N190" s="26" t="s">
        <v>514</v>
      </c>
      <c r="O190" s="22" t="str">
        <f>HYPERLINK("https://pbs.twimg.com/profile_images/588321545275211776/-nSY3rPi_normal.jpg","View")</f>
        <v>View</v>
      </c>
      <c r="P190" s="27"/>
    </row>
    <row r="191">
      <c r="A191" s="19">
        <v>42702.436701388884</v>
      </c>
      <c r="B191" s="20" t="str">
        <f>HYPERLINK("https://twitter.com/speaksmspanish","@speaksmspanish")</f>
        <v>@speaksmspanish</v>
      </c>
      <c r="C191" s="21" t="s">
        <v>515</v>
      </c>
      <c r="D191" s="21" t="s">
        <v>516</v>
      </c>
      <c r="E191" s="22" t="str">
        <f>HYPERLINK("https://twitter.com/speaksmspanish/status/803183870720049152","803183870720049152")</f>
        <v>803183870720049152</v>
      </c>
      <c r="F191" s="23" t="s">
        <v>69</v>
      </c>
      <c r="G191" s="24">
        <v>1.0</v>
      </c>
      <c r="H191" s="24">
        <v>0.0</v>
      </c>
      <c r="I191" s="24">
        <v>0.0</v>
      </c>
      <c r="J191" s="24">
        <v>1.0</v>
      </c>
      <c r="K191" s="23" t="s">
        <v>27</v>
      </c>
      <c r="L191" s="25">
        <v>42639.79609953704</v>
      </c>
      <c r="M191" s="26" t="s">
        <v>28</v>
      </c>
      <c r="N191" s="26" t="s">
        <v>517</v>
      </c>
      <c r="O191" s="22" t="str">
        <f>HYPERLINK("https://pbs.twimg.com/profile_images/780470206938382336/2jujqA6U_normal.jpg","View")</f>
        <v>View</v>
      </c>
      <c r="P191" s="27"/>
    </row>
    <row r="192">
      <c r="A192" s="19">
        <v>42702.43787037037</v>
      </c>
      <c r="B192" s="20" t="str">
        <f>HYPERLINK("https://twitter.com/LpaVisit","@LpaVisit")</f>
        <v>@LpaVisit</v>
      </c>
      <c r="C192" s="21" t="s">
        <v>141</v>
      </c>
      <c r="D192" s="21" t="s">
        <v>384</v>
      </c>
      <c r="E192" s="22" t="str">
        <f>HYPERLINK("https://twitter.com/LpaVisit/status/803184292088057856","803184292088057856")</f>
        <v>803184292088057856</v>
      </c>
      <c r="F192" s="23" t="s">
        <v>37</v>
      </c>
      <c r="G192" s="24">
        <v>9640.0</v>
      </c>
      <c r="H192" s="24">
        <v>554.0</v>
      </c>
      <c r="I192" s="24">
        <v>10.0</v>
      </c>
      <c r="J192" s="24">
        <v>0.0</v>
      </c>
      <c r="K192" s="23" t="s">
        <v>27</v>
      </c>
      <c r="L192" s="25">
        <v>40866.561064814814</v>
      </c>
      <c r="M192" s="26" t="s">
        <v>109</v>
      </c>
      <c r="N192" s="26" t="s">
        <v>142</v>
      </c>
      <c r="O192" s="22" t="str">
        <f>HYPERLINK("https://pbs.twimg.com/profile_images/656385242819907584/6_e-4aUc_normal.jpg","View")</f>
        <v>View</v>
      </c>
      <c r="P192" s="27"/>
    </row>
    <row r="193">
      <c r="A193" s="19">
        <v>42702.44292824074</v>
      </c>
      <c r="B193" s="20" t="str">
        <f>HYPERLINK("https://twitter.com/Cruiseaddict","@Cruiseaddict")</f>
        <v>@Cruiseaddict</v>
      </c>
      <c r="C193" s="21" t="s">
        <v>518</v>
      </c>
      <c r="D193" s="21" t="s">
        <v>462</v>
      </c>
      <c r="E193" s="22" t="str">
        <f>HYPERLINK("https://twitter.com/Cruiseaddict/status/803186125716258816","803186125716258816")</f>
        <v>803186125716258816</v>
      </c>
      <c r="F193" s="23" t="s">
        <v>26</v>
      </c>
      <c r="G193" s="24">
        <v>57.0</v>
      </c>
      <c r="H193" s="24">
        <v>130.0</v>
      </c>
      <c r="I193" s="24">
        <v>12.0</v>
      </c>
      <c r="J193" s="24">
        <v>0.0</v>
      </c>
      <c r="K193" s="23" t="s">
        <v>27</v>
      </c>
      <c r="L193" s="25">
        <v>40089.58982638889</v>
      </c>
      <c r="M193" s="26" t="s">
        <v>519</v>
      </c>
      <c r="N193" s="28"/>
      <c r="O193" s="22" t="str">
        <f>HYPERLINK("https://pbs.twimg.com/profile_images/452531103/Nicola_normal.jpg","View")</f>
        <v>View</v>
      </c>
      <c r="P193" s="27"/>
    </row>
    <row r="194">
      <c r="A194" s="19">
        <v>42702.44362268518</v>
      </c>
      <c r="B194" s="20" t="str">
        <f>HYPERLINK("https://twitter.com/luxuryrentspain","@luxuryrentspain")</f>
        <v>@luxuryrentspain</v>
      </c>
      <c r="C194" s="21" t="s">
        <v>520</v>
      </c>
      <c r="D194" s="21" t="s">
        <v>462</v>
      </c>
      <c r="E194" s="22" t="str">
        <f>HYPERLINK("https://twitter.com/luxuryrentspain/status/803186378091692032","803186378091692032")</f>
        <v>803186378091692032</v>
      </c>
      <c r="F194" s="23" t="s">
        <v>37</v>
      </c>
      <c r="G194" s="24">
        <v>1188.0</v>
      </c>
      <c r="H194" s="24">
        <v>47.0</v>
      </c>
      <c r="I194" s="24">
        <v>12.0</v>
      </c>
      <c r="J194" s="24">
        <v>0.0</v>
      </c>
      <c r="K194" s="23" t="s">
        <v>27</v>
      </c>
      <c r="L194" s="25">
        <v>42681.65170138889</v>
      </c>
      <c r="M194" s="26" t="s">
        <v>163</v>
      </c>
      <c r="N194" s="26" t="s">
        <v>521</v>
      </c>
      <c r="O194" s="22" t="str">
        <f>HYPERLINK("https://pbs.twimg.com/profile_images/795652170276360192/0xFWq8GW_normal.jpg","View")</f>
        <v>View</v>
      </c>
      <c r="P194" s="27"/>
    </row>
    <row r="195">
      <c r="A195" s="19">
        <v>42702.45034722222</v>
      </c>
      <c r="B195" s="20" t="str">
        <f>HYPERLINK("https://twitter.com/HotelEscuelaSB","@HotelEscuelaSB")</f>
        <v>@HotelEscuelaSB</v>
      </c>
      <c r="C195" s="21" t="s">
        <v>522</v>
      </c>
      <c r="D195" s="21" t="s">
        <v>384</v>
      </c>
      <c r="E195" s="22" t="str">
        <f>HYPERLINK("https://twitter.com/HotelEscuelaSB/status/803188813023551488","803188813023551488")</f>
        <v>803188813023551488</v>
      </c>
      <c r="F195" s="23" t="s">
        <v>37</v>
      </c>
      <c r="G195" s="24">
        <v>127.0</v>
      </c>
      <c r="H195" s="24">
        <v>392.0</v>
      </c>
      <c r="I195" s="24">
        <v>10.0</v>
      </c>
      <c r="J195" s="24">
        <v>0.0</v>
      </c>
      <c r="K195" s="23" t="s">
        <v>27</v>
      </c>
      <c r="L195" s="25">
        <v>42648.49597222223</v>
      </c>
      <c r="M195" s="28"/>
      <c r="N195" s="26" t="s">
        <v>523</v>
      </c>
      <c r="O195" s="22" t="str">
        <f>HYPERLINK("https://pbs.twimg.com/profile_images/792036201695940608/ZYEcPM7L_normal.jpg","View")</f>
        <v>View</v>
      </c>
      <c r="P195" s="27"/>
    </row>
    <row r="196">
      <c r="A196" s="19">
        <v>42702.454375</v>
      </c>
      <c r="B196" s="20" t="str">
        <f>HYPERLINK("https://twitter.com/gonzalomartin19","@gonzalomartin19")</f>
        <v>@gonzalomartin19</v>
      </c>
      <c r="C196" s="21" t="s">
        <v>386</v>
      </c>
      <c r="D196" s="21" t="s">
        <v>524</v>
      </c>
      <c r="E196" s="22" t="str">
        <f>HYPERLINK("https://twitter.com/gonzalomartin19/status/803190274486738944","803190274486738944")</f>
        <v>803190274486738944</v>
      </c>
      <c r="F196" s="23" t="s">
        <v>81</v>
      </c>
      <c r="G196" s="24">
        <v>3046.0</v>
      </c>
      <c r="H196" s="24">
        <v>1716.0</v>
      </c>
      <c r="I196" s="24">
        <v>0.0</v>
      </c>
      <c r="J196" s="24">
        <v>0.0</v>
      </c>
      <c r="K196" s="23" t="s">
        <v>27</v>
      </c>
      <c r="L196" s="25">
        <v>39975.55291666667</v>
      </c>
      <c r="M196" s="26" t="s">
        <v>387</v>
      </c>
      <c r="N196" s="26" t="s">
        <v>388</v>
      </c>
      <c r="O196" s="22" t="str">
        <f>HYPERLINK("https://pbs.twimg.com/profile_images/788378410800340992/S31aB3GU_normal.jpg","View")</f>
        <v>View</v>
      </c>
      <c r="P196" s="27" t="str">
        <f>HYPERLINK("https://ctrlq.org/maps/address/#28.14148421,-15.42736527","Map")</f>
        <v>#ERROR!</v>
      </c>
    </row>
    <row r="197">
      <c r="A197" s="19">
        <v>42702.459699074076</v>
      </c>
      <c r="B197" s="20" t="str">
        <f>HYPERLINK("https://twitter.com/swisshop4uEs","@swisshop4uEs")</f>
        <v>@swisshop4uEs</v>
      </c>
      <c r="C197" s="21" t="s">
        <v>48</v>
      </c>
      <c r="D197" s="21" t="s">
        <v>525</v>
      </c>
      <c r="E197" s="22" t="str">
        <f>HYPERLINK("https://twitter.com/swisshop4uEs/status/803192205242466305","803192205242466305")</f>
        <v>803192205242466305</v>
      </c>
      <c r="F197" s="23" t="s">
        <v>50</v>
      </c>
      <c r="G197" s="24">
        <v>455.0</v>
      </c>
      <c r="H197" s="24">
        <v>424.0</v>
      </c>
      <c r="I197" s="24">
        <v>0.0</v>
      </c>
      <c r="J197" s="24">
        <v>0.0</v>
      </c>
      <c r="K197" s="23" t="s">
        <v>27</v>
      </c>
      <c r="L197" s="25">
        <v>41468.93072916666</v>
      </c>
      <c r="M197" s="26" t="s">
        <v>51</v>
      </c>
      <c r="N197" s="26" t="s">
        <v>52</v>
      </c>
      <c r="O197" s="22" t="str">
        <f>HYPERLINK("https://pbs.twimg.com/profile_images/378800000213382003/4f562b59f92995b884d2d440f71fc5ce_normal.png","View")</f>
        <v>View</v>
      </c>
      <c r="P197" s="27"/>
    </row>
    <row r="198">
      <c r="A198" s="19">
        <v>42702.46207175926</v>
      </c>
      <c r="B198" s="20" t="str">
        <f>HYPERLINK("https://twitter.com/JAGreenhill","@JAGreenhill")</f>
        <v>@JAGreenhill</v>
      </c>
      <c r="C198" s="21" t="s">
        <v>423</v>
      </c>
      <c r="D198" s="21" t="s">
        <v>526</v>
      </c>
      <c r="E198" s="22" t="str">
        <f>HYPERLINK("https://twitter.com/JAGreenhill/status/803193062331744256","803193062331744256")</f>
        <v>803193062331744256</v>
      </c>
      <c r="F198" s="23" t="s">
        <v>69</v>
      </c>
      <c r="G198" s="24">
        <v>57.0</v>
      </c>
      <c r="H198" s="24">
        <v>66.0</v>
      </c>
      <c r="I198" s="24">
        <v>0.0</v>
      </c>
      <c r="J198" s="24">
        <v>1.0</v>
      </c>
      <c r="K198" s="23" t="s">
        <v>27</v>
      </c>
      <c r="L198" s="25">
        <v>39966.43601851852</v>
      </c>
      <c r="M198" s="26" t="s">
        <v>425</v>
      </c>
      <c r="N198" s="26" t="s">
        <v>426</v>
      </c>
      <c r="O198" s="22" t="str">
        <f>HYPERLINK("https://pbs.twimg.com/profile_images/805052311466897409/zHKEhdG9_normal.jpg","View")</f>
        <v>View</v>
      </c>
      <c r="P198" s="27"/>
    </row>
    <row r="199">
      <c r="A199" s="19">
        <v>42702.46320601852</v>
      </c>
      <c r="B199" s="20" t="str">
        <f>HYPERLINK("https://twitter.com/IgersTenerife","@IgersTenerife")</f>
        <v>@IgersTenerife</v>
      </c>
      <c r="C199" s="21" t="s">
        <v>527</v>
      </c>
      <c r="D199" s="21" t="s">
        <v>528</v>
      </c>
      <c r="E199" s="22" t="str">
        <f>HYPERLINK("https://twitter.com/IgersTenerife/status/803193473457422336","803193473457422336")</f>
        <v>803193473457422336</v>
      </c>
      <c r="F199" s="23" t="s">
        <v>59</v>
      </c>
      <c r="G199" s="24">
        <v>1114.0</v>
      </c>
      <c r="H199" s="24">
        <v>577.0</v>
      </c>
      <c r="I199" s="24">
        <v>0.0</v>
      </c>
      <c r="J199" s="24">
        <v>0.0</v>
      </c>
      <c r="K199" s="23" t="s">
        <v>27</v>
      </c>
      <c r="L199" s="25">
        <v>40646.3954050926</v>
      </c>
      <c r="M199" s="26" t="s">
        <v>529</v>
      </c>
      <c r="N199" s="26" t="s">
        <v>530</v>
      </c>
      <c r="O199" s="22" t="str">
        <f>HYPERLINK("https://pbs.twimg.com/profile_images/1863274647/image_normal.jpg","View")</f>
        <v>View</v>
      </c>
      <c r="P199" s="27"/>
    </row>
    <row r="200">
      <c r="A200" s="19">
        <v>42702.4690162037</v>
      </c>
      <c r="B200" s="20" t="str">
        <f>HYPERLINK("https://twitter.com/kameraad52","@kameraad52")</f>
        <v>@kameraad52</v>
      </c>
      <c r="C200" s="21" t="s">
        <v>531</v>
      </c>
      <c r="D200" s="21" t="s">
        <v>507</v>
      </c>
      <c r="E200" s="22" t="str">
        <f>HYPERLINK("https://twitter.com/kameraad52/status/803195579455127552","803195579455127552")</f>
        <v>803195579455127552</v>
      </c>
      <c r="F200" s="23" t="s">
        <v>41</v>
      </c>
      <c r="G200" s="24">
        <v>1752.0</v>
      </c>
      <c r="H200" s="24">
        <v>1683.0</v>
      </c>
      <c r="I200" s="24">
        <v>14.0</v>
      </c>
      <c r="J200" s="24">
        <v>0.0</v>
      </c>
      <c r="K200" s="23" t="s">
        <v>27</v>
      </c>
      <c r="L200" s="25">
        <v>40463.36549768518</v>
      </c>
      <c r="M200" s="26" t="s">
        <v>532</v>
      </c>
      <c r="N200" s="26" t="s">
        <v>533</v>
      </c>
      <c r="O200" s="22" t="str">
        <f>HYPERLINK("https://pbs.twimg.com/profile_images/2960530110/dd138706a91d92c79d93ad80a82571c1_normal.jpeg","View")</f>
        <v>View</v>
      </c>
      <c r="P200" s="27"/>
    </row>
    <row r="201">
      <c r="A201" s="19">
        <v>42702.47074074074</v>
      </c>
      <c r="B201" s="20" t="str">
        <f>HYPERLINK("https://twitter.com/GCUCUSA","@GCUCUSA")</f>
        <v>@GCUCUSA</v>
      </c>
      <c r="C201" s="21" t="s">
        <v>534</v>
      </c>
      <c r="D201" s="21" t="s">
        <v>507</v>
      </c>
      <c r="E201" s="22" t="str">
        <f>HYPERLINK("https://twitter.com/GCUCUSA/status/803196205136285696","803196205136285696")</f>
        <v>803196205136285696</v>
      </c>
      <c r="F201" s="23" t="s">
        <v>26</v>
      </c>
      <c r="G201" s="24">
        <v>4417.0</v>
      </c>
      <c r="H201" s="24">
        <v>2346.0</v>
      </c>
      <c r="I201" s="24">
        <v>14.0</v>
      </c>
      <c r="J201" s="24">
        <v>0.0</v>
      </c>
      <c r="K201" s="23" t="s">
        <v>27</v>
      </c>
      <c r="L201" s="25">
        <v>40827.66386574074</v>
      </c>
      <c r="M201" s="26" t="s">
        <v>535</v>
      </c>
      <c r="N201" s="26" t="s">
        <v>536</v>
      </c>
      <c r="O201" s="22" t="str">
        <f>HYPERLINK("https://pbs.twimg.com/profile_images/748903790804209664/FtKcukkC_normal.jpg","View")</f>
        <v>View</v>
      </c>
      <c r="P201" s="27"/>
    </row>
    <row r="202">
      <c r="A202" s="19">
        <v>42702.47922453703</v>
      </c>
      <c r="B202" s="20" t="str">
        <f>HYPERLINK("https://twitter.com/fefifofum67","@fefifofum67")</f>
        <v>@fefifofum67</v>
      </c>
      <c r="C202" s="21" t="s">
        <v>537</v>
      </c>
      <c r="D202" s="21" t="s">
        <v>462</v>
      </c>
      <c r="E202" s="22" t="str">
        <f>HYPERLINK("https://twitter.com/fefifofum67/status/803199278487404544","803199278487404544")</f>
        <v>803199278487404544</v>
      </c>
      <c r="F202" s="23" t="s">
        <v>26</v>
      </c>
      <c r="G202" s="24">
        <v>27.0</v>
      </c>
      <c r="H202" s="24">
        <v>60.0</v>
      </c>
      <c r="I202" s="24">
        <v>12.0</v>
      </c>
      <c r="J202" s="24">
        <v>0.0</v>
      </c>
      <c r="K202" s="23" t="s">
        <v>27</v>
      </c>
      <c r="L202" s="25">
        <v>42242.51462962963</v>
      </c>
      <c r="M202" s="26" t="s">
        <v>538</v>
      </c>
      <c r="N202" s="28"/>
      <c r="O202" s="22" t="str">
        <f>HYPERLINK("https://pbs.twimg.com/profile_images/696447371639681024/ILa3hXCM_normal.jpg","View")</f>
        <v>View</v>
      </c>
      <c r="P202" s="27"/>
    </row>
    <row r="203">
      <c r="A203" s="19">
        <v>42702.48068287037</v>
      </c>
      <c r="B203" s="20" t="str">
        <f>HYPERLINK("https://twitter.com/thecoworkaholic","@thecoworkaholic")</f>
        <v>@thecoworkaholic</v>
      </c>
      <c r="C203" s="21" t="s">
        <v>539</v>
      </c>
      <c r="D203" s="21" t="s">
        <v>507</v>
      </c>
      <c r="E203" s="22" t="str">
        <f>HYPERLINK("https://twitter.com/thecoworkaholic/status/803199809364463616","803199809364463616")</f>
        <v>803199809364463616</v>
      </c>
      <c r="F203" s="23" t="s">
        <v>90</v>
      </c>
      <c r="G203" s="24">
        <v>2122.0</v>
      </c>
      <c r="H203" s="24">
        <v>2073.0</v>
      </c>
      <c r="I203" s="24">
        <v>14.0</v>
      </c>
      <c r="J203" s="24">
        <v>0.0</v>
      </c>
      <c r="K203" s="23" t="s">
        <v>27</v>
      </c>
      <c r="L203" s="25">
        <v>42195.61498842592</v>
      </c>
      <c r="M203" s="28"/>
      <c r="N203" s="26" t="s">
        <v>540</v>
      </c>
      <c r="O203" s="22" t="str">
        <f>HYPERLINK("https://pbs.twimg.com/profile_images/644320085834792960/GyJmegXl_normal.jpg","View")</f>
        <v>View</v>
      </c>
      <c r="P203" s="27"/>
    </row>
    <row r="204">
      <c r="A204" s="19">
        <v>42702.48991898148</v>
      </c>
      <c r="B204" s="20" t="str">
        <f>HYPERLINK("https://twitter.com/R753Rfw753","@R753Rfw753")</f>
        <v>@R753Rfw753</v>
      </c>
      <c r="C204" s="21" t="s">
        <v>541</v>
      </c>
      <c r="D204" s="21" t="s">
        <v>542</v>
      </c>
      <c r="E204" s="22" t="str">
        <f>HYPERLINK("https://twitter.com/R753Rfw753/status/803203155773296640","803203155773296640")</f>
        <v>803203155773296640</v>
      </c>
      <c r="F204" s="23" t="s">
        <v>90</v>
      </c>
      <c r="G204" s="24">
        <v>1305.0</v>
      </c>
      <c r="H204" s="24">
        <v>1025.0</v>
      </c>
      <c r="I204" s="24">
        <v>1.0</v>
      </c>
      <c r="J204" s="24">
        <v>1.0</v>
      </c>
      <c r="K204" s="23" t="s">
        <v>27</v>
      </c>
      <c r="L204" s="25">
        <v>39856.715</v>
      </c>
      <c r="M204" s="28"/>
      <c r="N204" s="28"/>
      <c r="O204" s="22" t="str">
        <f>HYPERLINK("https://pbs.twimg.com/profile_images/773520586832216064/AGLz4fuI_normal.jpg","View")</f>
        <v>View</v>
      </c>
      <c r="P204" s="27"/>
    </row>
    <row r="205">
      <c r="A205" s="19">
        <v>42702.493125</v>
      </c>
      <c r="B205" s="20" t="str">
        <f>HYPERLINK("https://twitter.com/hotelbahiareal","@hotelbahiareal")</f>
        <v>@hotelbahiareal</v>
      </c>
      <c r="C205" s="21" t="s">
        <v>543</v>
      </c>
      <c r="D205" s="21" t="s">
        <v>544</v>
      </c>
      <c r="E205" s="22" t="str">
        <f>HYPERLINK("https://twitter.com/hotelbahiareal/status/803204315066363905","803204315066363905")</f>
        <v>803204315066363905</v>
      </c>
      <c r="F205" s="23" t="s">
        <v>37</v>
      </c>
      <c r="G205" s="24">
        <v>4519.0</v>
      </c>
      <c r="H205" s="24">
        <v>4171.0</v>
      </c>
      <c r="I205" s="24">
        <v>0.0</v>
      </c>
      <c r="J205" s="24">
        <v>6.0</v>
      </c>
      <c r="K205" s="23" t="s">
        <v>27</v>
      </c>
      <c r="L205" s="25">
        <v>40583.46386574074</v>
      </c>
      <c r="M205" s="26" t="s">
        <v>545</v>
      </c>
      <c r="N205" s="26" t="s">
        <v>546</v>
      </c>
      <c r="O205" s="22" t="str">
        <f>HYPERLINK("https://pbs.twimg.com/profile_images/606040823147446272/rw4NhAXD_normal.jpg","View")</f>
        <v>View</v>
      </c>
      <c r="P205" s="27"/>
    </row>
    <row r="206">
      <c r="A206" s="19">
        <v>42702.49365740741</v>
      </c>
      <c r="B206" s="20" t="str">
        <f>HYPERLINK("https://twitter.com/R753Rfw753","@R753Rfw753")</f>
        <v>@R753Rfw753</v>
      </c>
      <c r="C206" s="21" t="s">
        <v>541</v>
      </c>
      <c r="D206" s="21" t="s">
        <v>547</v>
      </c>
      <c r="E206" s="22" t="str">
        <f>HYPERLINK("https://twitter.com/R753Rfw753/status/803204509153390592","803204509153390592")</f>
        <v>803204509153390592</v>
      </c>
      <c r="F206" s="23" t="s">
        <v>90</v>
      </c>
      <c r="G206" s="24">
        <v>1305.0</v>
      </c>
      <c r="H206" s="24">
        <v>1025.0</v>
      </c>
      <c r="I206" s="24">
        <v>1.0</v>
      </c>
      <c r="J206" s="24">
        <v>0.0</v>
      </c>
      <c r="K206" s="23" t="s">
        <v>27</v>
      </c>
      <c r="L206" s="25">
        <v>39856.715</v>
      </c>
      <c r="M206" s="28"/>
      <c r="N206" s="28"/>
      <c r="O206" s="22" t="str">
        <f>HYPERLINK("https://pbs.twimg.com/profile_images/773520586832216064/AGLz4fuI_normal.jpg","View")</f>
        <v>View</v>
      </c>
      <c r="P206" s="27"/>
    </row>
    <row r="207">
      <c r="A207" s="19">
        <v>42702.496458333335</v>
      </c>
      <c r="B207" s="20" t="str">
        <f>HYPERLINK("https://twitter.com/HMInsightGroup","@HMInsightGroup")</f>
        <v>@HMInsightGroup</v>
      </c>
      <c r="C207" s="21" t="s">
        <v>548</v>
      </c>
      <c r="D207" s="21" t="s">
        <v>507</v>
      </c>
      <c r="E207" s="22" t="str">
        <f>HYPERLINK("https://twitter.com/HMInsightGroup/status/803205523495669760","803205523495669760")</f>
        <v>803205523495669760</v>
      </c>
      <c r="F207" s="23" t="s">
        <v>41</v>
      </c>
      <c r="G207" s="24">
        <v>1768.0</v>
      </c>
      <c r="H207" s="24">
        <v>1422.0</v>
      </c>
      <c r="I207" s="24">
        <v>14.0</v>
      </c>
      <c r="J207" s="24">
        <v>0.0</v>
      </c>
      <c r="K207" s="23" t="s">
        <v>27</v>
      </c>
      <c r="L207" s="25">
        <v>41016.42356481482</v>
      </c>
      <c r="M207" s="26" t="s">
        <v>549</v>
      </c>
      <c r="N207" s="26" t="s">
        <v>550</v>
      </c>
      <c r="O207" s="22" t="str">
        <f>HYPERLINK("https://pbs.twimg.com/profile_images/753604598494072832/seEUqt8F_normal.jpg","View")</f>
        <v>View</v>
      </c>
      <c r="P207" s="27"/>
    </row>
    <row r="208">
      <c r="A208" s="19">
        <v>42702.49680555555</v>
      </c>
      <c r="B208" s="20" t="str">
        <f>HYPERLINK("https://twitter.com/debbiedavidson4","@debbiedavidson4")</f>
        <v>@debbiedavidson4</v>
      </c>
      <c r="C208" s="21" t="s">
        <v>551</v>
      </c>
      <c r="D208" s="21" t="s">
        <v>462</v>
      </c>
      <c r="E208" s="22" t="str">
        <f>HYPERLINK("https://twitter.com/debbiedavidson4/status/803205648569737216","803205648569737216")</f>
        <v>803205648569737216</v>
      </c>
      <c r="F208" s="23" t="s">
        <v>41</v>
      </c>
      <c r="G208" s="24">
        <v>38.0</v>
      </c>
      <c r="H208" s="24">
        <v>136.0</v>
      </c>
      <c r="I208" s="24">
        <v>12.0</v>
      </c>
      <c r="J208" s="24">
        <v>0.0</v>
      </c>
      <c r="K208" s="23" t="s">
        <v>27</v>
      </c>
      <c r="L208" s="25">
        <v>40853.62233796297</v>
      </c>
      <c r="M208" s="26" t="s">
        <v>552</v>
      </c>
      <c r="N208" s="26" t="s">
        <v>553</v>
      </c>
      <c r="O208" s="22" t="str">
        <f>HYPERLINK("https://abs.twimg.com/sticky/default_profile_images/default_profile_3_normal.png","View")</f>
        <v>View</v>
      </c>
      <c r="P208" s="27"/>
    </row>
    <row r="209">
      <c r="A209" s="19">
        <v>42702.50114583333</v>
      </c>
      <c r="B209" s="20" t="str">
        <f>HYPERLINK("https://twitter.com/AcmeWorks","@AcmeWorks")</f>
        <v>@AcmeWorks</v>
      </c>
      <c r="C209" s="21" t="s">
        <v>554</v>
      </c>
      <c r="D209" s="21" t="s">
        <v>507</v>
      </c>
      <c r="E209" s="22" t="str">
        <f>HYPERLINK("https://twitter.com/AcmeWorks/status/803207223283306497","803207223283306497")</f>
        <v>803207223283306497</v>
      </c>
      <c r="F209" s="23" t="s">
        <v>41</v>
      </c>
      <c r="G209" s="24">
        <v>840.0</v>
      </c>
      <c r="H209" s="24">
        <v>846.0</v>
      </c>
      <c r="I209" s="24">
        <v>14.0</v>
      </c>
      <c r="J209" s="24">
        <v>0.0</v>
      </c>
      <c r="K209" s="23" t="s">
        <v>27</v>
      </c>
      <c r="L209" s="25">
        <v>41354.93986111111</v>
      </c>
      <c r="M209" s="26" t="s">
        <v>555</v>
      </c>
      <c r="N209" s="26" t="s">
        <v>556</v>
      </c>
      <c r="O209" s="22" t="str">
        <f>HYPERLINK("https://pbs.twimg.com/profile_images/3486330463/b7c52c6bb3a196c0796592d5ae13fa98_normal.jpeg","View")</f>
        <v>View</v>
      </c>
      <c r="P209" s="27"/>
    </row>
    <row r="210">
      <c r="A210" s="19">
        <v>42702.5132175926</v>
      </c>
      <c r="B210" s="20" t="str">
        <f>HYPERLINK("https://twitter.com/SpainInRussia","@SpainInRussia")</f>
        <v>@SpainInRussia</v>
      </c>
      <c r="C210" s="21" t="s">
        <v>557</v>
      </c>
      <c r="D210" s="21" t="s">
        <v>558</v>
      </c>
      <c r="E210" s="22" t="str">
        <f>HYPERLINK("https://twitter.com/SpainInRussia/status/803211596021530624","803211596021530624")</f>
        <v>803211596021530624</v>
      </c>
      <c r="F210" s="23" t="s">
        <v>37</v>
      </c>
      <c r="G210" s="24">
        <v>1253.0</v>
      </c>
      <c r="H210" s="24">
        <v>794.0</v>
      </c>
      <c r="I210" s="24">
        <v>36.0</v>
      </c>
      <c r="J210" s="24">
        <v>0.0</v>
      </c>
      <c r="K210" s="23" t="s">
        <v>27</v>
      </c>
      <c r="L210" s="25">
        <v>40639.543715277774</v>
      </c>
      <c r="M210" s="28"/>
      <c r="N210" s="26" t="s">
        <v>559</v>
      </c>
      <c r="O210" s="22" t="str">
        <f>HYPERLINK("https://pbs.twimg.com/profile_images/553463244602351616/oby3GHkM_normal.jpeg","View")</f>
        <v>View</v>
      </c>
      <c r="P210" s="27"/>
    </row>
    <row r="211">
      <c r="A211" s="19">
        <v>42702.51666666666</v>
      </c>
      <c r="B211" s="20" t="str">
        <f>HYPERLINK("https://twitter.com/yourgolftravel","@yourgolftravel")</f>
        <v>@yourgolftravel</v>
      </c>
      <c r="C211" s="21" t="s">
        <v>270</v>
      </c>
      <c r="D211" s="21" t="s">
        <v>560</v>
      </c>
      <c r="E211" s="22" t="str">
        <f>HYPERLINK("https://twitter.com/yourgolftravel/status/803212848751083522","803212848751083522")</f>
        <v>803212848751083522</v>
      </c>
      <c r="F211" s="23" t="s">
        <v>64</v>
      </c>
      <c r="G211" s="24">
        <v>27341.0</v>
      </c>
      <c r="H211" s="24">
        <v>6956.0</v>
      </c>
      <c r="I211" s="24">
        <v>0.0</v>
      </c>
      <c r="J211" s="24">
        <v>0.0</v>
      </c>
      <c r="K211" s="23" t="s">
        <v>27</v>
      </c>
      <c r="L211" s="25">
        <v>39850.42359953704</v>
      </c>
      <c r="M211" s="26" t="s">
        <v>272</v>
      </c>
      <c r="N211" s="26" t="s">
        <v>273</v>
      </c>
      <c r="O211" s="22" t="str">
        <f>HYPERLINK("https://pbs.twimg.com/profile_images/693087403129573376/KcJrOeqS_normal.jpg","View")</f>
        <v>View</v>
      </c>
      <c r="P211" s="27"/>
    </row>
    <row r="212">
      <c r="A212" s="19">
        <v>42702.526874999996</v>
      </c>
      <c r="B212" s="20" t="str">
        <f>HYPERLINK("https://twitter.com/Selhso","@Selhso")</f>
        <v>@Selhso</v>
      </c>
      <c r="C212" s="21" t="s">
        <v>194</v>
      </c>
      <c r="D212" s="21" t="s">
        <v>561</v>
      </c>
      <c r="E212" s="22" t="str">
        <f>HYPERLINK("https://twitter.com/Selhso/status/803216545904201728","803216545904201728")</f>
        <v>803216545904201728</v>
      </c>
      <c r="F212" s="23" t="s">
        <v>37</v>
      </c>
      <c r="G212" s="24">
        <v>1615.0</v>
      </c>
      <c r="H212" s="24">
        <v>1661.0</v>
      </c>
      <c r="I212" s="24">
        <v>5.0</v>
      </c>
      <c r="J212" s="24">
        <v>5.0</v>
      </c>
      <c r="K212" s="23" t="s">
        <v>27</v>
      </c>
      <c r="L212" s="25">
        <v>40372.68681712963</v>
      </c>
      <c r="M212" s="26" t="s">
        <v>196</v>
      </c>
      <c r="N212" s="26" t="s">
        <v>109</v>
      </c>
      <c r="O212" s="22" t="str">
        <f>HYPERLINK("https://pbs.twimg.com/profile_images/800845512836579328/cKh_5hB2_normal.jpg","View")</f>
        <v>View</v>
      </c>
      <c r="P212" s="27"/>
    </row>
    <row r="213">
      <c r="A213" s="19">
        <v>42702.52782407407</v>
      </c>
      <c r="B213" s="20" t="str">
        <f>HYPERLINK("https://twitter.com/Jackinuk","@Jackinuk")</f>
        <v>@Jackinuk</v>
      </c>
      <c r="C213" s="21" t="s">
        <v>562</v>
      </c>
      <c r="D213" s="21" t="s">
        <v>563</v>
      </c>
      <c r="E213" s="22" t="str">
        <f>HYPERLINK("https://twitter.com/Jackinuk/status/803216890021736453","803216890021736453")</f>
        <v>803216890021736453</v>
      </c>
      <c r="F213" s="23" t="s">
        <v>41</v>
      </c>
      <c r="G213" s="24">
        <v>539.0</v>
      </c>
      <c r="H213" s="24">
        <v>265.0</v>
      </c>
      <c r="I213" s="24">
        <v>0.0</v>
      </c>
      <c r="J213" s="24">
        <v>2.0</v>
      </c>
      <c r="K213" s="23" t="s">
        <v>27</v>
      </c>
      <c r="L213" s="25">
        <v>40813.7235300926</v>
      </c>
      <c r="M213" s="26" t="s">
        <v>564</v>
      </c>
      <c r="N213" s="26" t="s">
        <v>565</v>
      </c>
      <c r="O213" s="22" t="str">
        <f>HYPERLINK("https://pbs.twimg.com/profile_images/742672685176623106/ktsyVcMx_normal.jpg","View")</f>
        <v>View</v>
      </c>
      <c r="P213" s="27"/>
    </row>
    <row r="214">
      <c r="A214" s="19">
        <v>42702.536203703705</v>
      </c>
      <c r="B214" s="20" t="str">
        <f>HYPERLINK("https://twitter.com/Pamtreee","@Pamtreee")</f>
        <v>@Pamtreee</v>
      </c>
      <c r="C214" s="21" t="s">
        <v>566</v>
      </c>
      <c r="D214" s="21" t="s">
        <v>567</v>
      </c>
      <c r="E214" s="22" t="str">
        <f>HYPERLINK("https://twitter.com/Pamtreee/status/803219927314427904","803219927314427904")</f>
        <v>803219927314427904</v>
      </c>
      <c r="F214" s="23" t="s">
        <v>26</v>
      </c>
      <c r="G214" s="24">
        <v>233.0</v>
      </c>
      <c r="H214" s="24">
        <v>545.0</v>
      </c>
      <c r="I214" s="24">
        <v>0.0</v>
      </c>
      <c r="J214" s="24">
        <v>2.0</v>
      </c>
      <c r="K214" s="23" t="s">
        <v>27</v>
      </c>
      <c r="L214" s="25">
        <v>41247.55569444445</v>
      </c>
      <c r="M214" s="26" t="s">
        <v>568</v>
      </c>
      <c r="N214" s="26" t="s">
        <v>569</v>
      </c>
      <c r="O214" s="22" t="str">
        <f>HYPERLINK("https://pbs.twimg.com/profile_images/739738142270455809/6Qv1feI0_normal.jpg","View")</f>
        <v>View</v>
      </c>
      <c r="P214" s="27"/>
    </row>
    <row r="215">
      <c r="A215" s="19">
        <v>42702.54010416666</v>
      </c>
      <c r="B215" s="20" t="str">
        <f>HYPERLINK("https://twitter.com/islaspromo","@islaspromo")</f>
        <v>@islaspromo</v>
      </c>
      <c r="C215" s="21" t="s">
        <v>215</v>
      </c>
      <c r="D215" s="21" t="s">
        <v>570</v>
      </c>
      <c r="E215" s="22" t="str">
        <f>HYPERLINK("https://twitter.com/islaspromo/status/803221340564156416","803221340564156416")</f>
        <v>803221340564156416</v>
      </c>
      <c r="F215" s="23" t="s">
        <v>37</v>
      </c>
      <c r="G215" s="24">
        <v>785.0</v>
      </c>
      <c r="H215" s="24">
        <v>591.0</v>
      </c>
      <c r="I215" s="24">
        <v>5.0</v>
      </c>
      <c r="J215" s="24">
        <v>0.0</v>
      </c>
      <c r="K215" s="23" t="s">
        <v>27</v>
      </c>
      <c r="L215" s="25">
        <v>42060.74221064815</v>
      </c>
      <c r="M215" s="26" t="s">
        <v>51</v>
      </c>
      <c r="N215" s="26" t="s">
        <v>216</v>
      </c>
      <c r="O215" s="22" t="str">
        <f>HYPERLINK("https://pbs.twimg.com/profile_images/570644453866483712/dvbC2x8W_normal.jpeg","View")</f>
        <v>View</v>
      </c>
      <c r="P215" s="27"/>
    </row>
    <row r="216">
      <c r="A216" s="19">
        <v>42702.54692129629</v>
      </c>
      <c r="B216" s="20" t="str">
        <f>HYPERLINK("https://twitter.com/7ifilm","@7ifilm")</f>
        <v>@7ifilm</v>
      </c>
      <c r="C216" s="21" t="s">
        <v>571</v>
      </c>
      <c r="D216" s="21" t="s">
        <v>572</v>
      </c>
      <c r="E216" s="22" t="str">
        <f>HYPERLINK("https://twitter.com/7ifilm/status/803223811063685121","803223811063685121")</f>
        <v>803223811063685121</v>
      </c>
      <c r="F216" s="23" t="s">
        <v>59</v>
      </c>
      <c r="G216" s="24">
        <v>78.0</v>
      </c>
      <c r="H216" s="24">
        <v>2.0</v>
      </c>
      <c r="I216" s="24">
        <v>0.0</v>
      </c>
      <c r="J216" s="24">
        <v>0.0</v>
      </c>
      <c r="K216" s="23" t="s">
        <v>27</v>
      </c>
      <c r="L216" s="25">
        <v>40344.41125</v>
      </c>
      <c r="M216" s="26" t="s">
        <v>168</v>
      </c>
      <c r="N216" s="28"/>
      <c r="O216" s="22" t="str">
        <f>HYPERLINK("https://pbs.twimg.com/profile_images/991825290/7ifilm_LOGO_neu_normal.jpg","View")</f>
        <v>View</v>
      </c>
      <c r="P216" s="27"/>
    </row>
    <row r="217">
      <c r="A217" s="19">
        <v>42702.55309027778</v>
      </c>
      <c r="B217" s="20" t="str">
        <f>HYPERLINK("https://twitter.com/auto_reisen","@auto_reisen")</f>
        <v>@auto_reisen</v>
      </c>
      <c r="C217" s="21" t="s">
        <v>479</v>
      </c>
      <c r="D217" s="21" t="s">
        <v>573</v>
      </c>
      <c r="E217" s="22" t="str">
        <f>HYPERLINK("https://twitter.com/auto_reisen/status/803226049014276096","803226049014276096")</f>
        <v>803226049014276096</v>
      </c>
      <c r="F217" s="23" t="s">
        <v>37</v>
      </c>
      <c r="G217" s="24">
        <v>64.0</v>
      </c>
      <c r="H217" s="24">
        <v>12.0</v>
      </c>
      <c r="I217" s="24">
        <v>4.0</v>
      </c>
      <c r="J217" s="24">
        <v>0.0</v>
      </c>
      <c r="K217" s="23" t="s">
        <v>27</v>
      </c>
      <c r="L217" s="25">
        <v>40229.94081018519</v>
      </c>
      <c r="M217" s="26" t="s">
        <v>305</v>
      </c>
      <c r="N217" s="26" t="s">
        <v>481</v>
      </c>
      <c r="O217" s="22" t="str">
        <f>HYPERLINK("https://pbs.twimg.com/profile_images/753537830752845824/CAcHgdYu_normal.jpg","View")</f>
        <v>View</v>
      </c>
      <c r="P217" s="27"/>
    </row>
    <row r="218">
      <c r="A218" s="19">
        <v>42702.562002314815</v>
      </c>
      <c r="B218" s="20" t="str">
        <f>HYPERLINK("https://twitter.com/BernieJMitchell","@BernieJMitchell")</f>
        <v>@BernieJMitchell</v>
      </c>
      <c r="C218" s="21" t="s">
        <v>574</v>
      </c>
      <c r="D218" s="21" t="s">
        <v>507</v>
      </c>
      <c r="E218" s="22" t="str">
        <f>HYPERLINK("https://twitter.com/BernieJMitchell/status/803229277571481600","803229277571481600")</f>
        <v>803229277571481600</v>
      </c>
      <c r="F218" s="23" t="s">
        <v>37</v>
      </c>
      <c r="G218" s="24">
        <v>7097.0</v>
      </c>
      <c r="H218" s="24">
        <v>2178.0</v>
      </c>
      <c r="I218" s="24">
        <v>14.0</v>
      </c>
      <c r="J218" s="24">
        <v>0.0</v>
      </c>
      <c r="K218" s="23" t="s">
        <v>27</v>
      </c>
      <c r="L218" s="25">
        <v>39689.88949074074</v>
      </c>
      <c r="M218" s="26" t="s">
        <v>575</v>
      </c>
      <c r="N218" s="26" t="s">
        <v>576</v>
      </c>
      <c r="O218" s="22" t="str">
        <f>HYPERLINK("https://pbs.twimg.com/profile_images/539523845917794304/xxl6b0fP_normal.jpeg","View")</f>
        <v>View</v>
      </c>
      <c r="P218" s="27"/>
    </row>
    <row r="219">
      <c r="A219" s="19">
        <v>42702.56706018519</v>
      </c>
      <c r="B219" s="20" t="str">
        <f>HYPERLINK("https://twitter.com/CJ_TenisClub","@CJ_TenisClub")</f>
        <v>@CJ_TenisClub</v>
      </c>
      <c r="C219" s="21" t="s">
        <v>347</v>
      </c>
      <c r="D219" s="21" t="s">
        <v>348</v>
      </c>
      <c r="E219" s="22" t="str">
        <f>HYPERLINK("https://twitter.com/CJ_TenisClub/status/803231109937004545","803231109937004545")</f>
        <v>803231109937004545</v>
      </c>
      <c r="F219" s="23" t="s">
        <v>69</v>
      </c>
      <c r="G219" s="24">
        <v>214.0</v>
      </c>
      <c r="H219" s="24">
        <v>130.0</v>
      </c>
      <c r="I219" s="24">
        <v>0.0</v>
      </c>
      <c r="J219" s="24">
        <v>0.0</v>
      </c>
      <c r="K219" s="23" t="s">
        <v>27</v>
      </c>
      <c r="L219" s="25">
        <v>41570.99730324074</v>
      </c>
      <c r="M219" s="28"/>
      <c r="N219" s="26" t="s">
        <v>349</v>
      </c>
      <c r="O219" s="22" t="str">
        <f>HYPERLINK("https://pbs.twimg.com/profile_images/718837181683494913/iga7i5m8_normal.jpg","View")</f>
        <v>View</v>
      </c>
      <c r="P219" s="27"/>
    </row>
    <row r="220">
      <c r="A220" s="19">
        <v>42702.56833333333</v>
      </c>
      <c r="B220" s="20" t="str">
        <f>HYPERLINK("https://twitter.com/paisajecanario","@paisajecanario")</f>
        <v>@paisajecanario</v>
      </c>
      <c r="C220" s="21" t="s">
        <v>70</v>
      </c>
      <c r="D220" s="21" t="s">
        <v>570</v>
      </c>
      <c r="E220" s="22" t="str">
        <f>HYPERLINK("https://twitter.com/paisajecanario/status/803231571100794882","803231571100794882")</f>
        <v>803231571100794882</v>
      </c>
      <c r="F220" s="23" t="s">
        <v>26</v>
      </c>
      <c r="G220" s="24">
        <v>13324.0</v>
      </c>
      <c r="H220" s="24">
        <v>434.0</v>
      </c>
      <c r="I220" s="24">
        <v>5.0</v>
      </c>
      <c r="J220" s="24">
        <v>0.0</v>
      </c>
      <c r="K220" s="23" t="s">
        <v>27</v>
      </c>
      <c r="L220" s="25">
        <v>41815.714641203704</v>
      </c>
      <c r="M220" s="26" t="s">
        <v>71</v>
      </c>
      <c r="N220" s="26" t="s">
        <v>72</v>
      </c>
      <c r="O220" s="22" t="str">
        <f>HYPERLINK("https://pbs.twimg.com/profile_images/789364630850240512/Mw90qAlM_normal.jpg","View")</f>
        <v>View</v>
      </c>
      <c r="P220" s="27"/>
    </row>
    <row r="221">
      <c r="A221" s="19">
        <v>42702.573796296296</v>
      </c>
      <c r="B221" s="20" t="str">
        <f t="shared" ref="B221:B222" si="22">HYPERLINK("https://twitter.com/JAGreenhill","@JAGreenhill")</f>
        <v>@JAGreenhill</v>
      </c>
      <c r="C221" s="21" t="s">
        <v>423</v>
      </c>
      <c r="D221" s="21" t="s">
        <v>577</v>
      </c>
      <c r="E221" s="22" t="str">
        <f>HYPERLINK("https://twitter.com/JAGreenhill/status/803233551806185472","803233551806185472")</f>
        <v>803233551806185472</v>
      </c>
      <c r="F221" s="23" t="s">
        <v>69</v>
      </c>
      <c r="G221" s="24">
        <v>57.0</v>
      </c>
      <c r="H221" s="24">
        <v>66.0</v>
      </c>
      <c r="I221" s="24">
        <v>0.0</v>
      </c>
      <c r="J221" s="24">
        <v>0.0</v>
      </c>
      <c r="K221" s="23" t="s">
        <v>27</v>
      </c>
      <c r="L221" s="25">
        <v>39966.43601851852</v>
      </c>
      <c r="M221" s="26" t="s">
        <v>425</v>
      </c>
      <c r="N221" s="26" t="s">
        <v>426</v>
      </c>
      <c r="O221" s="22" t="str">
        <f t="shared" ref="O221:O222" si="23">HYPERLINK("https://pbs.twimg.com/profile_images/805052311466897409/zHKEhdG9_normal.jpg","View")</f>
        <v>View</v>
      </c>
      <c r="P221" s="27"/>
    </row>
    <row r="222">
      <c r="A222" s="19">
        <v>42702.57407407407</v>
      </c>
      <c r="B222" s="20" t="str">
        <f t="shared" si="22"/>
        <v>@JAGreenhill</v>
      </c>
      <c r="C222" s="21" t="s">
        <v>423</v>
      </c>
      <c r="D222" s="21" t="s">
        <v>578</v>
      </c>
      <c r="E222" s="22" t="str">
        <f>HYPERLINK("https://twitter.com/JAGreenhill/status/803233650171138050","803233650171138050")</f>
        <v>803233650171138050</v>
      </c>
      <c r="F222" s="23" t="s">
        <v>69</v>
      </c>
      <c r="G222" s="24">
        <v>57.0</v>
      </c>
      <c r="H222" s="24">
        <v>66.0</v>
      </c>
      <c r="I222" s="24">
        <v>1.0</v>
      </c>
      <c r="J222" s="24">
        <v>1.0</v>
      </c>
      <c r="K222" s="23" t="s">
        <v>27</v>
      </c>
      <c r="L222" s="25">
        <v>39966.43601851852</v>
      </c>
      <c r="M222" s="26" t="s">
        <v>425</v>
      </c>
      <c r="N222" s="26" t="s">
        <v>426</v>
      </c>
      <c r="O222" s="22" t="str">
        <f t="shared" si="23"/>
        <v>View</v>
      </c>
      <c r="P222" s="27"/>
    </row>
    <row r="223">
      <c r="A223" s="19">
        <v>42702.57429398148</v>
      </c>
      <c r="B223" s="20" t="str">
        <f>HYPERLINK("https://twitter.com/LesRandosdeCaco","@LesRandosdeCaco")</f>
        <v>@LesRandosdeCaco</v>
      </c>
      <c r="C223" s="21" t="s">
        <v>186</v>
      </c>
      <c r="D223" s="21" t="s">
        <v>579</v>
      </c>
      <c r="E223" s="22" t="str">
        <f>HYPERLINK("https://twitter.com/LesRandosdeCaco/status/803233730634649600","803233730634649600")</f>
        <v>803233730634649600</v>
      </c>
      <c r="F223" s="23" t="s">
        <v>41</v>
      </c>
      <c r="G223" s="24">
        <v>7.0</v>
      </c>
      <c r="H223" s="24">
        <v>57.0</v>
      </c>
      <c r="I223" s="24">
        <v>0.0</v>
      </c>
      <c r="J223" s="24">
        <v>1.0</v>
      </c>
      <c r="K223" s="23" t="s">
        <v>27</v>
      </c>
      <c r="L223" s="25">
        <v>41643.68407407407</v>
      </c>
      <c r="M223" s="26" t="s">
        <v>188</v>
      </c>
      <c r="N223" s="26" t="s">
        <v>189</v>
      </c>
      <c r="O223" s="22" t="str">
        <f>HYPERLINK("https://pbs.twimg.com/profile_images/802073872866705408/wMHnHYch_normal.jpg","View")</f>
        <v>View</v>
      </c>
      <c r="P223" s="27"/>
    </row>
    <row r="224">
      <c r="A224" s="19">
        <v>42702.57439814815</v>
      </c>
      <c r="B224" s="20" t="str">
        <f>HYPERLINK("https://twitter.com/JAGreenhill","@JAGreenhill")</f>
        <v>@JAGreenhill</v>
      </c>
      <c r="C224" s="21" t="s">
        <v>423</v>
      </c>
      <c r="D224" s="21" t="s">
        <v>580</v>
      </c>
      <c r="E224" s="22" t="str">
        <f>HYPERLINK("https://twitter.com/JAGreenhill/status/803233768873938944","803233768873938944")</f>
        <v>803233768873938944</v>
      </c>
      <c r="F224" s="23" t="s">
        <v>69</v>
      </c>
      <c r="G224" s="24">
        <v>57.0</v>
      </c>
      <c r="H224" s="24">
        <v>66.0</v>
      </c>
      <c r="I224" s="24">
        <v>1.0</v>
      </c>
      <c r="J224" s="24">
        <v>0.0</v>
      </c>
      <c r="K224" s="23" t="s">
        <v>27</v>
      </c>
      <c r="L224" s="25">
        <v>39966.43601851852</v>
      </c>
      <c r="M224" s="26" t="s">
        <v>425</v>
      </c>
      <c r="N224" s="26" t="s">
        <v>426</v>
      </c>
      <c r="O224" s="22" t="str">
        <f>HYPERLINK("https://pbs.twimg.com/profile_images/805052311466897409/zHKEhdG9_normal.jpg","View")</f>
        <v>View</v>
      </c>
      <c r="P224" s="27"/>
    </row>
    <row r="225">
      <c r="A225" s="19">
        <v>42702.57747685185</v>
      </c>
      <c r="B225" s="20" t="str">
        <f>HYPERLINK("https://twitter.com/MC_org","@MC_org")</f>
        <v>@MC_org</v>
      </c>
      <c r="C225" s="21" t="s">
        <v>581</v>
      </c>
      <c r="D225" s="21" t="s">
        <v>582</v>
      </c>
      <c r="E225" s="22" t="str">
        <f>HYPERLINK("https://twitter.com/MC_org/status/803234883577479169","803234883577479169")</f>
        <v>803234883577479169</v>
      </c>
      <c r="F225" s="23" t="s">
        <v>37</v>
      </c>
      <c r="G225" s="24">
        <v>3025.0</v>
      </c>
      <c r="H225" s="24">
        <v>581.0</v>
      </c>
      <c r="I225" s="24">
        <v>16.0</v>
      </c>
      <c r="J225" s="24">
        <v>7.0</v>
      </c>
      <c r="K225" s="23" t="s">
        <v>27</v>
      </c>
      <c r="L225" s="25">
        <v>41646.69123842593</v>
      </c>
      <c r="M225" s="26" t="s">
        <v>583</v>
      </c>
      <c r="N225" s="26" t="s">
        <v>584</v>
      </c>
      <c r="O225" s="22" t="str">
        <f>HYPERLINK("https://pbs.twimg.com/profile_images/420646927093338112/dLNEGsLg_normal.jpeg","View")</f>
        <v>View</v>
      </c>
      <c r="P225" s="27"/>
    </row>
    <row r="226">
      <c r="A226" s="19">
        <v>42702.57898148148</v>
      </c>
      <c r="B226" s="20" t="str">
        <f>HYPERLINK("https://twitter.com/DolphinPaige","@DolphinPaige")</f>
        <v>@DolphinPaige</v>
      </c>
      <c r="C226" s="21" t="s">
        <v>585</v>
      </c>
      <c r="D226" s="21" t="s">
        <v>586</v>
      </c>
      <c r="E226" s="22" t="str">
        <f>HYPERLINK("https://twitter.com/DolphinPaige/status/803235427683565569","803235427683565569")</f>
        <v>803235427683565569</v>
      </c>
      <c r="F226" s="23" t="s">
        <v>41</v>
      </c>
      <c r="G226" s="24">
        <v>17278.0</v>
      </c>
      <c r="H226" s="24">
        <v>13274.0</v>
      </c>
      <c r="I226" s="24">
        <v>16.0</v>
      </c>
      <c r="J226" s="24">
        <v>0.0</v>
      </c>
      <c r="K226" s="23" t="s">
        <v>27</v>
      </c>
      <c r="L226" s="25">
        <v>41108.77679398148</v>
      </c>
      <c r="M226" s="28"/>
      <c r="N226" s="26" t="s">
        <v>587</v>
      </c>
      <c r="O226" s="22" t="str">
        <f>HYPERLINK("https://pbs.twimg.com/profile_images/630404272711143424/mNyW5Ig1_normal.jpg","View")</f>
        <v>View</v>
      </c>
      <c r="P226" s="27"/>
    </row>
    <row r="227">
      <c r="A227" s="19">
        <v>42702.579247685186</v>
      </c>
      <c r="B227" s="20" t="str">
        <f>HYPERLINK("https://twitter.com/Inachiveg","@Inachiveg")</f>
        <v>@Inachiveg</v>
      </c>
      <c r="C227" s="30" t="s">
        <v>588</v>
      </c>
      <c r="D227" s="21" t="s">
        <v>586</v>
      </c>
      <c r="E227" s="22" t="str">
        <f>HYPERLINK("https://twitter.com/Inachiveg/status/803235525255692288","803235525255692288")</f>
        <v>803235525255692288</v>
      </c>
      <c r="F227" s="23" t="s">
        <v>26</v>
      </c>
      <c r="G227" s="24">
        <v>2555.0</v>
      </c>
      <c r="H227" s="24">
        <v>2564.0</v>
      </c>
      <c r="I227" s="24">
        <v>16.0</v>
      </c>
      <c r="J227" s="24">
        <v>0.0</v>
      </c>
      <c r="K227" s="23" t="s">
        <v>27</v>
      </c>
      <c r="L227" s="25">
        <v>40455.5203125</v>
      </c>
      <c r="M227" s="26" t="s">
        <v>589</v>
      </c>
      <c r="N227" s="26" t="s">
        <v>590</v>
      </c>
      <c r="O227" s="22" t="str">
        <f>HYPERLINK("https://pbs.twimg.com/profile_images/574951436238254081/mV0_9eVK_normal.jpeg","View")</f>
        <v>View</v>
      </c>
      <c r="P227" s="27"/>
    </row>
    <row r="228">
      <c r="A228" s="19">
        <v>42702.58008101852</v>
      </c>
      <c r="B228" s="20" t="str">
        <f>HYPERLINK("https://twitter.com/sellmytshare","@sellmytshare")</f>
        <v>@sellmytshare</v>
      </c>
      <c r="C228" s="21" t="s">
        <v>591</v>
      </c>
      <c r="D228" s="21" t="s">
        <v>592</v>
      </c>
      <c r="E228" s="22" t="str">
        <f>HYPERLINK("https://twitter.com/sellmytshare/status/803235828654743552","803235828654743552")</f>
        <v>803235828654743552</v>
      </c>
      <c r="F228" s="23" t="s">
        <v>167</v>
      </c>
      <c r="G228" s="24">
        <v>1255.0</v>
      </c>
      <c r="H228" s="24">
        <v>908.0</v>
      </c>
      <c r="I228" s="24">
        <v>2.0</v>
      </c>
      <c r="J228" s="24">
        <v>1.0</v>
      </c>
      <c r="K228" s="23" t="s">
        <v>27</v>
      </c>
      <c r="L228" s="25">
        <v>41474.641331018516</v>
      </c>
      <c r="M228" s="28"/>
      <c r="N228" s="26" t="s">
        <v>593</v>
      </c>
      <c r="O228" s="22" t="str">
        <f>HYPERLINK("https://pbs.twimg.com/profile_images/661939380370726912/YsXXMKwm_normal.png","View")</f>
        <v>View</v>
      </c>
      <c r="P228" s="27"/>
    </row>
    <row r="229">
      <c r="A229" s="19">
        <v>42702.58236111111</v>
      </c>
      <c r="B229" s="20" t="str">
        <f>HYPERLINK("https://twitter.com/nomadcitylpa","@nomadcitylpa")</f>
        <v>@nomadcitylpa</v>
      </c>
      <c r="C229" s="21" t="s">
        <v>509</v>
      </c>
      <c r="D229" s="21" t="s">
        <v>594</v>
      </c>
      <c r="E229" s="22" t="str">
        <f>HYPERLINK("https://twitter.com/nomadcitylpa/status/803236653078704128","803236653078704128")</f>
        <v>803236653078704128</v>
      </c>
      <c r="F229" s="23" t="s">
        <v>81</v>
      </c>
      <c r="G229" s="24">
        <v>274.0</v>
      </c>
      <c r="H229" s="24">
        <v>522.0</v>
      </c>
      <c r="I229" s="24">
        <v>0.0</v>
      </c>
      <c r="J229" s="24">
        <v>1.0</v>
      </c>
      <c r="K229" s="23" t="s">
        <v>27</v>
      </c>
      <c r="L229" s="25">
        <v>42657.293692129635</v>
      </c>
      <c r="M229" s="26" t="s">
        <v>510</v>
      </c>
      <c r="N229" s="26" t="s">
        <v>511</v>
      </c>
      <c r="O229" s="22" t="str">
        <f>HYPERLINK("https://pbs.twimg.com/profile_images/787729071291727873/nUJ1BYQd_normal.jpg","View")</f>
        <v>View</v>
      </c>
      <c r="P229" s="27" t="str">
        <f>HYPERLINK("https://ctrlq.org/maps/address/#50.85,4.35","Map")</f>
        <v>#ERROR!</v>
      </c>
    </row>
    <row r="230">
      <c r="A230" s="19">
        <v>42702.58296296296</v>
      </c>
      <c r="B230" s="20" t="str">
        <f>HYPERLINK("https://twitter.com/whitefalcon57","@whitefalcon57")</f>
        <v>@whitefalcon57</v>
      </c>
      <c r="C230" s="21" t="s">
        <v>595</v>
      </c>
      <c r="D230" s="21" t="s">
        <v>586</v>
      </c>
      <c r="E230" s="22" t="str">
        <f>HYPERLINK("https://twitter.com/whitefalcon57/status/803236871514025984","803236871514025984")</f>
        <v>803236871514025984</v>
      </c>
      <c r="F230" s="23" t="s">
        <v>26</v>
      </c>
      <c r="G230" s="24">
        <v>1484.0</v>
      </c>
      <c r="H230" s="24">
        <v>2159.0</v>
      </c>
      <c r="I230" s="24">
        <v>16.0</v>
      </c>
      <c r="J230" s="24">
        <v>0.0</v>
      </c>
      <c r="K230" s="23" t="s">
        <v>27</v>
      </c>
      <c r="L230" s="25">
        <v>40856.26513888889</v>
      </c>
      <c r="M230" s="26" t="s">
        <v>596</v>
      </c>
      <c r="N230" s="26" t="s">
        <v>597</v>
      </c>
      <c r="O230" s="22" t="str">
        <f>HYPERLINK("https://pbs.twimg.com/profile_images/805984016449097728/QEvxfnJK_normal.jpg","View")</f>
        <v>View</v>
      </c>
      <c r="P230" s="27"/>
    </row>
    <row r="231">
      <c r="A231" s="19">
        <v>42702.58342592593</v>
      </c>
      <c r="B231" s="20" t="str">
        <f>HYPERLINK("https://twitter.com/SamBrowne15","@SamBrowne15")</f>
        <v>@SamBrowne15</v>
      </c>
      <c r="C231" s="21" t="s">
        <v>598</v>
      </c>
      <c r="D231" s="21" t="s">
        <v>599</v>
      </c>
      <c r="E231" s="22" t="str">
        <f>HYPERLINK("https://twitter.com/SamBrowne15/status/803237041647521796","803237041647521796")</f>
        <v>803237041647521796</v>
      </c>
      <c r="F231" s="23" t="s">
        <v>26</v>
      </c>
      <c r="G231" s="24">
        <v>174.0</v>
      </c>
      <c r="H231" s="24">
        <v>269.0</v>
      </c>
      <c r="I231" s="24">
        <v>23.0</v>
      </c>
      <c r="J231" s="24">
        <v>0.0</v>
      </c>
      <c r="K231" s="23" t="s">
        <v>27</v>
      </c>
      <c r="L231" s="25">
        <v>41535.5137962963</v>
      </c>
      <c r="M231" s="26" t="s">
        <v>600</v>
      </c>
      <c r="N231" s="26" t="s">
        <v>601</v>
      </c>
      <c r="O231" s="22" t="str">
        <f>HYPERLINK("https://pbs.twimg.com/profile_images/490818322393735168/JiAjPZjv_normal.jpeg","View")</f>
        <v>View</v>
      </c>
      <c r="P231" s="27"/>
    </row>
    <row r="232">
      <c r="A232" s="19">
        <v>42702.58434027778</v>
      </c>
      <c r="B232" s="20" t="str">
        <f>HYPERLINK("https://twitter.com/SandnSpice","@SandnSpice")</f>
        <v>@SandnSpice</v>
      </c>
      <c r="C232" s="21" t="s">
        <v>602</v>
      </c>
      <c r="D232" s="21" t="s">
        <v>603</v>
      </c>
      <c r="E232" s="22" t="str">
        <f>HYPERLINK("https://twitter.com/SandnSpice/status/803237371022032898","803237371022032898")</f>
        <v>803237371022032898</v>
      </c>
      <c r="F232" s="23" t="s">
        <v>602</v>
      </c>
      <c r="G232" s="24">
        <v>3801.0</v>
      </c>
      <c r="H232" s="24">
        <v>3667.0</v>
      </c>
      <c r="I232" s="24">
        <v>2.0</v>
      </c>
      <c r="J232" s="24">
        <v>0.0</v>
      </c>
      <c r="K232" s="23" t="s">
        <v>27</v>
      </c>
      <c r="L232" s="25">
        <v>42258.622465277775</v>
      </c>
      <c r="M232" s="26" t="s">
        <v>604</v>
      </c>
      <c r="N232" s="26" t="s">
        <v>605</v>
      </c>
      <c r="O232" s="22" t="str">
        <f>HYPERLINK("https://pbs.twimg.com/profile_images/655007830315896832/Q56ZXRcY_normal.jpg","View")</f>
        <v>View</v>
      </c>
      <c r="P232" s="27"/>
    </row>
    <row r="233">
      <c r="A233" s="19">
        <v>42702.58719907407</v>
      </c>
      <c r="B233" s="20" t="str">
        <f>HYPERLINK("https://twitter.com/Chris_and_Rico","@Chris_and_Rico")</f>
        <v>@Chris_and_Rico</v>
      </c>
      <c r="C233" s="21" t="s">
        <v>606</v>
      </c>
      <c r="D233" s="21" t="s">
        <v>607</v>
      </c>
      <c r="E233" s="22" t="str">
        <f>HYPERLINK("https://twitter.com/Chris_and_Rico/status/803238407451262976","803238407451262976")</f>
        <v>803238407451262976</v>
      </c>
      <c r="F233" s="23" t="s">
        <v>69</v>
      </c>
      <c r="G233" s="24">
        <v>3248.0</v>
      </c>
      <c r="H233" s="24">
        <v>1835.0</v>
      </c>
      <c r="I233" s="24">
        <v>0.0</v>
      </c>
      <c r="J233" s="24">
        <v>0.0</v>
      </c>
      <c r="K233" s="23" t="s">
        <v>27</v>
      </c>
      <c r="L233" s="25">
        <v>42515.46016203704</v>
      </c>
      <c r="M233" s="26" t="s">
        <v>55</v>
      </c>
      <c r="N233" s="26" t="s">
        <v>608</v>
      </c>
      <c r="O233" s="22" t="str">
        <f>HYPERLINK("https://pbs.twimg.com/profile_images/800775928687292417/c71nQ-DW_normal.jpg","View")</f>
        <v>View</v>
      </c>
      <c r="P233" s="27"/>
    </row>
    <row r="234">
      <c r="A234" s="19">
        <v>42702.58753472222</v>
      </c>
      <c r="B234" s="20" t="str">
        <f>HYPERLINK("https://twitter.com/annafbeswick","@annafbeswick")</f>
        <v>@annafbeswick</v>
      </c>
      <c r="C234" s="21" t="s">
        <v>609</v>
      </c>
      <c r="D234" s="21" t="s">
        <v>586</v>
      </c>
      <c r="E234" s="22" t="str">
        <f>HYPERLINK("https://twitter.com/annafbeswick/status/803238530365456385","803238530365456385")</f>
        <v>803238530365456385</v>
      </c>
      <c r="F234" s="23" t="s">
        <v>37</v>
      </c>
      <c r="G234" s="24">
        <v>2289.0</v>
      </c>
      <c r="H234" s="24">
        <v>1187.0</v>
      </c>
      <c r="I234" s="24">
        <v>16.0</v>
      </c>
      <c r="J234" s="24">
        <v>0.0</v>
      </c>
      <c r="K234" s="23" t="s">
        <v>27</v>
      </c>
      <c r="L234" s="25">
        <v>40940.79503472222</v>
      </c>
      <c r="M234" s="28"/>
      <c r="N234" s="26" t="s">
        <v>610</v>
      </c>
      <c r="O234" s="22" t="str">
        <f>HYPERLINK("https://pbs.twimg.com/profile_images/684463670760353793/GXSr5eoK_normal.png","View")</f>
        <v>View</v>
      </c>
      <c r="P234" s="27"/>
    </row>
    <row r="235">
      <c r="A235" s="19">
        <v>42702.61194444445</v>
      </c>
      <c r="B235" s="20" t="str">
        <f>HYPERLINK("https://twitter.com/PeterMLittle","@PeterMLittle")</f>
        <v>@PeterMLittle</v>
      </c>
      <c r="C235" s="21" t="s">
        <v>611</v>
      </c>
      <c r="D235" s="21" t="s">
        <v>586</v>
      </c>
      <c r="E235" s="22" t="str">
        <f>HYPERLINK("https://twitter.com/PeterMLittle/status/803247373346488322","803247373346488322")</f>
        <v>803247373346488322</v>
      </c>
      <c r="F235" s="23" t="s">
        <v>37</v>
      </c>
      <c r="G235" s="24">
        <v>241.0</v>
      </c>
      <c r="H235" s="24">
        <v>567.0</v>
      </c>
      <c r="I235" s="24">
        <v>16.0</v>
      </c>
      <c r="J235" s="24">
        <v>0.0</v>
      </c>
      <c r="K235" s="23" t="s">
        <v>27</v>
      </c>
      <c r="L235" s="25">
        <v>40787.84758101852</v>
      </c>
      <c r="M235" s="26" t="s">
        <v>612</v>
      </c>
      <c r="N235" s="26" t="s">
        <v>613</v>
      </c>
      <c r="O235" s="22" t="str">
        <f>HYPERLINK("https://pbs.twimg.com/profile_images/798249774793232384/yl4MZO8p_normal.jpg","View")</f>
        <v>View</v>
      </c>
      <c r="P235" s="27"/>
    </row>
    <row r="236">
      <c r="A236" s="19">
        <v>42702.61846064815</v>
      </c>
      <c r="B236" s="20" t="str">
        <f>HYPERLINK("https://twitter.com/followthephins","@followthephins")</f>
        <v>@followthephins</v>
      </c>
      <c r="C236" s="21" t="s">
        <v>614</v>
      </c>
      <c r="D236" s="21" t="s">
        <v>586</v>
      </c>
      <c r="E236" s="22" t="str">
        <f>HYPERLINK("https://twitter.com/followthephins/status/803249736321028100","803249736321028100")</f>
        <v>803249736321028100</v>
      </c>
      <c r="F236" s="23" t="s">
        <v>615</v>
      </c>
      <c r="G236" s="24">
        <v>55.0</v>
      </c>
      <c r="H236" s="24">
        <v>46.0</v>
      </c>
      <c r="I236" s="24">
        <v>16.0</v>
      </c>
      <c r="J236" s="24">
        <v>0.0</v>
      </c>
      <c r="K236" s="23" t="s">
        <v>27</v>
      </c>
      <c r="L236" s="25">
        <v>42633.10534722223</v>
      </c>
      <c r="M236" s="28"/>
      <c r="N236" s="28"/>
      <c r="O236" s="22" t="str">
        <f>HYPERLINK("https://pbs.twimg.com/profile_images/778046062971846656/8vbR0CZd_normal.jpg","View")</f>
        <v>View</v>
      </c>
      <c r="P236" s="27"/>
    </row>
    <row r="237">
      <c r="A237" s="19">
        <v>42702.61908564815</v>
      </c>
      <c r="B237" s="20" t="str">
        <f>HYPERLINK("https://twitter.com/rafamolinalele","@rafamolinalele")</f>
        <v>@rafamolinalele</v>
      </c>
      <c r="C237" s="21" t="s">
        <v>616</v>
      </c>
      <c r="D237" s="21" t="s">
        <v>617</v>
      </c>
      <c r="E237" s="22" t="str">
        <f>HYPERLINK("https://twitter.com/rafamolinalele/status/803249962138083328","803249962138083328")</f>
        <v>803249962138083328</v>
      </c>
      <c r="F237" s="23" t="s">
        <v>81</v>
      </c>
      <c r="G237" s="24">
        <v>877.0</v>
      </c>
      <c r="H237" s="24">
        <v>339.0</v>
      </c>
      <c r="I237" s="24">
        <v>0.0</v>
      </c>
      <c r="J237" s="24">
        <v>4.0</v>
      </c>
      <c r="K237" s="23" t="s">
        <v>27</v>
      </c>
      <c r="L237" s="25">
        <v>41630.576053240744</v>
      </c>
      <c r="M237" s="26" t="s">
        <v>618</v>
      </c>
      <c r="N237" s="26" t="s">
        <v>619</v>
      </c>
      <c r="O237" s="22" t="str">
        <f>HYPERLINK("https://pbs.twimg.com/profile_images/781113650266374144/OCyo00c5_normal.jpg","View")</f>
        <v>View</v>
      </c>
      <c r="P237" s="27"/>
    </row>
    <row r="238">
      <c r="A238" s="19">
        <v>42702.620046296295</v>
      </c>
      <c r="B238" s="20" t="str">
        <f>HYPERLINK("https://twitter.com/auto_reisen","@auto_reisen")</f>
        <v>@auto_reisen</v>
      </c>
      <c r="C238" s="21" t="s">
        <v>479</v>
      </c>
      <c r="D238" s="21" t="s">
        <v>620</v>
      </c>
      <c r="E238" s="22" t="str">
        <f>HYPERLINK("https://twitter.com/auto_reisen/status/803250309074063361","803250309074063361")</f>
        <v>803250309074063361</v>
      </c>
      <c r="F238" s="23" t="s">
        <v>37</v>
      </c>
      <c r="G238" s="24">
        <v>64.0</v>
      </c>
      <c r="H238" s="24">
        <v>12.0</v>
      </c>
      <c r="I238" s="24">
        <v>0.0</v>
      </c>
      <c r="J238" s="24">
        <v>0.0</v>
      </c>
      <c r="K238" s="23" t="s">
        <v>27</v>
      </c>
      <c r="L238" s="25">
        <v>40229.94081018519</v>
      </c>
      <c r="M238" s="26" t="s">
        <v>305</v>
      </c>
      <c r="N238" s="26" t="s">
        <v>481</v>
      </c>
      <c r="O238" s="22" t="str">
        <f>HYPERLINK("https://pbs.twimg.com/profile_images/753537830752845824/CAcHgdYu_normal.jpg","View")</f>
        <v>View</v>
      </c>
      <c r="P238" s="27"/>
    </row>
    <row r="239">
      <c r="A239" s="19">
        <v>42702.62240740741</v>
      </c>
      <c r="B239" s="20" t="str">
        <f>HYPERLINK("https://twitter.com/zuemartinez","@zuemartinez")</f>
        <v>@zuemartinez</v>
      </c>
      <c r="C239" s="21" t="s">
        <v>621</v>
      </c>
      <c r="D239" s="21" t="s">
        <v>375</v>
      </c>
      <c r="E239" s="22" t="str">
        <f>HYPERLINK("https://twitter.com/zuemartinez/status/803251166624628736","803251166624628736")</f>
        <v>803251166624628736</v>
      </c>
      <c r="F239" s="23" t="s">
        <v>41</v>
      </c>
      <c r="G239" s="24">
        <v>175.0</v>
      </c>
      <c r="H239" s="24">
        <v>451.0</v>
      </c>
      <c r="I239" s="24">
        <v>8.0</v>
      </c>
      <c r="J239" s="24">
        <v>0.0</v>
      </c>
      <c r="K239" s="23" t="s">
        <v>27</v>
      </c>
      <c r="L239" s="25">
        <v>41021.03800925926</v>
      </c>
      <c r="M239" s="26" t="s">
        <v>622</v>
      </c>
      <c r="N239" s="28"/>
      <c r="O239" s="22" t="str">
        <f>HYPERLINK("https://pbs.twimg.com/profile_images/558521856152862720/-u4IZONX_normal.jpeg","View")</f>
        <v>View</v>
      </c>
      <c r="P239" s="27"/>
    </row>
    <row r="240">
      <c r="A240" s="19">
        <v>42702.626539351855</v>
      </c>
      <c r="B240" s="20" t="str">
        <f>HYPERLINK("https://twitter.com/seavive","@seavive")</f>
        <v>@seavive</v>
      </c>
      <c r="C240" s="21" t="s">
        <v>623</v>
      </c>
      <c r="D240" s="21" t="s">
        <v>586</v>
      </c>
      <c r="E240" s="22" t="str">
        <f>HYPERLINK("https://twitter.com/seavive/status/803252664649793537","803252664649793537")</f>
        <v>803252664649793537</v>
      </c>
      <c r="F240" s="23" t="s">
        <v>64</v>
      </c>
      <c r="G240" s="24">
        <v>243.0</v>
      </c>
      <c r="H240" s="24">
        <v>370.0</v>
      </c>
      <c r="I240" s="24">
        <v>16.0</v>
      </c>
      <c r="J240" s="24">
        <v>0.0</v>
      </c>
      <c r="K240" s="23" t="s">
        <v>27</v>
      </c>
      <c r="L240" s="25">
        <v>40885.69633101852</v>
      </c>
      <c r="M240" s="26" t="s">
        <v>624</v>
      </c>
      <c r="N240" s="26" t="s">
        <v>625</v>
      </c>
      <c r="O240" s="22" t="str">
        <f>HYPERLINK("https://pbs.twimg.com/profile_images/1720161763/lmoprofile_normal.jpg","View")</f>
        <v>View</v>
      </c>
      <c r="P240" s="27"/>
    </row>
    <row r="241">
      <c r="A241" s="19">
        <v>42702.626539351855</v>
      </c>
      <c r="B241" s="20" t="str">
        <f>HYPERLINK("https://twitter.com/OrcaSOS","@OrcaSOS")</f>
        <v>@OrcaSOS</v>
      </c>
      <c r="C241" s="21" t="s">
        <v>626</v>
      </c>
      <c r="D241" s="21" t="s">
        <v>586</v>
      </c>
      <c r="E241" s="22" t="str">
        <f>HYPERLINK("https://twitter.com/OrcaSOS/status/803252664662257664","803252664662257664")</f>
        <v>803252664662257664</v>
      </c>
      <c r="F241" s="23" t="s">
        <v>64</v>
      </c>
      <c r="G241" s="24">
        <v>31007.0</v>
      </c>
      <c r="H241" s="24">
        <v>13434.0</v>
      </c>
      <c r="I241" s="24">
        <v>16.0</v>
      </c>
      <c r="J241" s="24">
        <v>0.0</v>
      </c>
      <c r="K241" s="23" t="s">
        <v>27</v>
      </c>
      <c r="L241" s="25">
        <v>40956.65982638889</v>
      </c>
      <c r="M241" s="26" t="s">
        <v>627</v>
      </c>
      <c r="N241" s="26" t="s">
        <v>628</v>
      </c>
      <c r="O241" s="22" t="str">
        <f>HYPERLINK("https://pbs.twimg.com/profile_images/3439775013/30f157354cfc25db83d4ca61752059e7_normal.jpeg","View")</f>
        <v>View</v>
      </c>
      <c r="P241" s="27"/>
    </row>
    <row r="242">
      <c r="A242" s="19">
        <v>42702.626539351855</v>
      </c>
      <c r="B242" s="20" t="str">
        <f>HYPERLINK("https://twitter.com/DolphinsSOS","@DolphinsSOS")</f>
        <v>@DolphinsSOS</v>
      </c>
      <c r="C242" s="21" t="s">
        <v>629</v>
      </c>
      <c r="D242" s="21" t="s">
        <v>586</v>
      </c>
      <c r="E242" s="22" t="str">
        <f>HYPERLINK("https://twitter.com/DolphinsSOS/status/803252664867950592","803252664867950592")</f>
        <v>803252664867950592</v>
      </c>
      <c r="F242" s="23" t="s">
        <v>64</v>
      </c>
      <c r="G242" s="24">
        <v>4502.0</v>
      </c>
      <c r="H242" s="24">
        <v>2681.0</v>
      </c>
      <c r="I242" s="24">
        <v>16.0</v>
      </c>
      <c r="J242" s="24">
        <v>0.0</v>
      </c>
      <c r="K242" s="23" t="s">
        <v>27</v>
      </c>
      <c r="L242" s="25">
        <v>40914.710694444446</v>
      </c>
      <c r="M242" s="26" t="s">
        <v>630</v>
      </c>
      <c r="N242" s="26" t="s">
        <v>631</v>
      </c>
      <c r="O242" s="22" t="str">
        <f>HYPERLINK("https://pbs.twimg.com/profile_images/561622713362419712/FFp_uMNR_normal.jpeg","View")</f>
        <v>View</v>
      </c>
      <c r="P242" s="27"/>
    </row>
    <row r="243">
      <c r="A243" s="19">
        <v>42702.6290625</v>
      </c>
      <c r="B243" s="20" t="str">
        <f>HYPERLINK("https://twitter.com/BritsvisitSpain","@BritsvisitSpain")</f>
        <v>@BritsvisitSpain</v>
      </c>
      <c r="C243" s="21" t="s">
        <v>632</v>
      </c>
      <c r="D243" s="21" t="s">
        <v>633</v>
      </c>
      <c r="E243" s="22" t="str">
        <f>HYPERLINK("https://twitter.com/BritsvisitSpain/status/803253580283215872","803253580283215872")</f>
        <v>803253580283215872</v>
      </c>
      <c r="F243" s="23" t="s">
        <v>401</v>
      </c>
      <c r="G243" s="24">
        <v>2639.0</v>
      </c>
      <c r="H243" s="24">
        <v>823.0</v>
      </c>
      <c r="I243" s="24">
        <v>0.0</v>
      </c>
      <c r="J243" s="24">
        <v>1.0</v>
      </c>
      <c r="K243" s="23" t="s">
        <v>27</v>
      </c>
      <c r="L243" s="25">
        <v>41573.53288194444</v>
      </c>
      <c r="M243" s="26" t="s">
        <v>203</v>
      </c>
      <c r="N243" s="26" t="s">
        <v>634</v>
      </c>
      <c r="O243" s="22" t="str">
        <f>HYPERLINK("https://pbs.twimg.com/profile_images/798114949868515328/3yyppGDr_normal.jpg","View")</f>
        <v>View</v>
      </c>
      <c r="P243" s="27"/>
    </row>
    <row r="244">
      <c r="A244" s="19">
        <v>42702.630949074075</v>
      </c>
      <c r="B244" s="20" t="str">
        <f>HYPERLINK("https://twitter.com/Spanish_Newcast","@Spanish_Newcast")</f>
        <v>@Spanish_Newcast</v>
      </c>
      <c r="C244" s="21" t="s">
        <v>635</v>
      </c>
      <c r="D244" s="21" t="s">
        <v>636</v>
      </c>
      <c r="E244" s="22" t="str">
        <f>HYPERLINK("https://twitter.com/Spanish_Newcast/status/803254262197145600","803254262197145600")</f>
        <v>803254262197145600</v>
      </c>
      <c r="F244" s="23" t="s">
        <v>69</v>
      </c>
      <c r="G244" s="24">
        <v>2439.0</v>
      </c>
      <c r="H244" s="24">
        <v>2056.0</v>
      </c>
      <c r="I244" s="24">
        <v>0.0</v>
      </c>
      <c r="J244" s="24">
        <v>0.0</v>
      </c>
      <c r="K244" s="23" t="s">
        <v>27</v>
      </c>
      <c r="L244" s="25">
        <v>40619.77680555556</v>
      </c>
      <c r="M244" s="26" t="s">
        <v>637</v>
      </c>
      <c r="N244" s="26" t="s">
        <v>638</v>
      </c>
      <c r="O244" s="22" t="str">
        <f>HYPERLINK("https://pbs.twimg.com/profile_images/595145686468960256/-uStMLPW_normal.jpg","View")</f>
        <v>View</v>
      </c>
      <c r="P244" s="27"/>
    </row>
    <row r="245">
      <c r="A245" s="19">
        <v>42702.645000000004</v>
      </c>
      <c r="B245" s="20" t="str">
        <f>HYPERLINK("https://twitter.com/kristofberg","@kristofberg")</f>
        <v>@kristofberg</v>
      </c>
      <c r="C245" s="21" t="s">
        <v>639</v>
      </c>
      <c r="D245" s="21" t="s">
        <v>640</v>
      </c>
      <c r="E245" s="22" t="str">
        <f>HYPERLINK("https://twitter.com/kristofberg/status/803259354313084928","803259354313084928")</f>
        <v>803259354313084928</v>
      </c>
      <c r="F245" s="23" t="s">
        <v>37</v>
      </c>
      <c r="G245" s="24">
        <v>713.0</v>
      </c>
      <c r="H245" s="24">
        <v>728.0</v>
      </c>
      <c r="I245" s="24">
        <v>3.0</v>
      </c>
      <c r="J245" s="24">
        <v>4.0</v>
      </c>
      <c r="K245" s="23" t="s">
        <v>27</v>
      </c>
      <c r="L245" s="25">
        <v>39716.30511574074</v>
      </c>
      <c r="M245" s="26" t="s">
        <v>641</v>
      </c>
      <c r="N245" s="26" t="s">
        <v>642</v>
      </c>
      <c r="O245" s="22" t="str">
        <f>HYPERLINK("https://pbs.twimg.com/profile_images/553549712653967363/DFCnsQyD_normal.jpeg","View")</f>
        <v>View</v>
      </c>
      <c r="P245" s="27"/>
    </row>
    <row r="246">
      <c r="A246" s="19">
        <v>42702.65662037037</v>
      </c>
      <c r="B246" s="20" t="str">
        <f>HYPERLINK("https://twitter.com/ChicodeHojalata","@ChicodeHojalata")</f>
        <v>@ChicodeHojalata</v>
      </c>
      <c r="C246" s="21" t="s">
        <v>643</v>
      </c>
      <c r="D246" s="21" t="s">
        <v>644</v>
      </c>
      <c r="E246" s="22" t="str">
        <f>HYPERLINK("https://twitter.com/ChicodeHojalata/status/803263563850620928","803263563850620928")</f>
        <v>803263563850620928</v>
      </c>
      <c r="F246" s="23" t="s">
        <v>81</v>
      </c>
      <c r="G246" s="24">
        <v>291.0</v>
      </c>
      <c r="H246" s="24">
        <v>373.0</v>
      </c>
      <c r="I246" s="24">
        <v>0.0</v>
      </c>
      <c r="J246" s="24">
        <v>3.0</v>
      </c>
      <c r="K246" s="23" t="s">
        <v>27</v>
      </c>
      <c r="L246" s="25">
        <v>40765.80506944445</v>
      </c>
      <c r="M246" s="26" t="s">
        <v>109</v>
      </c>
      <c r="N246" s="28"/>
      <c r="O246" s="22" t="str">
        <f>HYPERLINK("https://pbs.twimg.com/profile_images/594849217207783424/B0s_fVfD_normal.png","View")</f>
        <v>View</v>
      </c>
      <c r="P246" s="27"/>
    </row>
    <row r="247">
      <c r="A247" s="19">
        <v>42702.66083333333</v>
      </c>
      <c r="B247" s="20" t="str">
        <f t="shared" ref="B247:B249" si="24">HYPERLINK("https://twitter.com/elastword","@elastword")</f>
        <v>@elastword</v>
      </c>
      <c r="C247" s="21" t="s">
        <v>253</v>
      </c>
      <c r="D247" s="21" t="s">
        <v>645</v>
      </c>
      <c r="E247" s="22" t="str">
        <f>HYPERLINK("https://twitter.com/elastword/status/803265091219099652","803265091219099652")</f>
        <v>803265091219099652</v>
      </c>
      <c r="F247" s="23" t="s">
        <v>81</v>
      </c>
      <c r="G247" s="24">
        <v>595.0</v>
      </c>
      <c r="H247" s="24">
        <v>417.0</v>
      </c>
      <c r="I247" s="24">
        <v>0.0</v>
      </c>
      <c r="J247" s="24">
        <v>0.0</v>
      </c>
      <c r="K247" s="23" t="s">
        <v>27</v>
      </c>
      <c r="L247" s="25">
        <v>40520.91306712963</v>
      </c>
      <c r="M247" s="26" t="s">
        <v>255</v>
      </c>
      <c r="N247" s="26" t="s">
        <v>256</v>
      </c>
      <c r="O247" s="22" t="str">
        <f t="shared" ref="O247:O249" si="25">HYPERLINK("https://pbs.twimg.com/profile_images/779785036996415489/a2nilB1d_normal.jpg","View")</f>
        <v>View</v>
      </c>
      <c r="P247" s="27" t="str">
        <f t="shared" ref="P247:P250" si="26">HYPERLINK("https://ctrlq.org/maps/address/#29.011444,-13.779944","Map")</f>
        <v>#ERROR!</v>
      </c>
    </row>
    <row r="248">
      <c r="A248" s="19">
        <v>42702.66396990741</v>
      </c>
      <c r="B248" s="20" t="str">
        <f t="shared" si="24"/>
        <v>@elastword</v>
      </c>
      <c r="C248" s="21" t="s">
        <v>253</v>
      </c>
      <c r="D248" s="21" t="s">
        <v>646</v>
      </c>
      <c r="E248" s="22" t="str">
        <f>HYPERLINK("https://twitter.com/elastword/status/803266227326033920","803266227326033920")</f>
        <v>803266227326033920</v>
      </c>
      <c r="F248" s="23" t="s">
        <v>81</v>
      </c>
      <c r="G248" s="24">
        <v>595.0</v>
      </c>
      <c r="H248" s="24">
        <v>417.0</v>
      </c>
      <c r="I248" s="24">
        <v>0.0</v>
      </c>
      <c r="J248" s="24">
        <v>2.0</v>
      </c>
      <c r="K248" s="23" t="s">
        <v>27</v>
      </c>
      <c r="L248" s="25">
        <v>40520.91306712963</v>
      </c>
      <c r="M248" s="26" t="s">
        <v>255</v>
      </c>
      <c r="N248" s="26" t="s">
        <v>256</v>
      </c>
      <c r="O248" s="22" t="str">
        <f t="shared" si="25"/>
        <v>View</v>
      </c>
      <c r="P248" s="27" t="str">
        <f t="shared" si="26"/>
        <v>#ERROR!</v>
      </c>
    </row>
    <row r="249">
      <c r="A249" s="19">
        <v>42702.6653125</v>
      </c>
      <c r="B249" s="20" t="str">
        <f t="shared" si="24"/>
        <v>@elastword</v>
      </c>
      <c r="C249" s="21" t="s">
        <v>253</v>
      </c>
      <c r="D249" s="21" t="s">
        <v>647</v>
      </c>
      <c r="E249" s="22" t="str">
        <f>HYPERLINK("https://twitter.com/elastword/status/803266716478439424","803266716478439424")</f>
        <v>803266716478439424</v>
      </c>
      <c r="F249" s="23" t="s">
        <v>81</v>
      </c>
      <c r="G249" s="24">
        <v>595.0</v>
      </c>
      <c r="H249" s="24">
        <v>417.0</v>
      </c>
      <c r="I249" s="24">
        <v>0.0</v>
      </c>
      <c r="J249" s="24">
        <v>1.0</v>
      </c>
      <c r="K249" s="23" t="s">
        <v>27</v>
      </c>
      <c r="L249" s="25">
        <v>40520.91306712963</v>
      </c>
      <c r="M249" s="26" t="s">
        <v>255</v>
      </c>
      <c r="N249" s="26" t="s">
        <v>256</v>
      </c>
      <c r="O249" s="22" t="str">
        <f t="shared" si="25"/>
        <v>View</v>
      </c>
      <c r="P249" s="27" t="str">
        <f t="shared" si="26"/>
        <v>#ERROR!</v>
      </c>
    </row>
    <row r="250">
      <c r="A250" s="19">
        <v>42702.66638888889</v>
      </c>
      <c r="B250" s="20" t="str">
        <f>HYPERLINK("https://twitter.com/bethgarrotxa","@bethgarrotxa")</f>
        <v>@bethgarrotxa</v>
      </c>
      <c r="C250" s="21" t="s">
        <v>648</v>
      </c>
      <c r="D250" s="21" t="s">
        <v>649</v>
      </c>
      <c r="E250" s="22" t="str">
        <f>HYPERLINK("https://twitter.com/bethgarrotxa/status/803267105869033472","803267105869033472")</f>
        <v>803267105869033472</v>
      </c>
      <c r="F250" s="23" t="s">
        <v>81</v>
      </c>
      <c r="G250" s="24">
        <v>189.0</v>
      </c>
      <c r="H250" s="24">
        <v>168.0</v>
      </c>
      <c r="I250" s="24">
        <v>0.0</v>
      </c>
      <c r="J250" s="24">
        <v>0.0</v>
      </c>
      <c r="K250" s="23" t="s">
        <v>27</v>
      </c>
      <c r="L250" s="25">
        <v>40609.69993055556</v>
      </c>
      <c r="M250" s="26" t="s">
        <v>455</v>
      </c>
      <c r="N250" s="26" t="s">
        <v>650</v>
      </c>
      <c r="O250" s="22" t="str">
        <f>HYPERLINK("https://pbs.twimg.com/profile_images/2784461956/37b6d95f5bcac37b93611f81029dd365_normal.jpeg","View")</f>
        <v>View</v>
      </c>
      <c r="P250" s="27" t="str">
        <f t="shared" si="26"/>
        <v>#ERROR!</v>
      </c>
    </row>
    <row r="251">
      <c r="A251" s="19">
        <v>42702.668067129634</v>
      </c>
      <c r="B251" s="20" t="str">
        <f>HYPERLINK("https://twitter.com/bermaxo09","@bermaxo09")</f>
        <v>@bermaxo09</v>
      </c>
      <c r="C251" s="21" t="s">
        <v>284</v>
      </c>
      <c r="D251" s="21" t="s">
        <v>651</v>
      </c>
      <c r="E251" s="22" t="str">
        <f>HYPERLINK("https://twitter.com/bermaxo09/status/803267712919207936","803267712919207936")</f>
        <v>803267712919207936</v>
      </c>
      <c r="F251" s="23" t="s">
        <v>37</v>
      </c>
      <c r="G251" s="24">
        <v>193.0</v>
      </c>
      <c r="H251" s="24">
        <v>196.0</v>
      </c>
      <c r="I251" s="24">
        <v>0.0</v>
      </c>
      <c r="J251" s="24">
        <v>7.0</v>
      </c>
      <c r="K251" s="23" t="s">
        <v>27</v>
      </c>
      <c r="L251" s="25">
        <v>42689.441516203704</v>
      </c>
      <c r="M251" s="26" t="s">
        <v>109</v>
      </c>
      <c r="N251" s="26" t="s">
        <v>286</v>
      </c>
      <c r="O251" s="22" t="str">
        <f>HYPERLINK("https://pbs.twimg.com/profile_images/798476790478073856/iOD0HIRa_normal.jpg","View")</f>
        <v>View</v>
      </c>
      <c r="P251" s="27"/>
    </row>
    <row r="252">
      <c r="A252" s="19">
        <v>42702.66815972222</v>
      </c>
      <c r="B252" s="20" t="str">
        <f>HYPERLINK("https://twitter.com/bethgarrotxa","@bethgarrotxa")</f>
        <v>@bethgarrotxa</v>
      </c>
      <c r="C252" s="21" t="s">
        <v>648</v>
      </c>
      <c r="D252" s="21" t="s">
        <v>652</v>
      </c>
      <c r="E252" s="22" t="str">
        <f>HYPERLINK("https://twitter.com/bethgarrotxa/status/803267745366167554","803267745366167554")</f>
        <v>803267745366167554</v>
      </c>
      <c r="F252" s="23" t="s">
        <v>81</v>
      </c>
      <c r="G252" s="24">
        <v>189.0</v>
      </c>
      <c r="H252" s="24">
        <v>168.0</v>
      </c>
      <c r="I252" s="24">
        <v>0.0</v>
      </c>
      <c r="J252" s="24">
        <v>0.0</v>
      </c>
      <c r="K252" s="23" t="s">
        <v>27</v>
      </c>
      <c r="L252" s="25">
        <v>40609.69993055556</v>
      </c>
      <c r="M252" s="26" t="s">
        <v>455</v>
      </c>
      <c r="N252" s="26" t="s">
        <v>650</v>
      </c>
      <c r="O252" s="22" t="str">
        <f>HYPERLINK("https://pbs.twimg.com/profile_images/2784461956/37b6d95f5bcac37b93611f81029dd365_normal.jpeg","View")</f>
        <v>View</v>
      </c>
      <c r="P252" s="27" t="str">
        <f t="shared" ref="P252:P254" si="27">HYPERLINK("https://ctrlq.org/maps/address/#28.12626311,-17.25753823","Map")</f>
        <v>#ERROR!</v>
      </c>
    </row>
    <row r="253">
      <c r="A253" s="19">
        <v>42702.66863425926</v>
      </c>
      <c r="B253" s="20" t="str">
        <f t="shared" ref="B253:B254" si="28">HYPERLINK("https://twitter.com/elastword","@elastword")</f>
        <v>@elastword</v>
      </c>
      <c r="C253" s="21" t="s">
        <v>253</v>
      </c>
      <c r="D253" s="21" t="s">
        <v>653</v>
      </c>
      <c r="E253" s="22" t="str">
        <f>HYPERLINK("https://twitter.com/elastword/status/803267920000352257","803267920000352257")</f>
        <v>803267920000352257</v>
      </c>
      <c r="F253" s="23" t="s">
        <v>81</v>
      </c>
      <c r="G253" s="24">
        <v>595.0</v>
      </c>
      <c r="H253" s="24">
        <v>417.0</v>
      </c>
      <c r="I253" s="24">
        <v>0.0</v>
      </c>
      <c r="J253" s="24">
        <v>1.0</v>
      </c>
      <c r="K253" s="23" t="s">
        <v>27</v>
      </c>
      <c r="L253" s="25">
        <v>40520.91306712963</v>
      </c>
      <c r="M253" s="26" t="s">
        <v>255</v>
      </c>
      <c r="N253" s="26" t="s">
        <v>256</v>
      </c>
      <c r="O253" s="22" t="str">
        <f t="shared" ref="O253:O254" si="29">HYPERLINK("https://pbs.twimg.com/profile_images/779785036996415489/a2nilB1d_normal.jpg","View")</f>
        <v>View</v>
      </c>
      <c r="P253" s="27" t="str">
        <f t="shared" si="27"/>
        <v>#ERROR!</v>
      </c>
    </row>
    <row r="254">
      <c r="A254" s="19">
        <v>42702.66993055555</v>
      </c>
      <c r="B254" s="20" t="str">
        <f t="shared" si="28"/>
        <v>@elastword</v>
      </c>
      <c r="C254" s="21" t="s">
        <v>253</v>
      </c>
      <c r="D254" s="21" t="s">
        <v>654</v>
      </c>
      <c r="E254" s="22" t="str">
        <f>HYPERLINK("https://twitter.com/elastword/status/803268388588048384","803268388588048384")</f>
        <v>803268388588048384</v>
      </c>
      <c r="F254" s="23" t="s">
        <v>81</v>
      </c>
      <c r="G254" s="24">
        <v>595.0</v>
      </c>
      <c r="H254" s="24">
        <v>417.0</v>
      </c>
      <c r="I254" s="24">
        <v>0.0</v>
      </c>
      <c r="J254" s="24">
        <v>2.0</v>
      </c>
      <c r="K254" s="23" t="s">
        <v>27</v>
      </c>
      <c r="L254" s="25">
        <v>40520.91306712963</v>
      </c>
      <c r="M254" s="26" t="s">
        <v>255</v>
      </c>
      <c r="N254" s="26" t="s">
        <v>256</v>
      </c>
      <c r="O254" s="22" t="str">
        <f t="shared" si="29"/>
        <v>View</v>
      </c>
      <c r="P254" s="27" t="str">
        <f t="shared" si="27"/>
        <v>#ERROR!</v>
      </c>
    </row>
    <row r="255">
      <c r="A255" s="19">
        <v>42702.67018518518</v>
      </c>
      <c r="B255" s="20" t="str">
        <f>HYPERLINK("https://twitter.com/bermaxo09","@bermaxo09")</f>
        <v>@bermaxo09</v>
      </c>
      <c r="C255" s="21" t="s">
        <v>284</v>
      </c>
      <c r="D255" s="21" t="s">
        <v>655</v>
      </c>
      <c r="E255" s="22" t="str">
        <f>HYPERLINK("https://twitter.com/bermaxo09/status/803268480879460352","803268480879460352")</f>
        <v>803268480879460352</v>
      </c>
      <c r="F255" s="23" t="s">
        <v>37</v>
      </c>
      <c r="G255" s="24">
        <v>193.0</v>
      </c>
      <c r="H255" s="24">
        <v>196.0</v>
      </c>
      <c r="I255" s="24">
        <v>0.0</v>
      </c>
      <c r="J255" s="24">
        <v>3.0</v>
      </c>
      <c r="K255" s="23" t="s">
        <v>27</v>
      </c>
      <c r="L255" s="25">
        <v>42689.441516203704</v>
      </c>
      <c r="M255" s="26" t="s">
        <v>109</v>
      </c>
      <c r="N255" s="26" t="s">
        <v>286</v>
      </c>
      <c r="O255" s="22" t="str">
        <f>HYPERLINK("https://pbs.twimg.com/profile_images/798476790478073856/iOD0HIRa_normal.jpg","View")</f>
        <v>View</v>
      </c>
      <c r="P255" s="27"/>
    </row>
    <row r="256">
      <c r="A256" s="19">
        <v>42702.67152777778</v>
      </c>
      <c r="B256" s="20" t="str">
        <f>HYPERLINK("https://twitter.com/elastword","@elastword")</f>
        <v>@elastword</v>
      </c>
      <c r="C256" s="21" t="s">
        <v>253</v>
      </c>
      <c r="D256" s="21" t="s">
        <v>656</v>
      </c>
      <c r="E256" s="22" t="str">
        <f>HYPERLINK("https://twitter.com/elastword/status/803268968278593536","803268968278593536")</f>
        <v>803268968278593536</v>
      </c>
      <c r="F256" s="23" t="s">
        <v>81</v>
      </c>
      <c r="G256" s="24">
        <v>595.0</v>
      </c>
      <c r="H256" s="24">
        <v>417.0</v>
      </c>
      <c r="I256" s="24">
        <v>0.0</v>
      </c>
      <c r="J256" s="24">
        <v>5.0</v>
      </c>
      <c r="K256" s="23" t="s">
        <v>27</v>
      </c>
      <c r="L256" s="25">
        <v>40520.91306712963</v>
      </c>
      <c r="M256" s="26" t="s">
        <v>255</v>
      </c>
      <c r="N256" s="26" t="s">
        <v>256</v>
      </c>
      <c r="O256" s="22" t="str">
        <f>HYPERLINK("https://pbs.twimg.com/profile_images/779785036996415489/a2nilB1d_normal.jpg","View")</f>
        <v>View</v>
      </c>
      <c r="P256" s="27" t="str">
        <f>HYPERLINK("https://ctrlq.org/maps/address/#28.93999,-13.81798","Map")</f>
        <v>#ERROR!</v>
      </c>
    </row>
    <row r="257">
      <c r="A257" s="19">
        <v>42702.67185185185</v>
      </c>
      <c r="B257" s="20" t="str">
        <f>HYPERLINK("https://twitter.com/bermaxo09","@bermaxo09")</f>
        <v>@bermaxo09</v>
      </c>
      <c r="C257" s="21" t="s">
        <v>284</v>
      </c>
      <c r="D257" s="21" t="s">
        <v>657</v>
      </c>
      <c r="E257" s="22" t="str">
        <f>HYPERLINK("https://twitter.com/bermaxo09/status/803269086251810820","803269086251810820")</f>
        <v>803269086251810820</v>
      </c>
      <c r="F257" s="23" t="s">
        <v>37</v>
      </c>
      <c r="G257" s="24">
        <v>193.0</v>
      </c>
      <c r="H257" s="24">
        <v>196.0</v>
      </c>
      <c r="I257" s="24">
        <v>1.0</v>
      </c>
      <c r="J257" s="24">
        <v>3.0</v>
      </c>
      <c r="K257" s="23" t="s">
        <v>27</v>
      </c>
      <c r="L257" s="25">
        <v>42689.441516203704</v>
      </c>
      <c r="M257" s="26" t="s">
        <v>109</v>
      </c>
      <c r="N257" s="26" t="s">
        <v>286</v>
      </c>
      <c r="O257" s="22" t="str">
        <f>HYPERLINK("https://pbs.twimg.com/profile_images/798476790478073856/iOD0HIRa_normal.jpg","View")</f>
        <v>View</v>
      </c>
      <c r="P257" s="27"/>
    </row>
    <row r="258">
      <c r="A258" s="19">
        <v>42702.67297453704</v>
      </c>
      <c r="B258" s="20" t="str">
        <f>HYPERLINK("https://twitter.com/elastword","@elastword")</f>
        <v>@elastword</v>
      </c>
      <c r="C258" s="21" t="s">
        <v>253</v>
      </c>
      <c r="D258" s="21" t="s">
        <v>658</v>
      </c>
      <c r="E258" s="22" t="str">
        <f>HYPERLINK("https://twitter.com/elastword/status/803269489685106688","803269489685106688")</f>
        <v>803269489685106688</v>
      </c>
      <c r="F258" s="23" t="s">
        <v>81</v>
      </c>
      <c r="G258" s="24">
        <v>595.0</v>
      </c>
      <c r="H258" s="24">
        <v>417.0</v>
      </c>
      <c r="I258" s="24">
        <v>1.0</v>
      </c>
      <c r="J258" s="24">
        <v>1.0</v>
      </c>
      <c r="K258" s="23" t="s">
        <v>27</v>
      </c>
      <c r="L258" s="25">
        <v>40520.91306712963</v>
      </c>
      <c r="M258" s="26" t="s">
        <v>255</v>
      </c>
      <c r="N258" s="26" t="s">
        <v>256</v>
      </c>
      <c r="O258" s="22" t="str">
        <f>HYPERLINK("https://pbs.twimg.com/profile_images/779785036996415489/a2nilB1d_normal.jpg","View")</f>
        <v>View</v>
      </c>
      <c r="P258" s="27" t="str">
        <f>HYPERLINK("https://ctrlq.org/maps/address/#28.93270253,-13.82929031","Map")</f>
        <v>#ERROR!</v>
      </c>
    </row>
    <row r="259">
      <c r="A259" s="19">
        <v>42702.673668981486</v>
      </c>
      <c r="B259" s="20" t="str">
        <f>HYPERLINK("https://twitter.com/bermaxo09","@bermaxo09")</f>
        <v>@bermaxo09</v>
      </c>
      <c r="C259" s="21" t="s">
        <v>284</v>
      </c>
      <c r="D259" s="21" t="s">
        <v>659</v>
      </c>
      <c r="E259" s="22" t="str">
        <f>HYPERLINK("https://twitter.com/bermaxo09/status/803269741708189696","803269741708189696")</f>
        <v>803269741708189696</v>
      </c>
      <c r="F259" s="23" t="s">
        <v>37</v>
      </c>
      <c r="G259" s="24">
        <v>193.0</v>
      </c>
      <c r="H259" s="24">
        <v>196.0</v>
      </c>
      <c r="I259" s="24">
        <v>1.0</v>
      </c>
      <c r="J259" s="24">
        <v>8.0</v>
      </c>
      <c r="K259" s="23" t="s">
        <v>27</v>
      </c>
      <c r="L259" s="25">
        <v>42689.441516203704</v>
      </c>
      <c r="M259" s="26" t="s">
        <v>109</v>
      </c>
      <c r="N259" s="26" t="s">
        <v>286</v>
      </c>
      <c r="O259" s="22" t="str">
        <f>HYPERLINK("https://pbs.twimg.com/profile_images/798476790478073856/iOD0HIRa_normal.jpg","View")</f>
        <v>View</v>
      </c>
      <c r="P259" s="27"/>
    </row>
    <row r="260">
      <c r="A260" s="19">
        <v>42702.67475694444</v>
      </c>
      <c r="B260" s="20" t="str">
        <f>HYPERLINK("https://twitter.com/elastword","@elastword")</f>
        <v>@elastword</v>
      </c>
      <c r="C260" s="21" t="s">
        <v>253</v>
      </c>
      <c r="D260" s="21" t="s">
        <v>660</v>
      </c>
      <c r="E260" s="22" t="str">
        <f>HYPERLINK("https://twitter.com/elastword/status/803270137411309569","803270137411309569")</f>
        <v>803270137411309569</v>
      </c>
      <c r="F260" s="23" t="s">
        <v>81</v>
      </c>
      <c r="G260" s="24">
        <v>595.0</v>
      </c>
      <c r="H260" s="24">
        <v>417.0</v>
      </c>
      <c r="I260" s="24">
        <v>0.0</v>
      </c>
      <c r="J260" s="24">
        <v>2.0</v>
      </c>
      <c r="K260" s="23" t="s">
        <v>27</v>
      </c>
      <c r="L260" s="25">
        <v>40520.91306712963</v>
      </c>
      <c r="M260" s="26" t="s">
        <v>255</v>
      </c>
      <c r="N260" s="26" t="s">
        <v>256</v>
      </c>
      <c r="O260" s="22" t="str">
        <f>HYPERLINK("https://pbs.twimg.com/profile_images/779785036996415489/a2nilB1d_normal.jpg","View")</f>
        <v>View</v>
      </c>
      <c r="P260" s="27" t="str">
        <f>HYPERLINK("https://ctrlq.org/maps/address/#28.98025438,-13.82996457","Map")</f>
        <v>#ERROR!</v>
      </c>
    </row>
    <row r="261">
      <c r="A261" s="19">
        <v>42702.67966435185</v>
      </c>
      <c r="B261" s="20" t="str">
        <f>HYPERLINK("https://twitter.com/JoanWIP","@JoanWIP")</f>
        <v>@JoanWIP</v>
      </c>
      <c r="C261" s="21" t="s">
        <v>661</v>
      </c>
      <c r="D261" s="21" t="s">
        <v>662</v>
      </c>
      <c r="E261" s="22" t="str">
        <f>HYPERLINK("https://twitter.com/JoanWIP/status/803271916941250560","803271916941250560")</f>
        <v>803271916941250560</v>
      </c>
      <c r="F261" s="23" t="s">
        <v>663</v>
      </c>
      <c r="G261" s="24">
        <v>4117.0</v>
      </c>
      <c r="H261" s="24">
        <v>3962.0</v>
      </c>
      <c r="I261" s="24">
        <v>1.0</v>
      </c>
      <c r="J261" s="24">
        <v>0.0</v>
      </c>
      <c r="K261" s="23" t="s">
        <v>27</v>
      </c>
      <c r="L261" s="25">
        <v>41198.66017361111</v>
      </c>
      <c r="M261" s="26" t="s">
        <v>664</v>
      </c>
      <c r="N261" s="26" t="s">
        <v>665</v>
      </c>
      <c r="O261" s="22" t="str">
        <f>HYPERLINK("https://pbs.twimg.com/profile_images/794686242000486400/jKSYVUV7_normal.jpg","View")</f>
        <v>View</v>
      </c>
      <c r="P261" s="27"/>
    </row>
    <row r="262">
      <c r="A262" s="19">
        <v>42702.68702546296</v>
      </c>
      <c r="B262" s="20" t="str">
        <f>HYPERLINK("https://twitter.com/Mojoayanto","@Mojoayanto")</f>
        <v>@Mojoayanto</v>
      </c>
      <c r="C262" s="21" t="s">
        <v>666</v>
      </c>
      <c r="D262" s="21" t="s">
        <v>667</v>
      </c>
      <c r="E262" s="22" t="str">
        <f>HYPERLINK("https://twitter.com/Mojoayanto/status/803274582182367232","803274582182367232")</f>
        <v>803274582182367232</v>
      </c>
      <c r="F262" s="23" t="s">
        <v>41</v>
      </c>
      <c r="G262" s="24">
        <v>290.0</v>
      </c>
      <c r="H262" s="24">
        <v>1012.0</v>
      </c>
      <c r="I262" s="24">
        <v>0.0</v>
      </c>
      <c r="J262" s="24">
        <v>3.0</v>
      </c>
      <c r="K262" s="23" t="s">
        <v>27</v>
      </c>
      <c r="L262" s="25">
        <v>42537.78284722222</v>
      </c>
      <c r="M262" s="28"/>
      <c r="N262" s="26" t="s">
        <v>668</v>
      </c>
      <c r="O262" s="22" t="str">
        <f>HYPERLINK("https://pbs.twimg.com/profile_images/751095160994406400/f3tBxqBr_normal.jpg","View")</f>
        <v>View</v>
      </c>
      <c r="P262" s="27"/>
    </row>
    <row r="263">
      <c r="A263" s="19">
        <v>42702.687743055554</v>
      </c>
      <c r="B263" s="20" t="str">
        <f>HYPERLINK("https://twitter.com/CanaryIslandsEN","@CanaryIslandsEN")</f>
        <v>@CanaryIslandsEN</v>
      </c>
      <c r="C263" s="21" t="s">
        <v>165</v>
      </c>
      <c r="D263" s="21" t="s">
        <v>669</v>
      </c>
      <c r="E263" s="22" t="str">
        <f>HYPERLINK("https://twitter.com/CanaryIslandsEN/status/803274844834037760","803274844834037760")</f>
        <v>803274844834037760</v>
      </c>
      <c r="F263" s="23" t="s">
        <v>167</v>
      </c>
      <c r="G263" s="24">
        <v>14287.0</v>
      </c>
      <c r="H263" s="24">
        <v>1533.0</v>
      </c>
      <c r="I263" s="24">
        <v>2.0</v>
      </c>
      <c r="J263" s="24">
        <v>8.0</v>
      </c>
      <c r="K263" s="23" t="s">
        <v>27</v>
      </c>
      <c r="L263" s="25">
        <v>41264.365949074076</v>
      </c>
      <c r="M263" s="26" t="s">
        <v>168</v>
      </c>
      <c r="N263" s="26" t="s">
        <v>169</v>
      </c>
      <c r="O263" s="22" t="str">
        <f>HYPERLINK("https://pbs.twimg.com/profile_images/754960714704584704/14dQxsF8_normal.jpg","View")</f>
        <v>View</v>
      </c>
      <c r="P263" s="27"/>
    </row>
    <row r="264">
      <c r="A264" s="19">
        <v>42702.69116898148</v>
      </c>
      <c r="B264" s="20" t="str">
        <f>HYPERLINK("https://twitter.com/enduriaholidays","@enduriaholidays")</f>
        <v>@enduriaholidays</v>
      </c>
      <c r="C264" s="21" t="s">
        <v>173</v>
      </c>
      <c r="D264" s="21" t="s">
        <v>670</v>
      </c>
      <c r="E264" s="22" t="str">
        <f>HYPERLINK("https://twitter.com/enduriaholidays/status/803276086255714304","803276086255714304")</f>
        <v>803276086255714304</v>
      </c>
      <c r="F264" s="23" t="s">
        <v>69</v>
      </c>
      <c r="G264" s="24">
        <v>319.0</v>
      </c>
      <c r="H264" s="24">
        <v>313.0</v>
      </c>
      <c r="I264" s="24">
        <v>0.0</v>
      </c>
      <c r="J264" s="24">
        <v>0.0</v>
      </c>
      <c r="K264" s="23" t="s">
        <v>27</v>
      </c>
      <c r="L264" s="25">
        <v>42489.5252662037</v>
      </c>
      <c r="M264" s="28"/>
      <c r="N264" s="28"/>
      <c r="O264" s="22" t="str">
        <f>HYPERLINK("https://pbs.twimg.com/profile_images/726026649356128258/xCSaP1IW_normal.jpg","View")</f>
        <v>View</v>
      </c>
      <c r="P264" s="27"/>
    </row>
    <row r="265">
      <c r="A265" s="19">
        <v>42702.696018518516</v>
      </c>
      <c r="B265" s="20" t="str">
        <f>HYPERLINK("https://twitter.com/HotelEscuelaSB","@HotelEscuelaSB")</f>
        <v>@HotelEscuelaSB</v>
      </c>
      <c r="C265" s="21" t="s">
        <v>522</v>
      </c>
      <c r="D265" s="21" t="s">
        <v>671</v>
      </c>
      <c r="E265" s="22" t="str">
        <f>HYPERLINK("https://twitter.com/HotelEscuelaSB/status/803277841844473856","803277841844473856")</f>
        <v>803277841844473856</v>
      </c>
      <c r="F265" s="23" t="s">
        <v>37</v>
      </c>
      <c r="G265" s="24">
        <v>127.0</v>
      </c>
      <c r="H265" s="24">
        <v>392.0</v>
      </c>
      <c r="I265" s="24">
        <v>1.0</v>
      </c>
      <c r="J265" s="24">
        <v>0.0</v>
      </c>
      <c r="K265" s="23" t="s">
        <v>27</v>
      </c>
      <c r="L265" s="25">
        <v>42648.49597222223</v>
      </c>
      <c r="M265" s="28"/>
      <c r="N265" s="26" t="s">
        <v>523</v>
      </c>
      <c r="O265" s="22" t="str">
        <f>HYPERLINK("https://pbs.twimg.com/profile_images/792036201695940608/ZYEcPM7L_normal.jpg","View")</f>
        <v>View</v>
      </c>
      <c r="P265" s="27"/>
    </row>
    <row r="266">
      <c r="A266" s="19">
        <v>42702.72913194445</v>
      </c>
      <c r="B266" s="20" t="str">
        <f>HYPERLINK("https://twitter.com/coraldreamstfe","@coraldreamstfe")</f>
        <v>@coraldreamstfe</v>
      </c>
      <c r="C266" s="21" t="s">
        <v>672</v>
      </c>
      <c r="D266" s="21" t="s">
        <v>673</v>
      </c>
      <c r="E266" s="22" t="str">
        <f>HYPERLINK("https://twitter.com/coraldreamstfe/status/803289843702923264","803289843702923264")</f>
        <v>803289843702923264</v>
      </c>
      <c r="F266" s="23" t="s">
        <v>401</v>
      </c>
      <c r="G266" s="24">
        <v>11.0</v>
      </c>
      <c r="H266" s="24">
        <v>4.0</v>
      </c>
      <c r="I266" s="24">
        <v>0.0</v>
      </c>
      <c r="J266" s="24">
        <v>0.0</v>
      </c>
      <c r="K266" s="23" t="s">
        <v>27</v>
      </c>
      <c r="L266" s="25">
        <v>42447.75230324074</v>
      </c>
      <c r="M266" s="26" t="s">
        <v>674</v>
      </c>
      <c r="N266" s="28"/>
      <c r="O266" s="22" t="str">
        <f>HYPERLINK("https://pbs.twimg.com/profile_images/711330188911628288/v2OUZ_Am_normal.jpg","View")</f>
        <v>View</v>
      </c>
      <c r="P266" s="27"/>
    </row>
    <row r="267">
      <c r="A267" s="19">
        <v>42702.72915509259</v>
      </c>
      <c r="B267" s="20" t="str">
        <f>HYPERLINK("https://twitter.com/CORALHOTELS","@CORALHOTELS")</f>
        <v>@CORALHOTELS</v>
      </c>
      <c r="C267" s="21" t="s">
        <v>675</v>
      </c>
      <c r="D267" s="21" t="s">
        <v>676</v>
      </c>
      <c r="E267" s="22" t="str">
        <f>HYPERLINK("https://twitter.com/CORALHOTELS/status/803289851101675520","803289851101675520")</f>
        <v>803289851101675520</v>
      </c>
      <c r="F267" s="23" t="s">
        <v>401</v>
      </c>
      <c r="G267" s="24">
        <v>229.0</v>
      </c>
      <c r="H267" s="24">
        <v>53.0</v>
      </c>
      <c r="I267" s="24">
        <v>0.0</v>
      </c>
      <c r="J267" s="24">
        <v>0.0</v>
      </c>
      <c r="K267" s="23" t="s">
        <v>27</v>
      </c>
      <c r="L267" s="25">
        <v>39701.70458333333</v>
      </c>
      <c r="M267" s="26" t="s">
        <v>677</v>
      </c>
      <c r="N267" s="26" t="s">
        <v>678</v>
      </c>
      <c r="O267" s="22" t="str">
        <f>HYPERLINK("https://pbs.twimg.com/profile_images/711329493064019968/Y_LlqviZ_normal.jpg","View")</f>
        <v>View</v>
      </c>
      <c r="P267" s="27"/>
    </row>
    <row r="268">
      <c r="A268" s="19">
        <v>42702.74302083333</v>
      </c>
      <c r="B268" s="20" t="str">
        <f>HYPERLINK("https://twitter.com/Husso441","@Husso441")</f>
        <v>@Husso441</v>
      </c>
      <c r="C268" s="21" t="s">
        <v>679</v>
      </c>
      <c r="D268" s="21" t="s">
        <v>680</v>
      </c>
      <c r="E268" s="22" t="str">
        <f>HYPERLINK("https://twitter.com/Husso441/status/803294874728628224","803294874728628224")</f>
        <v>803294874728628224</v>
      </c>
      <c r="F268" s="23" t="s">
        <v>41</v>
      </c>
      <c r="G268" s="24">
        <v>1044.0</v>
      </c>
      <c r="H268" s="24">
        <v>1966.0</v>
      </c>
      <c r="I268" s="24">
        <v>0.0</v>
      </c>
      <c r="J268" s="24">
        <v>2.0</v>
      </c>
      <c r="K268" s="23" t="s">
        <v>27</v>
      </c>
      <c r="L268" s="25">
        <v>40637.82674768518</v>
      </c>
      <c r="M268" s="26" t="s">
        <v>681</v>
      </c>
      <c r="N268" s="26" t="s">
        <v>682</v>
      </c>
      <c r="O268" s="22" t="str">
        <f>HYPERLINK("https://pbs.twimg.com/profile_images/671102850131447808/_VVOwxhd_normal.jpg","View")</f>
        <v>View</v>
      </c>
      <c r="P268" s="27"/>
    </row>
    <row r="269">
      <c r="A269" s="19">
        <v>42702.744467592594</v>
      </c>
      <c r="B269" s="20" t="str">
        <f>HYPERLINK("https://twitter.com/airports_hotels","@airports_hotels")</f>
        <v>@airports_hotels</v>
      </c>
      <c r="C269" s="21" t="s">
        <v>683</v>
      </c>
      <c r="D269" s="21" t="s">
        <v>684</v>
      </c>
      <c r="E269" s="22" t="str">
        <f>HYPERLINK("https://twitter.com/airports_hotels/status/803295399557660673","803295399557660673")</f>
        <v>803295399557660673</v>
      </c>
      <c r="F269" s="23" t="s">
        <v>37</v>
      </c>
      <c r="G269" s="24">
        <v>293.0</v>
      </c>
      <c r="H269" s="24">
        <v>0.0</v>
      </c>
      <c r="I269" s="24">
        <v>0.0</v>
      </c>
      <c r="J269" s="24">
        <v>0.0</v>
      </c>
      <c r="K269" s="23" t="s">
        <v>27</v>
      </c>
      <c r="L269" s="25">
        <v>42488.49555555556</v>
      </c>
      <c r="M269" s="26" t="s">
        <v>685</v>
      </c>
      <c r="N269" s="26" t="s">
        <v>686</v>
      </c>
      <c r="O269" s="22" t="str">
        <f>HYPERLINK("https://pbs.twimg.com/profile_images/789169766342627332/b_eAAMe7_normal.jpg","View")</f>
        <v>View</v>
      </c>
      <c r="P269" s="27"/>
    </row>
    <row r="270">
      <c r="A270" s="19">
        <v>42702.7575462963</v>
      </c>
      <c r="B270" s="20" t="str">
        <f>HYPERLINK("https://twitter.com/surferpulse","@surferpulse")</f>
        <v>@surferpulse</v>
      </c>
      <c r="C270" s="21" t="s">
        <v>687</v>
      </c>
      <c r="D270" s="21" t="s">
        <v>688</v>
      </c>
      <c r="E270" s="22" t="str">
        <f>HYPERLINK("https://twitter.com/surferpulse/status/803300139418980353","803300139418980353")</f>
        <v>803300139418980353</v>
      </c>
      <c r="F270" s="23" t="s">
        <v>689</v>
      </c>
      <c r="G270" s="24">
        <v>358.0</v>
      </c>
      <c r="H270" s="24">
        <v>36.0</v>
      </c>
      <c r="I270" s="24">
        <v>0.0</v>
      </c>
      <c r="J270" s="24">
        <v>0.0</v>
      </c>
      <c r="K270" s="23" t="s">
        <v>27</v>
      </c>
      <c r="L270" s="25">
        <v>41480.49104166667</v>
      </c>
      <c r="M270" s="26" t="s">
        <v>292</v>
      </c>
      <c r="N270" s="26" t="s">
        <v>690</v>
      </c>
      <c r="O270" s="22" t="str">
        <f>HYPERLINK("https://pbs.twimg.com/profile_images/693709692636258304/yn-_xBGM_normal.png","View")</f>
        <v>View</v>
      </c>
      <c r="P270" s="27"/>
    </row>
    <row r="271">
      <c r="A271" s="19">
        <v>42702.75903935185</v>
      </c>
      <c r="B271" s="20" t="str">
        <f>HYPERLINK("https://twitter.com/TheWildSide10","@TheWildSide10")</f>
        <v>@TheWildSide10</v>
      </c>
      <c r="C271" s="21" t="s">
        <v>691</v>
      </c>
      <c r="D271" s="21" t="s">
        <v>371</v>
      </c>
      <c r="E271" s="22" t="str">
        <f>HYPERLINK("https://twitter.com/TheWildSide10/status/803300681192906752","803300681192906752")</f>
        <v>803300681192906752</v>
      </c>
      <c r="F271" s="23" t="s">
        <v>41</v>
      </c>
      <c r="G271" s="24">
        <v>412.0</v>
      </c>
      <c r="H271" s="24">
        <v>681.0</v>
      </c>
      <c r="I271" s="24">
        <v>4.0</v>
      </c>
      <c r="J271" s="24">
        <v>0.0</v>
      </c>
      <c r="K271" s="23" t="s">
        <v>27</v>
      </c>
      <c r="L271" s="25">
        <v>42266.99877314815</v>
      </c>
      <c r="M271" s="26" t="s">
        <v>692</v>
      </c>
      <c r="N271" s="26" t="s">
        <v>693</v>
      </c>
      <c r="O271" s="22" t="str">
        <f>HYPERLINK("https://pbs.twimg.com/profile_images/737393637311537152/WD0G8tgn_normal.jpg","View")</f>
        <v>View</v>
      </c>
      <c r="P271" s="27"/>
    </row>
    <row r="272">
      <c r="A272" s="19">
        <v>42702.76047453703</v>
      </c>
      <c r="B272" s="20" t="str">
        <f>HYPERLINK("https://twitter.com/maartenvangeest","@maartenvangeest")</f>
        <v>@maartenvangeest</v>
      </c>
      <c r="C272" s="21" t="s">
        <v>694</v>
      </c>
      <c r="D272" s="21" t="s">
        <v>507</v>
      </c>
      <c r="E272" s="22" t="str">
        <f>HYPERLINK("https://twitter.com/maartenvangeest/status/803301198690455553","803301198690455553")</f>
        <v>803301198690455553</v>
      </c>
      <c r="F272" s="23" t="s">
        <v>26</v>
      </c>
      <c r="G272" s="24">
        <v>629.0</v>
      </c>
      <c r="H272" s="24">
        <v>180.0</v>
      </c>
      <c r="I272" s="24">
        <v>14.0</v>
      </c>
      <c r="J272" s="24">
        <v>0.0</v>
      </c>
      <c r="K272" s="23" t="s">
        <v>27</v>
      </c>
      <c r="L272" s="25">
        <v>39992.87284722222</v>
      </c>
      <c r="M272" s="28"/>
      <c r="N272" s="26" t="s">
        <v>695</v>
      </c>
      <c r="O272" s="22" t="str">
        <f>HYPERLINK("https://pbs.twimg.com/profile_images/656014975702462464/F1xxrSwT_normal.jpg","View")</f>
        <v>View</v>
      </c>
      <c r="P272" s="27"/>
    </row>
    <row r="273">
      <c r="A273" s="19">
        <v>42702.77965277778</v>
      </c>
      <c r="B273" s="20" t="str">
        <f>HYPERLINK("https://twitter.com/Dauphins_libres","@Dauphins_libres")</f>
        <v>@Dauphins_libres</v>
      </c>
      <c r="C273" s="21" t="s">
        <v>696</v>
      </c>
      <c r="D273" s="21" t="s">
        <v>586</v>
      </c>
      <c r="E273" s="22" t="str">
        <f>HYPERLINK("https://twitter.com/Dauphins_libres/status/803308151021834240","803308151021834240")</f>
        <v>803308151021834240</v>
      </c>
      <c r="F273" s="23" t="s">
        <v>37</v>
      </c>
      <c r="G273" s="24">
        <v>923.0</v>
      </c>
      <c r="H273" s="24">
        <v>1477.0</v>
      </c>
      <c r="I273" s="24">
        <v>16.0</v>
      </c>
      <c r="J273" s="24">
        <v>0.0</v>
      </c>
      <c r="K273" s="23" t="s">
        <v>27</v>
      </c>
      <c r="L273" s="25">
        <v>40586.70550925926</v>
      </c>
      <c r="M273" s="26" t="s">
        <v>697</v>
      </c>
      <c r="N273" s="31" t="s">
        <v>698</v>
      </c>
      <c r="O273" s="22" t="str">
        <f>HYPERLINK("https://pbs.twimg.com/profile_images/802485552905908225/iRXmCHjr_normal.jpg","View")</f>
        <v>View</v>
      </c>
      <c r="P273" s="27"/>
    </row>
    <row r="274">
      <c r="A274" s="19">
        <v>42702.78518518519</v>
      </c>
      <c r="B274" s="20" t="str">
        <f>HYPERLINK("https://twitter.com/Euthumia","@Euthumia")</f>
        <v>@Euthumia</v>
      </c>
      <c r="C274" s="21" t="s">
        <v>699</v>
      </c>
      <c r="D274" s="21" t="s">
        <v>700</v>
      </c>
      <c r="E274" s="22" t="str">
        <f>HYPERLINK("https://twitter.com/Euthumia/status/803310156108791808","803310156108791808")</f>
        <v>803310156108791808</v>
      </c>
      <c r="F274" s="23" t="s">
        <v>81</v>
      </c>
      <c r="G274" s="24">
        <v>88.0</v>
      </c>
      <c r="H274" s="24">
        <v>149.0</v>
      </c>
      <c r="I274" s="24">
        <v>0.0</v>
      </c>
      <c r="J274" s="24">
        <v>0.0</v>
      </c>
      <c r="K274" s="23" t="s">
        <v>27</v>
      </c>
      <c r="L274" s="25">
        <v>40039.31217592592</v>
      </c>
      <c r="M274" s="28"/>
      <c r="N274" s="28"/>
      <c r="O274" s="22" t="str">
        <f>HYPERLINK("https://pbs.twimg.com/profile_images/3112307630/63df6e9c1fcd943acbbe4c226bbcc785_normal.jpeg","View")</f>
        <v>View</v>
      </c>
      <c r="P274" s="27" t="str">
        <f>HYPERLINK("https://ctrlq.org/maps/address/#28.04924751,-14.34566038","Map")</f>
        <v>#ERROR!</v>
      </c>
    </row>
    <row r="275">
      <c r="A275" s="19">
        <v>42702.79934027778</v>
      </c>
      <c r="B275" s="20" t="str">
        <f>HYPERLINK("https://twitter.com/de1969","@de1969")</f>
        <v>@de1969</v>
      </c>
      <c r="C275" s="21" t="s">
        <v>701</v>
      </c>
      <c r="D275" s="21" t="s">
        <v>702</v>
      </c>
      <c r="E275" s="22" t="str">
        <f>HYPERLINK("https://twitter.com/de1969/status/803315285881135104","803315285881135104")</f>
        <v>803315285881135104</v>
      </c>
      <c r="F275" s="23" t="s">
        <v>37</v>
      </c>
      <c r="G275" s="24">
        <v>5161.0</v>
      </c>
      <c r="H275" s="24">
        <v>5644.0</v>
      </c>
      <c r="I275" s="24">
        <v>1.0</v>
      </c>
      <c r="J275" s="24">
        <v>0.0</v>
      </c>
      <c r="K275" s="23" t="s">
        <v>27</v>
      </c>
      <c r="L275" s="25">
        <v>40283.409687499996</v>
      </c>
      <c r="M275" s="26" t="s">
        <v>282</v>
      </c>
      <c r="N275" s="26" t="s">
        <v>703</v>
      </c>
      <c r="O275" s="22" t="str">
        <f>HYPERLINK("https://pbs.twimg.com/profile_images/1617162796/S4010009_normal.JPG","View")</f>
        <v>View</v>
      </c>
      <c r="P275" s="27"/>
    </row>
    <row r="276">
      <c r="A276" s="19">
        <v>42702.80023148148</v>
      </c>
      <c r="B276" s="20" t="str">
        <f>HYPERLINK("https://twitter.com/zahadek","@zahadek")</f>
        <v>@zahadek</v>
      </c>
      <c r="C276" s="21" t="s">
        <v>704</v>
      </c>
      <c r="D276" s="21" t="s">
        <v>586</v>
      </c>
      <c r="E276" s="22" t="str">
        <f>HYPERLINK("https://twitter.com/zahadek/status/803315609480167424","803315609480167424")</f>
        <v>803315609480167424</v>
      </c>
      <c r="F276" s="23" t="s">
        <v>37</v>
      </c>
      <c r="G276" s="24">
        <v>239.0</v>
      </c>
      <c r="H276" s="24">
        <v>327.0</v>
      </c>
      <c r="I276" s="24">
        <v>16.0</v>
      </c>
      <c r="J276" s="24">
        <v>0.0</v>
      </c>
      <c r="K276" s="23" t="s">
        <v>27</v>
      </c>
      <c r="L276" s="25">
        <v>40560.79883101852</v>
      </c>
      <c r="M276" s="28"/>
      <c r="N276" s="28"/>
      <c r="O276" s="22" t="str">
        <f>HYPERLINK("https://abs.twimg.com/sticky/default_profile_images/default_profile_3_normal.png","View")</f>
        <v>View</v>
      </c>
      <c r="P276" s="27"/>
    </row>
    <row r="277">
      <c r="A277" s="19">
        <v>42702.80149305555</v>
      </c>
      <c r="B277" s="20" t="str">
        <f>HYPERLINK("https://twitter.com/toyoutoo","@toyoutoo")</f>
        <v>@toyoutoo</v>
      </c>
      <c r="C277" s="21" t="s">
        <v>705</v>
      </c>
      <c r="D277" s="21" t="s">
        <v>462</v>
      </c>
      <c r="E277" s="22" t="str">
        <f>HYPERLINK("https://twitter.com/toyoutoo/status/803316065786875904","803316065786875904")</f>
        <v>803316065786875904</v>
      </c>
      <c r="F277" s="23" t="s">
        <v>26</v>
      </c>
      <c r="G277" s="24">
        <v>71.0</v>
      </c>
      <c r="H277" s="24">
        <v>1.0</v>
      </c>
      <c r="I277" s="24">
        <v>12.0</v>
      </c>
      <c r="J277" s="24">
        <v>0.0</v>
      </c>
      <c r="K277" s="23" t="s">
        <v>27</v>
      </c>
      <c r="L277" s="25">
        <v>40040.87164351852</v>
      </c>
      <c r="M277" s="26" t="s">
        <v>706</v>
      </c>
      <c r="N277" s="28"/>
      <c r="O277" s="22" t="str">
        <f>HYPERLINK("https://pbs.twimg.com/profile_images/3493825737/c3c0ed02be4ecdcbb4e9e900dd1358c2_normal.png","View")</f>
        <v>View</v>
      </c>
      <c r="P277" s="27"/>
    </row>
    <row r="278">
      <c r="A278" s="19">
        <v>42702.805509259255</v>
      </c>
      <c r="B278" s="20" t="str">
        <f>HYPERLINK("https://twitter.com/decarlo_alfonso","@decarlo_alfonso")</f>
        <v>@decarlo_alfonso</v>
      </c>
      <c r="C278" s="21" t="s">
        <v>707</v>
      </c>
      <c r="D278" s="21" t="s">
        <v>708</v>
      </c>
      <c r="E278" s="22" t="str">
        <f>HYPERLINK("https://twitter.com/decarlo_alfonso/status/803317519989649408","803317519989649408")</f>
        <v>803317519989649408</v>
      </c>
      <c r="F278" s="23" t="s">
        <v>90</v>
      </c>
      <c r="G278" s="24">
        <v>13.0</v>
      </c>
      <c r="H278" s="24">
        <v>104.0</v>
      </c>
      <c r="I278" s="24">
        <v>2.0</v>
      </c>
      <c r="J278" s="24">
        <v>0.0</v>
      </c>
      <c r="K278" s="23" t="s">
        <v>27</v>
      </c>
      <c r="L278" s="25">
        <v>41352.13466435185</v>
      </c>
      <c r="M278" s="26" t="s">
        <v>709</v>
      </c>
      <c r="N278" s="26" t="s">
        <v>710</v>
      </c>
      <c r="O278" s="22" t="str">
        <f>HYPERLINK("https://pbs.twimg.com/profile_images/3612684335/955ff04779fc6c18e4bd6a8b11748a86_normal.jpeg","View")</f>
        <v>View</v>
      </c>
      <c r="P278" s="27"/>
    </row>
    <row r="279">
      <c r="A279" s="19">
        <v>42702.83195601852</v>
      </c>
      <c r="B279" s="20" t="str">
        <f>HYPERLINK("https://twitter.com/CanaryIslandsEN","@CanaryIslandsEN")</f>
        <v>@CanaryIslandsEN</v>
      </c>
      <c r="C279" s="21" t="s">
        <v>165</v>
      </c>
      <c r="D279" s="21" t="s">
        <v>711</v>
      </c>
      <c r="E279" s="22" t="str">
        <f>HYPERLINK("https://twitter.com/CanaryIslandsEN/status/803327104528109568","803327104528109568")</f>
        <v>803327104528109568</v>
      </c>
      <c r="F279" s="23" t="s">
        <v>167</v>
      </c>
      <c r="G279" s="24">
        <v>14287.0</v>
      </c>
      <c r="H279" s="24">
        <v>1533.0</v>
      </c>
      <c r="I279" s="24">
        <v>1.0</v>
      </c>
      <c r="J279" s="24">
        <v>3.0</v>
      </c>
      <c r="K279" s="23" t="s">
        <v>27</v>
      </c>
      <c r="L279" s="25">
        <v>41264.365949074076</v>
      </c>
      <c r="M279" s="26" t="s">
        <v>168</v>
      </c>
      <c r="N279" s="26" t="s">
        <v>169</v>
      </c>
      <c r="O279" s="22" t="str">
        <f>HYPERLINK("https://pbs.twimg.com/profile_images/754960714704584704/14dQxsF8_normal.jpg","View")</f>
        <v>View</v>
      </c>
      <c r="P279" s="27"/>
    </row>
    <row r="280">
      <c r="A280" s="19">
        <v>42702.83354166667</v>
      </c>
      <c r="B280" s="20" t="str">
        <f>HYPERLINK("https://twitter.com/enduriaholidays","@enduriaholidays")</f>
        <v>@enduriaholidays</v>
      </c>
      <c r="C280" s="21" t="s">
        <v>173</v>
      </c>
      <c r="D280" s="21" t="s">
        <v>712</v>
      </c>
      <c r="E280" s="22" t="str">
        <f>HYPERLINK("https://twitter.com/enduriaholidays/status/803327680498270209","803327680498270209")</f>
        <v>803327680498270209</v>
      </c>
      <c r="F280" s="23" t="s">
        <v>69</v>
      </c>
      <c r="G280" s="24">
        <v>319.0</v>
      </c>
      <c r="H280" s="24">
        <v>313.0</v>
      </c>
      <c r="I280" s="24">
        <v>0.0</v>
      </c>
      <c r="J280" s="24">
        <v>0.0</v>
      </c>
      <c r="K280" s="23" t="s">
        <v>27</v>
      </c>
      <c r="L280" s="25">
        <v>42489.5252662037</v>
      </c>
      <c r="M280" s="28"/>
      <c r="N280" s="28"/>
      <c r="O280" s="22" t="str">
        <f>HYPERLINK("https://pbs.twimg.com/profile_images/726026649356128258/xCSaP1IW_normal.jpg","View")</f>
        <v>View</v>
      </c>
      <c r="P280" s="27"/>
    </row>
    <row r="281">
      <c r="A281" s="19">
        <v>42702.836435185185</v>
      </c>
      <c r="B281" s="20" t="str">
        <f t="shared" ref="B281:B282" si="30">HYPERLINK("https://twitter.com/CanaryIslandsEN","@CanaryIslandsEN")</f>
        <v>@CanaryIslandsEN</v>
      </c>
      <c r="C281" s="21" t="s">
        <v>165</v>
      </c>
      <c r="D281" s="21" t="s">
        <v>507</v>
      </c>
      <c r="E281" s="22" t="str">
        <f>HYPERLINK("https://twitter.com/CanaryIslandsEN/status/803328725865611264","803328725865611264")</f>
        <v>803328725865611264</v>
      </c>
      <c r="F281" s="23" t="s">
        <v>41</v>
      </c>
      <c r="G281" s="24">
        <v>14287.0</v>
      </c>
      <c r="H281" s="24">
        <v>1533.0</v>
      </c>
      <c r="I281" s="24">
        <v>14.0</v>
      </c>
      <c r="J281" s="24">
        <v>0.0</v>
      </c>
      <c r="K281" s="23" t="s">
        <v>27</v>
      </c>
      <c r="L281" s="25">
        <v>41264.365949074076</v>
      </c>
      <c r="M281" s="26" t="s">
        <v>168</v>
      </c>
      <c r="N281" s="26" t="s">
        <v>169</v>
      </c>
      <c r="O281" s="22" t="str">
        <f t="shared" ref="O281:O282" si="31">HYPERLINK("https://pbs.twimg.com/profile_images/754960714704584704/14dQxsF8_normal.jpg","View")</f>
        <v>View</v>
      </c>
      <c r="P281" s="27"/>
    </row>
    <row r="282">
      <c r="A282" s="19">
        <v>42702.8368287037</v>
      </c>
      <c r="B282" s="20" t="str">
        <f t="shared" si="30"/>
        <v>@CanaryIslandsEN</v>
      </c>
      <c r="C282" s="21" t="s">
        <v>165</v>
      </c>
      <c r="D282" s="21" t="s">
        <v>25</v>
      </c>
      <c r="E282" s="22" t="str">
        <f>HYPERLINK("https://twitter.com/CanaryIslandsEN/status/803328871022166016","803328871022166016")</f>
        <v>803328871022166016</v>
      </c>
      <c r="F282" s="23" t="s">
        <v>41</v>
      </c>
      <c r="G282" s="24">
        <v>14287.0</v>
      </c>
      <c r="H282" s="24">
        <v>1533.0</v>
      </c>
      <c r="I282" s="24">
        <v>71.0</v>
      </c>
      <c r="J282" s="24">
        <v>0.0</v>
      </c>
      <c r="K282" s="23" t="s">
        <v>27</v>
      </c>
      <c r="L282" s="25">
        <v>41264.365949074076</v>
      </c>
      <c r="M282" s="26" t="s">
        <v>168</v>
      </c>
      <c r="N282" s="26" t="s">
        <v>169</v>
      </c>
      <c r="O282" s="22" t="str">
        <f t="shared" si="31"/>
        <v>View</v>
      </c>
      <c r="P282" s="27"/>
    </row>
    <row r="283">
      <c r="A283" s="19">
        <v>42702.83733796296</v>
      </c>
      <c r="B283" s="20" t="str">
        <f>HYPERLINK("https://twitter.com/WilfBen","@WilfBen")</f>
        <v>@WilfBen</v>
      </c>
      <c r="C283" s="21" t="s">
        <v>713</v>
      </c>
      <c r="D283" s="21" t="s">
        <v>714</v>
      </c>
      <c r="E283" s="22" t="str">
        <f>HYPERLINK("https://twitter.com/WilfBen/status/803329054912946176","803329054912946176")</f>
        <v>803329054912946176</v>
      </c>
      <c r="F283" s="23" t="s">
        <v>41</v>
      </c>
      <c r="G283" s="24">
        <v>199.0</v>
      </c>
      <c r="H283" s="24">
        <v>227.0</v>
      </c>
      <c r="I283" s="24">
        <v>1.0</v>
      </c>
      <c r="J283" s="24">
        <v>0.0</v>
      </c>
      <c r="K283" s="23" t="s">
        <v>27</v>
      </c>
      <c r="L283" s="25">
        <v>41308.62605324074</v>
      </c>
      <c r="M283" s="28"/>
      <c r="N283" s="28"/>
      <c r="O283" s="22" t="str">
        <f>HYPERLINK("https://pbs.twimg.com/profile_images/593861736261939201/5IpELztZ_normal.jpg","View")</f>
        <v>View</v>
      </c>
      <c r="P283" s="27"/>
    </row>
    <row r="284">
      <c r="A284" s="19">
        <v>42702.83766203704</v>
      </c>
      <c r="B284" s="20" t="str">
        <f>HYPERLINK("https://twitter.com/mmencas","@mmencas")</f>
        <v>@mmencas</v>
      </c>
      <c r="C284" s="21" t="s">
        <v>715</v>
      </c>
      <c r="D284" s="21" t="s">
        <v>25</v>
      </c>
      <c r="E284" s="22" t="str">
        <f>HYPERLINK("https://twitter.com/mmencas/status/803329174421336066","803329174421336066")</f>
        <v>803329174421336066</v>
      </c>
      <c r="F284" s="23" t="s">
        <v>26</v>
      </c>
      <c r="G284" s="24">
        <v>705.0</v>
      </c>
      <c r="H284" s="24">
        <v>189.0</v>
      </c>
      <c r="I284" s="24">
        <v>71.0</v>
      </c>
      <c r="J284" s="24">
        <v>0.0</v>
      </c>
      <c r="K284" s="23" t="s">
        <v>27</v>
      </c>
      <c r="L284" s="25">
        <v>40007.47483796296</v>
      </c>
      <c r="M284" s="28"/>
      <c r="N284" s="26" t="s">
        <v>716</v>
      </c>
      <c r="O284" s="22" t="str">
        <f>HYPERLINK("https://pbs.twimg.com/profile_images/722404682702970881/l80CBFLg_normal.jpg","View")</f>
        <v>View</v>
      </c>
      <c r="P284" s="27"/>
    </row>
    <row r="285">
      <c r="A285" s="19">
        <v>42702.83802083333</v>
      </c>
      <c r="B285" s="20" t="str">
        <f>HYPERLINK("https://twitter.com/MiRiconcito","@MiRiconcito")</f>
        <v>@MiRiconcito</v>
      </c>
      <c r="C285" s="21" t="s">
        <v>717</v>
      </c>
      <c r="D285" s="21" t="s">
        <v>25</v>
      </c>
      <c r="E285" s="22" t="str">
        <f>HYPERLINK("https://twitter.com/MiRiconcito/status/803329301689012224","803329301689012224")</f>
        <v>803329301689012224</v>
      </c>
      <c r="F285" s="23" t="s">
        <v>41</v>
      </c>
      <c r="G285" s="24">
        <v>160.0</v>
      </c>
      <c r="H285" s="24">
        <v>421.0</v>
      </c>
      <c r="I285" s="24">
        <v>71.0</v>
      </c>
      <c r="J285" s="24">
        <v>0.0</v>
      </c>
      <c r="K285" s="23" t="s">
        <v>27</v>
      </c>
      <c r="L285" s="25">
        <v>42070.98163194444</v>
      </c>
      <c r="M285" s="28"/>
      <c r="N285" s="28"/>
      <c r="O285" s="22" t="str">
        <f>HYPERLINK("https://pbs.twimg.com/profile_images/777155469026684928/BFD8N8nn_normal.jpg","View")</f>
        <v>View</v>
      </c>
      <c r="P285" s="27"/>
    </row>
    <row r="286">
      <c r="A286" s="19">
        <v>42702.83980324074</v>
      </c>
      <c r="B286" s="20" t="str">
        <f>HYPERLINK("https://twitter.com/WilfBen","@WilfBen")</f>
        <v>@WilfBen</v>
      </c>
      <c r="C286" s="21" t="s">
        <v>713</v>
      </c>
      <c r="D286" s="21" t="s">
        <v>25</v>
      </c>
      <c r="E286" s="22" t="str">
        <f>HYPERLINK("https://twitter.com/WilfBen/status/803329949050474496","803329949050474496")</f>
        <v>803329949050474496</v>
      </c>
      <c r="F286" s="23" t="s">
        <v>41</v>
      </c>
      <c r="G286" s="24">
        <v>199.0</v>
      </c>
      <c r="H286" s="24">
        <v>227.0</v>
      </c>
      <c r="I286" s="24">
        <v>71.0</v>
      </c>
      <c r="J286" s="24">
        <v>0.0</v>
      </c>
      <c r="K286" s="23" t="s">
        <v>27</v>
      </c>
      <c r="L286" s="25">
        <v>41308.62605324074</v>
      </c>
      <c r="M286" s="28"/>
      <c r="N286" s="28"/>
      <c r="O286" s="22" t="str">
        <f>HYPERLINK("https://pbs.twimg.com/profile_images/593861736261939201/5IpELztZ_normal.jpg","View")</f>
        <v>View</v>
      </c>
      <c r="P286" s="27"/>
    </row>
    <row r="287">
      <c r="A287" s="19">
        <v>42702.85590277778</v>
      </c>
      <c r="B287" s="20" t="str">
        <f>HYPERLINK("https://twitter.com/Love4AnimalsNL","@Love4AnimalsNL")</f>
        <v>@Love4AnimalsNL</v>
      </c>
      <c r="C287" s="21" t="s">
        <v>718</v>
      </c>
      <c r="D287" s="21" t="s">
        <v>586</v>
      </c>
      <c r="E287" s="22" t="str">
        <f>HYPERLINK("https://twitter.com/Love4AnimalsNL/status/803335781712592896","803335781712592896")</f>
        <v>803335781712592896</v>
      </c>
      <c r="F287" s="23" t="s">
        <v>37</v>
      </c>
      <c r="G287" s="24">
        <v>1395.0</v>
      </c>
      <c r="H287" s="24">
        <v>845.0</v>
      </c>
      <c r="I287" s="24">
        <v>16.0</v>
      </c>
      <c r="J287" s="24">
        <v>0.0</v>
      </c>
      <c r="K287" s="23" t="s">
        <v>27</v>
      </c>
      <c r="L287" s="25">
        <v>41461.69767361111</v>
      </c>
      <c r="M287" s="26" t="s">
        <v>719</v>
      </c>
      <c r="N287" s="26" t="s">
        <v>720</v>
      </c>
      <c r="O287" s="22" t="str">
        <f>HYPERLINK("https://pbs.twimg.com/profile_images/737796747418697728/8xgd3nQv_normal.jpg","View")</f>
        <v>View</v>
      </c>
      <c r="P287" s="27"/>
    </row>
    <row r="288">
      <c r="A288" s="19">
        <v>42702.862175925926</v>
      </c>
      <c r="B288" s="20" t="str">
        <f>HYPERLINK("https://twitter.com/bermaxo09","@bermaxo09")</f>
        <v>@bermaxo09</v>
      </c>
      <c r="C288" s="21" t="s">
        <v>284</v>
      </c>
      <c r="D288" s="21" t="s">
        <v>721</v>
      </c>
      <c r="E288" s="22" t="str">
        <f>HYPERLINK("https://twitter.com/bermaxo09/status/803338056753410048","803338056753410048")</f>
        <v>803338056753410048</v>
      </c>
      <c r="F288" s="23" t="s">
        <v>37</v>
      </c>
      <c r="G288" s="24">
        <v>193.0</v>
      </c>
      <c r="H288" s="24">
        <v>196.0</v>
      </c>
      <c r="I288" s="24">
        <v>2.0</v>
      </c>
      <c r="J288" s="24">
        <v>4.0</v>
      </c>
      <c r="K288" s="23" t="s">
        <v>27</v>
      </c>
      <c r="L288" s="25">
        <v>42689.441516203704</v>
      </c>
      <c r="M288" s="26" t="s">
        <v>109</v>
      </c>
      <c r="N288" s="26" t="s">
        <v>286</v>
      </c>
      <c r="O288" s="22" t="str">
        <f>HYPERLINK("https://pbs.twimg.com/profile_images/798476790478073856/iOD0HIRa_normal.jpg","View")</f>
        <v>View</v>
      </c>
      <c r="P288" s="27"/>
    </row>
    <row r="289">
      <c r="A289" s="19">
        <v>42702.86361111111</v>
      </c>
      <c r="B289" s="20" t="str">
        <f t="shared" ref="B289:B290" si="32">HYPERLINK("https://twitter.com/_maspalomas","@_maspalomas")</f>
        <v>@_maspalomas</v>
      </c>
      <c r="C289" s="21" t="s">
        <v>722</v>
      </c>
      <c r="D289" s="21" t="s">
        <v>288</v>
      </c>
      <c r="E289" s="22" t="str">
        <f>HYPERLINK("https://twitter.com/_maspalomas/status/803338575962050560","803338575962050560")</f>
        <v>803338575962050560</v>
      </c>
      <c r="F289" s="23" t="s">
        <v>37</v>
      </c>
      <c r="G289" s="24">
        <v>354.0</v>
      </c>
      <c r="H289" s="24">
        <v>340.0</v>
      </c>
      <c r="I289" s="24">
        <v>12.0</v>
      </c>
      <c r="J289" s="24">
        <v>0.0</v>
      </c>
      <c r="K289" s="23" t="s">
        <v>27</v>
      </c>
      <c r="L289" s="25">
        <v>40008.707349537035</v>
      </c>
      <c r="M289" s="26" t="s">
        <v>477</v>
      </c>
      <c r="N289" s="26" t="s">
        <v>723</v>
      </c>
      <c r="O289" s="22" t="str">
        <f t="shared" ref="O289:O290" si="33">HYPERLINK("https://pbs.twimg.com/profile_images/313296815/maspalomashotel_normal.jpg","View")</f>
        <v>View</v>
      </c>
      <c r="P289" s="27"/>
    </row>
    <row r="290">
      <c r="A290" s="19">
        <v>42702.86392361111</v>
      </c>
      <c r="B290" s="20" t="str">
        <f t="shared" si="32"/>
        <v>@_maspalomas</v>
      </c>
      <c r="C290" s="21" t="s">
        <v>722</v>
      </c>
      <c r="D290" s="21" t="s">
        <v>724</v>
      </c>
      <c r="E290" s="22" t="str">
        <f>HYPERLINK("https://twitter.com/_maspalomas/status/803338689699082244","803338689699082244")</f>
        <v>803338689699082244</v>
      </c>
      <c r="F290" s="23" t="s">
        <v>37</v>
      </c>
      <c r="G290" s="24">
        <v>354.0</v>
      </c>
      <c r="H290" s="24">
        <v>340.0</v>
      </c>
      <c r="I290" s="24">
        <v>2.0</v>
      </c>
      <c r="J290" s="24">
        <v>0.0</v>
      </c>
      <c r="K290" s="23" t="s">
        <v>27</v>
      </c>
      <c r="L290" s="25">
        <v>40008.707349537035</v>
      </c>
      <c r="M290" s="26" t="s">
        <v>477</v>
      </c>
      <c r="N290" s="26" t="s">
        <v>723</v>
      </c>
      <c r="O290" s="22" t="str">
        <f t="shared" si="33"/>
        <v>View</v>
      </c>
      <c r="P290" s="27"/>
    </row>
    <row r="291">
      <c r="A291" s="19">
        <v>42702.86430555556</v>
      </c>
      <c r="B291" s="20" t="str">
        <f>HYPERLINK("https://twitter.com/DiegoPG3","@DiegoPG3")</f>
        <v>@DiegoPG3</v>
      </c>
      <c r="C291" s="21" t="s">
        <v>725</v>
      </c>
      <c r="D291" s="21" t="s">
        <v>726</v>
      </c>
      <c r="E291" s="22" t="str">
        <f>HYPERLINK("https://twitter.com/DiegoPG3/status/803338828769591296","803338828769591296")</f>
        <v>803338828769591296</v>
      </c>
      <c r="F291" s="23" t="s">
        <v>81</v>
      </c>
      <c r="G291" s="24">
        <v>577.0</v>
      </c>
      <c r="H291" s="24">
        <v>198.0</v>
      </c>
      <c r="I291" s="24">
        <v>0.0</v>
      </c>
      <c r="J291" s="24">
        <v>0.0</v>
      </c>
      <c r="K291" s="23" t="s">
        <v>27</v>
      </c>
      <c r="L291" s="25">
        <v>40430.55538194445</v>
      </c>
      <c r="M291" s="26" t="s">
        <v>727</v>
      </c>
      <c r="N291" s="26" t="s">
        <v>728</v>
      </c>
      <c r="O291" s="22" t="str">
        <f>HYPERLINK("https://pbs.twimg.com/profile_images/784545151322652678/e_UcRJjj_normal.jpg","View")</f>
        <v>View</v>
      </c>
      <c r="P291" s="27" t="str">
        <f>HYPERLINK("https://ctrlq.org/maps/address/#27.7486496,-15.5784397","Map")</f>
        <v>#ERROR!</v>
      </c>
    </row>
    <row r="292">
      <c r="A292" s="19">
        <v>42702.86431712963</v>
      </c>
      <c r="B292" s="20" t="str">
        <f>HYPERLINK("https://twitter.com/bermaxo09","@bermaxo09")</f>
        <v>@bermaxo09</v>
      </c>
      <c r="C292" s="21" t="s">
        <v>284</v>
      </c>
      <c r="D292" s="21" t="s">
        <v>729</v>
      </c>
      <c r="E292" s="22" t="str">
        <f>HYPERLINK("https://twitter.com/bermaxo09/status/803338832955473921","803338832955473921")</f>
        <v>803338832955473921</v>
      </c>
      <c r="F292" s="23" t="s">
        <v>37</v>
      </c>
      <c r="G292" s="24">
        <v>193.0</v>
      </c>
      <c r="H292" s="24">
        <v>196.0</v>
      </c>
      <c r="I292" s="24">
        <v>0.0</v>
      </c>
      <c r="J292" s="24">
        <v>4.0</v>
      </c>
      <c r="K292" s="23" t="s">
        <v>27</v>
      </c>
      <c r="L292" s="25">
        <v>42689.441516203704</v>
      </c>
      <c r="M292" s="26" t="s">
        <v>109</v>
      </c>
      <c r="N292" s="26" t="s">
        <v>286</v>
      </c>
      <c r="O292" s="22" t="str">
        <f>HYPERLINK("https://pbs.twimg.com/profile_images/798476790478073856/iOD0HIRa_normal.jpg","View")</f>
        <v>View</v>
      </c>
      <c r="P292" s="27"/>
    </row>
    <row r="293">
      <c r="A293" s="19">
        <v>42702.86519675926</v>
      </c>
      <c r="B293" s="20" t="str">
        <f>HYPERLINK("https://twitter.com/Sandraphalicia","@Sandraphalicia")</f>
        <v>@Sandraphalicia</v>
      </c>
      <c r="C293" s="21" t="s">
        <v>730</v>
      </c>
      <c r="D293" s="21" t="s">
        <v>731</v>
      </c>
      <c r="E293" s="22" t="str">
        <f>HYPERLINK("https://twitter.com/Sandraphalicia/status/803339149201862657","803339149201862657")</f>
        <v>803339149201862657</v>
      </c>
      <c r="F293" s="23" t="s">
        <v>41</v>
      </c>
      <c r="G293" s="24">
        <v>751.0</v>
      </c>
      <c r="H293" s="24">
        <v>843.0</v>
      </c>
      <c r="I293" s="24">
        <v>1.0</v>
      </c>
      <c r="J293" s="24">
        <v>0.0</v>
      </c>
      <c r="K293" s="23" t="s">
        <v>27</v>
      </c>
      <c r="L293" s="25">
        <v>39928.97878472222</v>
      </c>
      <c r="M293" s="26" t="s">
        <v>495</v>
      </c>
      <c r="N293" s="26" t="s">
        <v>732</v>
      </c>
      <c r="O293" s="22" t="str">
        <f>HYPERLINK("https://pbs.twimg.com/profile_images/805421919499599872/n2ZioPrx_normal.jpg","View")</f>
        <v>View</v>
      </c>
      <c r="P293" s="27"/>
    </row>
    <row r="294">
      <c r="A294" s="19">
        <v>42702.86545138889</v>
      </c>
      <c r="B294" s="20" t="str">
        <f>HYPERLINK("https://twitter.com/bermaxo09","@bermaxo09")</f>
        <v>@bermaxo09</v>
      </c>
      <c r="C294" s="21" t="s">
        <v>284</v>
      </c>
      <c r="D294" s="21" t="s">
        <v>733</v>
      </c>
      <c r="E294" s="22" t="str">
        <f>HYPERLINK("https://twitter.com/bermaxo09/status/803339243951099904","803339243951099904")</f>
        <v>803339243951099904</v>
      </c>
      <c r="F294" s="23" t="s">
        <v>37</v>
      </c>
      <c r="G294" s="24">
        <v>193.0</v>
      </c>
      <c r="H294" s="24">
        <v>196.0</v>
      </c>
      <c r="I294" s="24">
        <v>0.0</v>
      </c>
      <c r="J294" s="24">
        <v>4.0</v>
      </c>
      <c r="K294" s="23" t="s">
        <v>27</v>
      </c>
      <c r="L294" s="25">
        <v>42689.441516203704</v>
      </c>
      <c r="M294" s="26" t="s">
        <v>109</v>
      </c>
      <c r="N294" s="26" t="s">
        <v>286</v>
      </c>
      <c r="O294" s="22" t="str">
        <f>HYPERLINK("https://pbs.twimg.com/profile_images/798476790478073856/iOD0HIRa_normal.jpg","View")</f>
        <v>View</v>
      </c>
      <c r="P294" s="27"/>
    </row>
    <row r="295">
      <c r="A295" s="19">
        <v>42702.86723379629</v>
      </c>
      <c r="B295" s="20" t="str">
        <f>HYPERLINK("https://twitter.com/Sandraphalicia","@Sandraphalicia")</f>
        <v>@Sandraphalicia</v>
      </c>
      <c r="C295" s="21" t="s">
        <v>730</v>
      </c>
      <c r="D295" s="21" t="s">
        <v>734</v>
      </c>
      <c r="E295" s="22" t="str">
        <f>HYPERLINK("https://twitter.com/Sandraphalicia/status/803339888775020545","803339888775020545")</f>
        <v>803339888775020545</v>
      </c>
      <c r="F295" s="23" t="s">
        <v>735</v>
      </c>
      <c r="G295" s="24">
        <v>751.0</v>
      </c>
      <c r="H295" s="24">
        <v>843.0</v>
      </c>
      <c r="I295" s="24">
        <v>0.0</v>
      </c>
      <c r="J295" s="24">
        <v>0.0</v>
      </c>
      <c r="K295" s="23" t="s">
        <v>27</v>
      </c>
      <c r="L295" s="25">
        <v>39928.97878472222</v>
      </c>
      <c r="M295" s="26" t="s">
        <v>495</v>
      </c>
      <c r="N295" s="26" t="s">
        <v>732</v>
      </c>
      <c r="O295" s="22" t="str">
        <f>HYPERLINK("https://pbs.twimg.com/profile_images/805421919499599872/n2ZioPrx_normal.jpg","View")</f>
        <v>View</v>
      </c>
      <c r="P295" s="27"/>
    </row>
    <row r="296">
      <c r="A296" s="19">
        <v>42702.86814814815</v>
      </c>
      <c r="B296" s="20" t="str">
        <f>HYPERLINK("https://twitter.com/H_Jardintecina","@H_Jardintecina")</f>
        <v>@H_Jardintecina</v>
      </c>
      <c r="C296" s="21" t="s">
        <v>736</v>
      </c>
      <c r="D296" s="21" t="s">
        <v>708</v>
      </c>
      <c r="E296" s="22" t="str">
        <f>HYPERLINK("https://twitter.com/H_Jardintecina/status/803340218866761733","803340218866761733")</f>
        <v>803340218866761733</v>
      </c>
      <c r="F296" s="23" t="s">
        <v>26</v>
      </c>
      <c r="G296" s="24">
        <v>296.0</v>
      </c>
      <c r="H296" s="24">
        <v>496.0</v>
      </c>
      <c r="I296" s="24">
        <v>2.0</v>
      </c>
      <c r="J296" s="24">
        <v>0.0</v>
      </c>
      <c r="K296" s="23" t="s">
        <v>27</v>
      </c>
      <c r="L296" s="25">
        <v>41456.58681712963</v>
      </c>
      <c r="M296" s="26" t="s">
        <v>737</v>
      </c>
      <c r="N296" s="26" t="s">
        <v>738</v>
      </c>
      <c r="O296" s="22" t="str">
        <f>HYPERLINK("https://pbs.twimg.com/profile_images/794493458392248320/z5N_2K6v_normal.jpg","View")</f>
        <v>View</v>
      </c>
      <c r="P296" s="27"/>
    </row>
    <row r="297">
      <c r="A297" s="19">
        <v>42702.86894675926</v>
      </c>
      <c r="B297" s="20" t="str">
        <f>HYPERLINK("https://twitter.com/bermaxo09","@bermaxo09")</f>
        <v>@bermaxo09</v>
      </c>
      <c r="C297" s="21" t="s">
        <v>284</v>
      </c>
      <c r="D297" s="21" t="s">
        <v>739</v>
      </c>
      <c r="E297" s="22" t="str">
        <f>HYPERLINK("https://twitter.com/bermaxo09/status/803340511230758912","803340511230758912")</f>
        <v>803340511230758912</v>
      </c>
      <c r="F297" s="23" t="s">
        <v>37</v>
      </c>
      <c r="G297" s="24">
        <v>193.0</v>
      </c>
      <c r="H297" s="24">
        <v>196.0</v>
      </c>
      <c r="I297" s="24">
        <v>0.0</v>
      </c>
      <c r="J297" s="24">
        <v>4.0</v>
      </c>
      <c r="K297" s="23" t="s">
        <v>27</v>
      </c>
      <c r="L297" s="25">
        <v>42689.441516203704</v>
      </c>
      <c r="M297" s="26" t="s">
        <v>109</v>
      </c>
      <c r="N297" s="26" t="s">
        <v>286</v>
      </c>
      <c r="O297" s="22" t="str">
        <f>HYPERLINK("https://pbs.twimg.com/profile_images/798476790478073856/iOD0HIRa_normal.jpg","View")</f>
        <v>View</v>
      </c>
      <c r="P297" s="27"/>
    </row>
    <row r="298">
      <c r="A298" s="19">
        <v>42702.86908564815</v>
      </c>
      <c r="B298" s="20" t="str">
        <f>HYPERLINK("https://twitter.com/PLdesign_stores","@PLdesign_stores")</f>
        <v>@PLdesign_stores</v>
      </c>
      <c r="C298" s="21" t="s">
        <v>740</v>
      </c>
      <c r="D298" s="21" t="s">
        <v>741</v>
      </c>
      <c r="E298" s="22" t="str">
        <f>HYPERLINK("https://twitter.com/PLdesign_stores/status/803340561256239104","803340561256239104")</f>
        <v>803340561256239104</v>
      </c>
      <c r="F298" s="23" t="s">
        <v>742</v>
      </c>
      <c r="G298" s="24">
        <v>1965.0</v>
      </c>
      <c r="H298" s="24">
        <v>2130.0</v>
      </c>
      <c r="I298" s="24">
        <v>0.0</v>
      </c>
      <c r="J298" s="24">
        <v>1.0</v>
      </c>
      <c r="K298" s="23" t="s">
        <v>27</v>
      </c>
      <c r="L298" s="25">
        <v>41207.32295138889</v>
      </c>
      <c r="M298" s="28"/>
      <c r="N298" s="26" t="s">
        <v>743</v>
      </c>
      <c r="O298" s="22" t="str">
        <f>HYPERLINK("https://pbs.twimg.com/profile_images/681161570022518788/f7ecESJR_normal.jpg","View")</f>
        <v>View</v>
      </c>
      <c r="P298" s="27"/>
    </row>
    <row r="299">
      <c r="A299" s="19">
        <v>42702.87180555555</v>
      </c>
      <c r="B299" s="20" t="str">
        <f>HYPERLINK("https://twitter.com/pabloexcursions","@pabloexcursions")</f>
        <v>@pabloexcursions</v>
      </c>
      <c r="C299" s="21" t="s">
        <v>744</v>
      </c>
      <c r="D299" s="21" t="s">
        <v>745</v>
      </c>
      <c r="E299" s="22" t="str">
        <f>HYPERLINK("https://twitter.com/pabloexcursions/status/803341545785139200","803341545785139200")</f>
        <v>803341545785139200</v>
      </c>
      <c r="F299" s="23" t="s">
        <v>69</v>
      </c>
      <c r="G299" s="24">
        <v>468.0</v>
      </c>
      <c r="H299" s="24">
        <v>2170.0</v>
      </c>
      <c r="I299" s="24">
        <v>0.0</v>
      </c>
      <c r="J299" s="24">
        <v>1.0</v>
      </c>
      <c r="K299" s="23" t="s">
        <v>27</v>
      </c>
      <c r="L299" s="25">
        <v>39977.548310185186</v>
      </c>
      <c r="M299" s="26" t="s">
        <v>746</v>
      </c>
      <c r="N299" s="26" t="s">
        <v>747</v>
      </c>
      <c r="O299" s="22" t="str">
        <f>HYPERLINK("https://pbs.twimg.com/profile_images/795287889051525121/lnv-LO1p_normal.jpg","View")</f>
        <v>View</v>
      </c>
      <c r="P299" s="27"/>
    </row>
    <row r="300">
      <c r="A300" s="19">
        <v>42702.87200231482</v>
      </c>
      <c r="B300" s="20" t="str">
        <f>HYPERLINK("https://twitter.com/PepeMaciasM","@PepeMaciasM")</f>
        <v>@PepeMaciasM</v>
      </c>
      <c r="C300" s="21" t="s">
        <v>748</v>
      </c>
      <c r="D300" s="21" t="s">
        <v>25</v>
      </c>
      <c r="E300" s="22" t="str">
        <f>HYPERLINK("https://twitter.com/PepeMaciasM/status/803341618057187328","803341618057187328")</f>
        <v>803341618057187328</v>
      </c>
      <c r="F300" s="23" t="s">
        <v>37</v>
      </c>
      <c r="G300" s="24">
        <v>1516.0</v>
      </c>
      <c r="H300" s="24">
        <v>1475.0</v>
      </c>
      <c r="I300" s="24">
        <v>71.0</v>
      </c>
      <c r="J300" s="24">
        <v>0.0</v>
      </c>
      <c r="K300" s="23" t="s">
        <v>27</v>
      </c>
      <c r="L300" s="25">
        <v>41324.68319444444</v>
      </c>
      <c r="M300" s="26" t="s">
        <v>749</v>
      </c>
      <c r="N300" s="26" t="s">
        <v>750</v>
      </c>
      <c r="O300" s="22" t="str">
        <f>HYPERLINK("https://pbs.twimg.com/profile_images/796058706953768960/lG2hgqk4_normal.jpg","View")</f>
        <v>View</v>
      </c>
      <c r="P300" s="27"/>
    </row>
    <row r="301">
      <c r="A301" s="19">
        <v>42702.89633101852</v>
      </c>
      <c r="B301" s="20" t="str">
        <f>HYPERLINK("https://twitter.com/swisshop4uEs","@swisshop4uEs")</f>
        <v>@swisshop4uEs</v>
      </c>
      <c r="C301" s="21" t="s">
        <v>48</v>
      </c>
      <c r="D301" s="21" t="s">
        <v>751</v>
      </c>
      <c r="E301" s="22" t="str">
        <f>HYPERLINK("https://twitter.com/swisshop4uEs/status/803350433242681344","803350433242681344")</f>
        <v>803350433242681344</v>
      </c>
      <c r="F301" s="23" t="s">
        <v>50</v>
      </c>
      <c r="G301" s="24">
        <v>455.0</v>
      </c>
      <c r="H301" s="24">
        <v>424.0</v>
      </c>
      <c r="I301" s="24">
        <v>0.0</v>
      </c>
      <c r="J301" s="24">
        <v>0.0</v>
      </c>
      <c r="K301" s="23" t="s">
        <v>27</v>
      </c>
      <c r="L301" s="25">
        <v>41468.93072916666</v>
      </c>
      <c r="M301" s="26" t="s">
        <v>51</v>
      </c>
      <c r="N301" s="26" t="s">
        <v>52</v>
      </c>
      <c r="O301" s="22" t="str">
        <f>HYPERLINK("https://pbs.twimg.com/profile_images/378800000213382003/4f562b59f92995b884d2d440f71fc5ce_normal.png","View")</f>
        <v>View</v>
      </c>
      <c r="P301" s="27"/>
    </row>
    <row r="302">
      <c r="A302" s="19">
        <v>42702.89638888889</v>
      </c>
      <c r="B302" s="20" t="str">
        <f>HYPERLINK("https://twitter.com/Love4AnimalsNL","@Love4AnimalsNL")</f>
        <v>@Love4AnimalsNL</v>
      </c>
      <c r="C302" s="21" t="s">
        <v>718</v>
      </c>
      <c r="D302" s="21" t="s">
        <v>752</v>
      </c>
      <c r="E302" s="22" t="str">
        <f>HYPERLINK("https://twitter.com/Love4AnimalsNL/status/803350455996780545","803350455996780545")</f>
        <v>803350455996780545</v>
      </c>
      <c r="F302" s="23" t="s">
        <v>37</v>
      </c>
      <c r="G302" s="24">
        <v>1395.0</v>
      </c>
      <c r="H302" s="24">
        <v>845.0</v>
      </c>
      <c r="I302" s="24">
        <v>1.0</v>
      </c>
      <c r="J302" s="24">
        <v>0.0</v>
      </c>
      <c r="K302" s="23" t="s">
        <v>27</v>
      </c>
      <c r="L302" s="25">
        <v>41461.69767361111</v>
      </c>
      <c r="M302" s="26" t="s">
        <v>719</v>
      </c>
      <c r="N302" s="26" t="s">
        <v>720</v>
      </c>
      <c r="O302" s="22" t="str">
        <f>HYPERLINK("https://pbs.twimg.com/profile_images/737796747418697728/8xgd3nQv_normal.jpg","View")</f>
        <v>View</v>
      </c>
      <c r="P302" s="27"/>
    </row>
    <row r="303">
      <c r="A303" s="19">
        <v>42702.90539351852</v>
      </c>
      <c r="B303" s="20" t="str">
        <f>HYPERLINK("https://twitter.com/mhall55nine","@mhall55nine")</f>
        <v>@mhall55nine</v>
      </c>
      <c r="C303" s="21" t="s">
        <v>753</v>
      </c>
      <c r="D303" s="21" t="s">
        <v>754</v>
      </c>
      <c r="E303" s="22" t="str">
        <f>HYPERLINK("https://twitter.com/mhall55nine/status/803353718372515840","803353718372515840")</f>
        <v>803353718372515840</v>
      </c>
      <c r="F303" s="23" t="s">
        <v>37</v>
      </c>
      <c r="G303" s="24">
        <v>14420.0</v>
      </c>
      <c r="H303" s="24">
        <v>11930.0</v>
      </c>
      <c r="I303" s="24">
        <v>35.0</v>
      </c>
      <c r="J303" s="24">
        <v>0.0</v>
      </c>
      <c r="K303" s="23" t="s">
        <v>27</v>
      </c>
      <c r="L303" s="25">
        <v>41978.94167824074</v>
      </c>
      <c r="M303" s="26" t="s">
        <v>755</v>
      </c>
      <c r="N303" s="26" t="s">
        <v>756</v>
      </c>
      <c r="O303" s="22" t="str">
        <f>HYPERLINK("https://pbs.twimg.com/profile_images/542516716161355776/jVb28Etr_normal.jpeg","View")</f>
        <v>View</v>
      </c>
      <c r="P303" s="27"/>
    </row>
    <row r="304">
      <c r="A304" s="19">
        <v>42702.908541666664</v>
      </c>
      <c r="B304" s="20" t="str">
        <f>HYPERLINK("https://twitter.com/ebook_travel","@ebook_travel")</f>
        <v>@ebook_travel</v>
      </c>
      <c r="C304" s="21" t="s">
        <v>290</v>
      </c>
      <c r="D304" s="21" t="s">
        <v>757</v>
      </c>
      <c r="E304" s="22" t="str">
        <f>HYPERLINK("https://twitter.com/ebook_travel/status/803354858380292096","803354858380292096")</f>
        <v>803354858380292096</v>
      </c>
      <c r="F304" s="23" t="s">
        <v>401</v>
      </c>
      <c r="G304" s="24">
        <v>10366.0</v>
      </c>
      <c r="H304" s="24">
        <v>6407.0</v>
      </c>
      <c r="I304" s="24">
        <v>0.0</v>
      </c>
      <c r="J304" s="24">
        <v>0.0</v>
      </c>
      <c r="K304" s="23" t="s">
        <v>27</v>
      </c>
      <c r="L304" s="25">
        <v>40307.68127314815</v>
      </c>
      <c r="M304" s="26" t="s">
        <v>292</v>
      </c>
      <c r="N304" s="26" t="s">
        <v>293</v>
      </c>
      <c r="O304" s="22" t="str">
        <f>HYPERLINK("https://pbs.twimg.com/profile_images/506732081079013377/VmrRkhPe_normal.jpeg","View")</f>
        <v>View</v>
      </c>
      <c r="P304" s="27"/>
    </row>
    <row r="305">
      <c r="A305" s="19">
        <v>42702.908541666664</v>
      </c>
      <c r="B305" s="20" t="str">
        <f>HYPERLINK("https://twitter.com/myartpainting","@myartpainting")</f>
        <v>@myartpainting</v>
      </c>
      <c r="C305" s="21" t="s">
        <v>758</v>
      </c>
      <c r="D305" s="21" t="s">
        <v>754</v>
      </c>
      <c r="E305" s="22" t="str">
        <f>HYPERLINK("https://twitter.com/myartpainting/status/803354858938105858","803354858938105858")</f>
        <v>803354858938105858</v>
      </c>
      <c r="F305" s="23" t="s">
        <v>37</v>
      </c>
      <c r="G305" s="24">
        <v>5707.0</v>
      </c>
      <c r="H305" s="24">
        <v>4639.0</v>
      </c>
      <c r="I305" s="24">
        <v>35.0</v>
      </c>
      <c r="J305" s="24">
        <v>0.0</v>
      </c>
      <c r="K305" s="23" t="s">
        <v>27</v>
      </c>
      <c r="L305" s="25">
        <v>41937.94515046296</v>
      </c>
      <c r="M305" s="26" t="s">
        <v>759</v>
      </c>
      <c r="N305" s="26" t="s">
        <v>760</v>
      </c>
      <c r="O305" s="22" t="str">
        <f>HYPERLINK("https://pbs.twimg.com/profile_images/526134339122122752/6C-Im_He_normal.jpeg","View")</f>
        <v>View</v>
      </c>
      <c r="P305" s="27"/>
    </row>
    <row r="306">
      <c r="A306" s="19">
        <v>42702.91790509259</v>
      </c>
      <c r="B306" s="20" t="str">
        <f>HYPERLINK("https://twitter.com/leochik89","@leochik89")</f>
        <v>@leochik89</v>
      </c>
      <c r="C306" s="21" t="s">
        <v>761</v>
      </c>
      <c r="D306" s="21" t="s">
        <v>754</v>
      </c>
      <c r="E306" s="22" t="str">
        <f>HYPERLINK("https://twitter.com/leochik89/status/803358253396553728","803358253396553728")</f>
        <v>803358253396553728</v>
      </c>
      <c r="F306" s="23" t="s">
        <v>41</v>
      </c>
      <c r="G306" s="24">
        <v>81.0</v>
      </c>
      <c r="H306" s="24">
        <v>131.0</v>
      </c>
      <c r="I306" s="24">
        <v>35.0</v>
      </c>
      <c r="J306" s="24">
        <v>0.0</v>
      </c>
      <c r="K306" s="23" t="s">
        <v>27</v>
      </c>
      <c r="L306" s="25">
        <v>42578.77118055556</v>
      </c>
      <c r="M306" s="26" t="s">
        <v>762</v>
      </c>
      <c r="N306" s="26" t="s">
        <v>763</v>
      </c>
      <c r="O306" s="22" t="str">
        <f>HYPERLINK("https://pbs.twimg.com/profile_images/758359054007709696/aWD6LYHE_normal.jpg","View")</f>
        <v>View</v>
      </c>
      <c r="P306" s="27"/>
    </row>
    <row r="307">
      <c r="A307" s="19">
        <v>42702.918125</v>
      </c>
      <c r="B307" s="20" t="str">
        <f>HYPERLINK("https://twitter.com/FlavoursandFros","@FlavoursandFros")</f>
        <v>@FlavoursandFros</v>
      </c>
      <c r="C307" s="21" t="s">
        <v>764</v>
      </c>
      <c r="D307" s="21" t="s">
        <v>765</v>
      </c>
      <c r="E307" s="22" t="str">
        <f>HYPERLINK("https://twitter.com/FlavoursandFros/status/803358330378928131","803358330378928131")</f>
        <v>803358330378928131</v>
      </c>
      <c r="F307" s="23" t="s">
        <v>50</v>
      </c>
      <c r="G307" s="24">
        <v>10396.0</v>
      </c>
      <c r="H307" s="24">
        <v>7642.0</v>
      </c>
      <c r="I307" s="24">
        <v>0.0</v>
      </c>
      <c r="J307" s="24">
        <v>2.0</v>
      </c>
      <c r="K307" s="23" t="s">
        <v>27</v>
      </c>
      <c r="L307" s="25">
        <v>41395.61443287037</v>
      </c>
      <c r="M307" s="26" t="s">
        <v>305</v>
      </c>
      <c r="N307" s="26" t="s">
        <v>766</v>
      </c>
      <c r="O307" s="22" t="str">
        <f>HYPERLINK("https://pbs.twimg.com/profile_images/661504929606057984/Q5xrk4Oc_normal.jpg","View")</f>
        <v>View</v>
      </c>
      <c r="P307" s="27"/>
    </row>
    <row r="308">
      <c r="A308" s="19">
        <v>42702.92296296296</v>
      </c>
      <c r="B308" s="20" t="str">
        <f>HYPERLINK("https://twitter.com/Ceciu_","@Ceciu_")</f>
        <v>@Ceciu_</v>
      </c>
      <c r="C308" s="21" t="s">
        <v>767</v>
      </c>
      <c r="D308" s="21" t="s">
        <v>768</v>
      </c>
      <c r="E308" s="22" t="str">
        <f>HYPERLINK("https://twitter.com/Ceciu_/status/803360083086286848","803360083086286848")</f>
        <v>803360083086286848</v>
      </c>
      <c r="F308" s="23" t="s">
        <v>81</v>
      </c>
      <c r="G308" s="24">
        <v>1103.0</v>
      </c>
      <c r="H308" s="24">
        <v>173.0</v>
      </c>
      <c r="I308" s="24">
        <v>0.0</v>
      </c>
      <c r="J308" s="24">
        <v>0.0</v>
      </c>
      <c r="K308" s="23" t="s">
        <v>27</v>
      </c>
      <c r="L308" s="25">
        <v>40684.89356481482</v>
      </c>
      <c r="M308" s="26" t="s">
        <v>769</v>
      </c>
      <c r="N308" s="26" t="s">
        <v>770</v>
      </c>
      <c r="O308" s="22" t="str">
        <f>HYPERLINK("https://pbs.twimg.com/profile_images/683315649712648194/DjyW-n3Y_normal.jpg","View")</f>
        <v>View</v>
      </c>
      <c r="P308" s="27"/>
    </row>
    <row r="309">
      <c r="A309" s="19">
        <v>42702.92302083333</v>
      </c>
      <c r="B309" s="20" t="str">
        <f>HYPERLINK("https://twitter.com/totaltenerife","@totaltenerife")</f>
        <v>@totaltenerife</v>
      </c>
      <c r="C309" s="21" t="s">
        <v>771</v>
      </c>
      <c r="D309" s="21" t="s">
        <v>375</v>
      </c>
      <c r="E309" s="22" t="str">
        <f>HYPERLINK("https://twitter.com/totaltenerife/status/803360106616332292","803360106616332292")</f>
        <v>803360106616332292</v>
      </c>
      <c r="F309" s="23" t="s">
        <v>26</v>
      </c>
      <c r="G309" s="24">
        <v>348.0</v>
      </c>
      <c r="H309" s="24">
        <v>562.0</v>
      </c>
      <c r="I309" s="24">
        <v>8.0</v>
      </c>
      <c r="J309" s="24">
        <v>0.0</v>
      </c>
      <c r="K309" s="23" t="s">
        <v>27</v>
      </c>
      <c r="L309" s="25">
        <v>42378.4080787037</v>
      </c>
      <c r="M309" s="28"/>
      <c r="N309" s="26" t="s">
        <v>772</v>
      </c>
      <c r="O309" s="22" t="str">
        <f>HYPERLINK("https://pbs.twimg.com/profile_images/686553191345975296/F8l5vG5x_normal.jpg","View")</f>
        <v>View</v>
      </c>
      <c r="P309" s="27"/>
    </row>
    <row r="310">
      <c r="A310" s="19">
        <v>42702.930138888885</v>
      </c>
      <c r="B310" s="20" t="str">
        <f>HYPERLINK("https://twitter.com/islaspromo","@islaspromo")</f>
        <v>@islaspromo</v>
      </c>
      <c r="C310" s="21" t="s">
        <v>215</v>
      </c>
      <c r="D310" s="21" t="s">
        <v>724</v>
      </c>
      <c r="E310" s="22" t="str">
        <f>HYPERLINK("https://twitter.com/islaspromo/status/803362686515998720","803362686515998720")</f>
        <v>803362686515998720</v>
      </c>
      <c r="F310" s="23" t="s">
        <v>41</v>
      </c>
      <c r="G310" s="24">
        <v>785.0</v>
      </c>
      <c r="H310" s="24">
        <v>591.0</v>
      </c>
      <c r="I310" s="24">
        <v>2.0</v>
      </c>
      <c r="J310" s="24">
        <v>0.0</v>
      </c>
      <c r="K310" s="23" t="s">
        <v>27</v>
      </c>
      <c r="L310" s="25">
        <v>42060.74221064815</v>
      </c>
      <c r="M310" s="26" t="s">
        <v>51</v>
      </c>
      <c r="N310" s="26" t="s">
        <v>216</v>
      </c>
      <c r="O310" s="22" t="str">
        <f>HYPERLINK("https://pbs.twimg.com/profile_images/570644453866483712/dvbC2x8W_normal.jpeg","View")</f>
        <v>View</v>
      </c>
      <c r="P310" s="27"/>
    </row>
    <row r="311">
      <c r="A311" s="19">
        <v>42702.93033564815</v>
      </c>
      <c r="B311" s="20" t="str">
        <f>HYPERLINK("https://twitter.com/diveniki","@diveniki")</f>
        <v>@diveniki</v>
      </c>
      <c r="C311" s="21" t="s">
        <v>773</v>
      </c>
      <c r="D311" s="21" t="s">
        <v>774</v>
      </c>
      <c r="E311" s="22" t="str">
        <f>HYPERLINK("https://twitter.com/diveniki/status/803362755608805376","803362755608805376")</f>
        <v>803362755608805376</v>
      </c>
      <c r="F311" s="23" t="s">
        <v>41</v>
      </c>
      <c r="G311" s="24">
        <v>65.0</v>
      </c>
      <c r="H311" s="24">
        <v>461.0</v>
      </c>
      <c r="I311" s="24">
        <v>0.0</v>
      </c>
      <c r="J311" s="24">
        <v>2.0</v>
      </c>
      <c r="K311" s="23" t="s">
        <v>27</v>
      </c>
      <c r="L311" s="25">
        <v>40571.69461805555</v>
      </c>
      <c r="M311" s="28"/>
      <c r="N311" s="26" t="s">
        <v>775</v>
      </c>
      <c r="O311" s="22" t="str">
        <f>HYPERLINK("https://pbs.twimg.com/profile_images/764390664142454785/QRDRzILj_normal.jpg","View")</f>
        <v>View</v>
      </c>
      <c r="P311" s="27"/>
    </row>
    <row r="312">
      <c r="A312" s="19">
        <v>42702.93685185185</v>
      </c>
      <c r="B312" s="20" t="str">
        <f>HYPERLINK("https://twitter.com/PRevelchione","@PRevelchione")</f>
        <v>@PRevelchione</v>
      </c>
      <c r="C312" s="21" t="s">
        <v>776</v>
      </c>
      <c r="D312" s="21" t="s">
        <v>777</v>
      </c>
      <c r="E312" s="22" t="str">
        <f>HYPERLINK("https://twitter.com/PRevelchione/status/803365117605847041","803365117605847041")</f>
        <v>803365117605847041</v>
      </c>
      <c r="F312" s="23" t="s">
        <v>81</v>
      </c>
      <c r="G312" s="24">
        <v>107.0</v>
      </c>
      <c r="H312" s="24">
        <v>118.0</v>
      </c>
      <c r="I312" s="24">
        <v>0.0</v>
      </c>
      <c r="J312" s="24">
        <v>0.0</v>
      </c>
      <c r="K312" s="23" t="s">
        <v>27</v>
      </c>
      <c r="L312" s="25">
        <v>41042.02217592593</v>
      </c>
      <c r="M312" s="28"/>
      <c r="N312" s="26" t="s">
        <v>778</v>
      </c>
      <c r="O312" s="22" t="str">
        <f>HYPERLINK("https://pbs.twimg.com/profile_images/378800000061994811/33278fcf427161cc1589241e184a7e56_normal.jpeg","View")</f>
        <v>View</v>
      </c>
      <c r="P312" s="27" t="str">
        <f>HYPERLINK("https://ctrlq.org/maps/address/#28.0542107,-16.7280102","Map")</f>
        <v>#ERROR!</v>
      </c>
    </row>
    <row r="313">
      <c r="A313" s="19">
        <v>42702.94563657408</v>
      </c>
      <c r="B313" s="20" t="str">
        <f t="shared" ref="B313:B315" si="34">HYPERLINK("https://twitter.com/26rachel96","@26rachel96")</f>
        <v>@26rachel96</v>
      </c>
      <c r="C313" s="21" t="s">
        <v>779</v>
      </c>
      <c r="D313" s="21" t="s">
        <v>558</v>
      </c>
      <c r="E313" s="22" t="str">
        <f>HYPERLINK("https://twitter.com/26rachel96/status/803368302194126849","803368302194126849")</f>
        <v>803368302194126849</v>
      </c>
      <c r="F313" s="23" t="s">
        <v>780</v>
      </c>
      <c r="G313" s="24">
        <v>113.0</v>
      </c>
      <c r="H313" s="24">
        <v>351.0</v>
      </c>
      <c r="I313" s="24">
        <v>36.0</v>
      </c>
      <c r="J313" s="24">
        <v>0.0</v>
      </c>
      <c r="K313" s="23" t="s">
        <v>27</v>
      </c>
      <c r="L313" s="25">
        <v>42429.53643518519</v>
      </c>
      <c r="M313" s="26" t="s">
        <v>65</v>
      </c>
      <c r="N313" s="26" t="s">
        <v>781</v>
      </c>
      <c r="O313" s="22" t="str">
        <f t="shared" ref="O313:O315" si="35">HYPERLINK("https://pbs.twimg.com/profile_images/704289777378574340/Ecplr2FX_normal.jpg","View")</f>
        <v>View</v>
      </c>
      <c r="P313" s="27"/>
    </row>
    <row r="314">
      <c r="A314" s="19">
        <v>42702.946747685186</v>
      </c>
      <c r="B314" s="20" t="str">
        <f t="shared" si="34"/>
        <v>@26rachel96</v>
      </c>
      <c r="C314" s="21" t="s">
        <v>779</v>
      </c>
      <c r="D314" s="21" t="s">
        <v>25</v>
      </c>
      <c r="E314" s="22" t="str">
        <f>HYPERLINK("https://twitter.com/26rachel96/status/803368702628556800","803368702628556800")</f>
        <v>803368702628556800</v>
      </c>
      <c r="F314" s="23" t="s">
        <v>780</v>
      </c>
      <c r="G314" s="24">
        <v>113.0</v>
      </c>
      <c r="H314" s="24">
        <v>351.0</v>
      </c>
      <c r="I314" s="24">
        <v>71.0</v>
      </c>
      <c r="J314" s="24">
        <v>0.0</v>
      </c>
      <c r="K314" s="23" t="s">
        <v>27</v>
      </c>
      <c r="L314" s="25">
        <v>42429.53643518519</v>
      </c>
      <c r="M314" s="26" t="s">
        <v>65</v>
      </c>
      <c r="N314" s="26" t="s">
        <v>781</v>
      </c>
      <c r="O314" s="22" t="str">
        <f t="shared" si="35"/>
        <v>View</v>
      </c>
      <c r="P314" s="27"/>
    </row>
    <row r="315">
      <c r="A315" s="19">
        <v>42702.948495370365</v>
      </c>
      <c r="B315" s="20" t="str">
        <f t="shared" si="34"/>
        <v>@26rachel96</v>
      </c>
      <c r="C315" s="21" t="s">
        <v>779</v>
      </c>
      <c r="D315" s="21" t="s">
        <v>112</v>
      </c>
      <c r="E315" s="22" t="str">
        <f>HYPERLINK("https://twitter.com/26rachel96/status/803369336480079873","803369336480079873")</f>
        <v>803369336480079873</v>
      </c>
      <c r="F315" s="23" t="s">
        <v>780</v>
      </c>
      <c r="G315" s="24">
        <v>113.0</v>
      </c>
      <c r="H315" s="24">
        <v>351.0</v>
      </c>
      <c r="I315" s="24">
        <v>63.0</v>
      </c>
      <c r="J315" s="24">
        <v>0.0</v>
      </c>
      <c r="K315" s="23" t="s">
        <v>27</v>
      </c>
      <c r="L315" s="25">
        <v>42429.53643518519</v>
      </c>
      <c r="M315" s="26" t="s">
        <v>65</v>
      </c>
      <c r="N315" s="26" t="s">
        <v>781</v>
      </c>
      <c r="O315" s="22" t="str">
        <f t="shared" si="35"/>
        <v>View</v>
      </c>
      <c r="P315" s="27"/>
    </row>
    <row r="316">
      <c r="A316" s="19">
        <v>42702.94886574074</v>
      </c>
      <c r="B316" s="20" t="str">
        <f>HYPERLINK("https://twitter.com/MakedelBot","@MakedelBot")</f>
        <v>@MakedelBot</v>
      </c>
      <c r="C316" s="21" t="s">
        <v>782</v>
      </c>
      <c r="D316" s="21" t="s">
        <v>783</v>
      </c>
      <c r="E316" s="22" t="str">
        <f>HYPERLINK("https://twitter.com/MakedelBot/status/803369469796057088","803369469796057088")</f>
        <v>803369469796057088</v>
      </c>
      <c r="F316" s="23" t="s">
        <v>81</v>
      </c>
      <c r="G316" s="24">
        <v>63.0</v>
      </c>
      <c r="H316" s="24">
        <v>64.0</v>
      </c>
      <c r="I316" s="24">
        <v>0.0</v>
      </c>
      <c r="J316" s="24">
        <v>1.0</v>
      </c>
      <c r="K316" s="23" t="s">
        <v>27</v>
      </c>
      <c r="L316" s="25">
        <v>41866.855219907404</v>
      </c>
      <c r="M316" s="26" t="s">
        <v>784</v>
      </c>
      <c r="N316" s="26" t="s">
        <v>785</v>
      </c>
      <c r="O316" s="22" t="str">
        <f>HYPERLINK("https://pbs.twimg.com/profile_images/760530182335827968/4Xsb4Npp_normal.jpg","View")</f>
        <v>View</v>
      </c>
      <c r="P316" s="27"/>
    </row>
    <row r="317">
      <c r="A317" s="19">
        <v>42702.94939814815</v>
      </c>
      <c r="B317" s="20" t="str">
        <f>HYPERLINK("https://twitter.com/MariaeLeon27","@MariaeLeon27")</f>
        <v>@MariaeLeon27</v>
      </c>
      <c r="C317" s="21" t="s">
        <v>786</v>
      </c>
      <c r="D317" s="21" t="s">
        <v>787</v>
      </c>
      <c r="E317" s="22" t="str">
        <f>HYPERLINK("https://twitter.com/MariaeLeon27/status/803369662998265856","803369662998265856")</f>
        <v>803369662998265856</v>
      </c>
      <c r="F317" s="23" t="s">
        <v>37</v>
      </c>
      <c r="G317" s="24">
        <v>190.0</v>
      </c>
      <c r="H317" s="24">
        <v>233.0</v>
      </c>
      <c r="I317" s="24">
        <v>0.0</v>
      </c>
      <c r="J317" s="24">
        <v>1.0</v>
      </c>
      <c r="K317" s="23" t="s">
        <v>27</v>
      </c>
      <c r="L317" s="25">
        <v>41203.288356481484</v>
      </c>
      <c r="M317" s="26" t="s">
        <v>788</v>
      </c>
      <c r="N317" s="26" t="s">
        <v>789</v>
      </c>
      <c r="O317" s="22" t="str">
        <f>HYPERLINK("https://pbs.twimg.com/profile_images/458680487225999360/SKDTUtw8_normal.jpeg","View")</f>
        <v>View</v>
      </c>
      <c r="P317" s="27"/>
    </row>
    <row r="318">
      <c r="A318" s="19">
        <v>42702.95196759259</v>
      </c>
      <c r="B318" s="20" t="str">
        <f>HYPERLINK("https://twitter.com/multitiendaperf","@multitiendaperf")</f>
        <v>@multitiendaperf</v>
      </c>
      <c r="C318" s="21" t="s">
        <v>790</v>
      </c>
      <c r="D318" s="21" t="s">
        <v>791</v>
      </c>
      <c r="E318" s="22" t="str">
        <f>HYPERLINK("https://twitter.com/multitiendaperf/status/803370594163105792","803370594163105792")</f>
        <v>803370594163105792</v>
      </c>
      <c r="F318" s="23" t="s">
        <v>26</v>
      </c>
      <c r="G318" s="24">
        <v>461.0</v>
      </c>
      <c r="H318" s="24">
        <v>1277.0</v>
      </c>
      <c r="I318" s="24">
        <v>6.0</v>
      </c>
      <c r="J318" s="24">
        <v>0.0</v>
      </c>
      <c r="K318" s="23" t="s">
        <v>27</v>
      </c>
      <c r="L318" s="25">
        <v>42097.467673611114</v>
      </c>
      <c r="M318" s="26" t="s">
        <v>792</v>
      </c>
      <c r="N318" s="26" t="s">
        <v>793</v>
      </c>
      <c r="O318" s="22" t="str">
        <f>HYPERLINK("https://pbs.twimg.com/profile_images/688092930607845376/uhsBGH-n_normal.jpg","View")</f>
        <v>View</v>
      </c>
      <c r="P318" s="27"/>
    </row>
    <row r="319">
      <c r="A319" s="19">
        <v>42702.989652777775</v>
      </c>
      <c r="B319" s="20" t="str">
        <f>HYPERLINK("https://twitter.com/travelsaurous","@travelsaurous")</f>
        <v>@travelsaurous</v>
      </c>
      <c r="C319" s="21" t="s">
        <v>794</v>
      </c>
      <c r="D319" s="21" t="s">
        <v>795</v>
      </c>
      <c r="E319" s="22" t="str">
        <f>HYPERLINK("https://twitter.com/travelsaurous/status/803384250540183552","803384250540183552")</f>
        <v>803384250540183552</v>
      </c>
      <c r="F319" s="23" t="s">
        <v>37</v>
      </c>
      <c r="G319" s="24">
        <v>80.0</v>
      </c>
      <c r="H319" s="24">
        <v>130.0</v>
      </c>
      <c r="I319" s="24">
        <v>1.0</v>
      </c>
      <c r="J319" s="24">
        <v>0.0</v>
      </c>
      <c r="K319" s="23" t="s">
        <v>27</v>
      </c>
      <c r="L319" s="25">
        <v>41397.90511574074</v>
      </c>
      <c r="M319" s="26" t="s">
        <v>796</v>
      </c>
      <c r="N319" s="26" t="s">
        <v>797</v>
      </c>
      <c r="O319" s="22" t="str">
        <f>HYPERLINK("https://pbs.twimg.com/profile_images/801007789334265856/Myj73CWN_normal.jpg","View")</f>
        <v>View</v>
      </c>
      <c r="P319" s="27"/>
    </row>
    <row r="320">
      <c r="A320" s="19">
        <v>42703.006018518514</v>
      </c>
      <c r="B320" s="20" t="str">
        <f>HYPERLINK("https://twitter.com/wildhighlander","@wildhighlander")</f>
        <v>@wildhighlander</v>
      </c>
      <c r="C320" s="21" t="s">
        <v>798</v>
      </c>
      <c r="D320" s="21" t="s">
        <v>799</v>
      </c>
      <c r="E320" s="22" t="str">
        <f>HYPERLINK("https://twitter.com/wildhighlander/status/803390182628139008","803390182628139008")</f>
        <v>803390182628139008</v>
      </c>
      <c r="F320" s="23" t="s">
        <v>26</v>
      </c>
      <c r="G320" s="24">
        <v>4844.0</v>
      </c>
      <c r="H320" s="24">
        <v>834.0</v>
      </c>
      <c r="I320" s="24">
        <v>22.0</v>
      </c>
      <c r="J320" s="24">
        <v>0.0</v>
      </c>
      <c r="K320" s="23" t="s">
        <v>27</v>
      </c>
      <c r="L320" s="25">
        <v>39767.85040509259</v>
      </c>
      <c r="M320" s="26" t="s">
        <v>800</v>
      </c>
      <c r="N320" s="26" t="s">
        <v>801</v>
      </c>
      <c r="O320" s="22" t="str">
        <f>HYPERLINK("https://pbs.twimg.com/profile_images/3751795314/3055b18546cde27291729eb2d3a36443_normal.jpeg","View")</f>
        <v>View</v>
      </c>
      <c r="P320" s="27"/>
    </row>
    <row r="321">
      <c r="A321" s="19">
        <v>42703.02155092593</v>
      </c>
      <c r="B321" s="20" t="str">
        <f>HYPERLINK("https://twitter.com/EmocionesCan","@EmocionesCan")</f>
        <v>@EmocionesCan</v>
      </c>
      <c r="C321" s="21" t="s">
        <v>39</v>
      </c>
      <c r="D321" s="21" t="s">
        <v>570</v>
      </c>
      <c r="E321" s="22" t="str">
        <f>HYPERLINK("https://twitter.com/EmocionesCan/status/803395813439369216","803395813439369216")</f>
        <v>803395813439369216</v>
      </c>
      <c r="F321" s="23" t="s">
        <v>41</v>
      </c>
      <c r="G321" s="24">
        <v>61321.0</v>
      </c>
      <c r="H321" s="24">
        <v>3424.0</v>
      </c>
      <c r="I321" s="24">
        <v>5.0</v>
      </c>
      <c r="J321" s="24">
        <v>0.0</v>
      </c>
      <c r="K321" s="23" t="s">
        <v>27</v>
      </c>
      <c r="L321" s="25">
        <v>40776.91810185185</v>
      </c>
      <c r="M321" s="26" t="s">
        <v>42</v>
      </c>
      <c r="N321" s="26" t="s">
        <v>43</v>
      </c>
      <c r="O321" s="22" t="str">
        <f>HYPERLINK("https://pbs.twimg.com/profile_images/1508754713/Logos_Perfiles_EECC_-_Sin_borde_y_sin_texto_normal.jpg","View")</f>
        <v>View</v>
      </c>
      <c r="P321" s="27"/>
    </row>
    <row r="322">
      <c r="A322" s="19">
        <v>42703.04266203704</v>
      </c>
      <c r="B322" s="20" t="str">
        <f>HYPERLINK("https://twitter.com/MistressAl","@MistressAl")</f>
        <v>@MistressAl</v>
      </c>
      <c r="C322" s="21" t="s">
        <v>802</v>
      </c>
      <c r="D322" s="21" t="s">
        <v>803</v>
      </c>
      <c r="E322" s="22" t="str">
        <f>HYPERLINK("https://twitter.com/MistressAl/status/803403462369284096","803403462369284096")</f>
        <v>803403462369284096</v>
      </c>
      <c r="F322" s="23" t="s">
        <v>37</v>
      </c>
      <c r="G322" s="24">
        <v>348.0</v>
      </c>
      <c r="H322" s="24">
        <v>85.0</v>
      </c>
      <c r="I322" s="24">
        <v>6.0</v>
      </c>
      <c r="J322" s="24">
        <v>21.0</v>
      </c>
      <c r="K322" s="23" t="s">
        <v>27</v>
      </c>
      <c r="L322" s="25">
        <v>42290.878171296295</v>
      </c>
      <c r="M322" s="26" t="s">
        <v>130</v>
      </c>
      <c r="N322" s="26" t="s">
        <v>804</v>
      </c>
      <c r="O322" s="22" t="str">
        <f>HYPERLINK("https://pbs.twimg.com/profile_images/694538941903544320/Nzq-yhrU_normal.jpg","View")</f>
        <v>View</v>
      </c>
      <c r="P322" s="27"/>
    </row>
    <row r="323">
      <c r="A323" s="19">
        <v>42703.064791666664</v>
      </c>
      <c r="B323" s="20" t="str">
        <f>HYPERLINK("https://twitter.com/plasticsub37","@plasticsub37")</f>
        <v>@plasticsub37</v>
      </c>
      <c r="C323" s="21" t="s">
        <v>805</v>
      </c>
      <c r="D323" s="21" t="s">
        <v>806</v>
      </c>
      <c r="E323" s="22" t="str">
        <f>HYPERLINK("https://twitter.com/plasticsub37/status/803411479961731076","803411479961731076")</f>
        <v>803411479961731076</v>
      </c>
      <c r="F323" s="23" t="s">
        <v>37</v>
      </c>
      <c r="G323" s="24">
        <v>60.0</v>
      </c>
      <c r="H323" s="24">
        <v>55.0</v>
      </c>
      <c r="I323" s="24">
        <v>6.0</v>
      </c>
      <c r="J323" s="24">
        <v>0.0</v>
      </c>
      <c r="K323" s="23" t="s">
        <v>27</v>
      </c>
      <c r="L323" s="25">
        <v>42290.99953703704</v>
      </c>
      <c r="M323" s="28"/>
      <c r="N323" s="28"/>
      <c r="O323" s="22" t="str">
        <f>HYPERLINK("https://pbs.twimg.com/profile_images/674073236964028416/oB8ssbq5_normal.jpg","View")</f>
        <v>View</v>
      </c>
      <c r="P323" s="27"/>
    </row>
    <row r="324">
      <c r="A324" s="19">
        <v>42703.114641203705</v>
      </c>
      <c r="B324" s="20" t="str">
        <f>HYPERLINK("https://twitter.com/TripsMax","@TripsMax")</f>
        <v>@TripsMax</v>
      </c>
      <c r="C324" s="21" t="s">
        <v>399</v>
      </c>
      <c r="D324" s="21" t="s">
        <v>807</v>
      </c>
      <c r="E324" s="22" t="str">
        <f>HYPERLINK("https://twitter.com/TripsMax/status/803429545516929024","803429545516929024")</f>
        <v>803429545516929024</v>
      </c>
      <c r="F324" s="23" t="s">
        <v>401</v>
      </c>
      <c r="G324" s="24">
        <v>17039.0</v>
      </c>
      <c r="H324" s="24">
        <v>16.0</v>
      </c>
      <c r="I324" s="24">
        <v>0.0</v>
      </c>
      <c r="J324" s="24">
        <v>0.0</v>
      </c>
      <c r="K324" s="23" t="s">
        <v>27</v>
      </c>
      <c r="L324" s="25">
        <v>42479.21665509259</v>
      </c>
      <c r="M324" s="26" t="s">
        <v>402</v>
      </c>
      <c r="N324" s="26" t="s">
        <v>403</v>
      </c>
      <c r="O324" s="22" t="str">
        <f>HYPERLINK("https://pbs.twimg.com/profile_images/722276690668314624/DVEMR4Mc_normal.jpg","View")</f>
        <v>View</v>
      </c>
      <c r="P324" s="27"/>
    </row>
    <row r="325">
      <c r="A325" s="19">
        <v>42703.13506944444</v>
      </c>
      <c r="B325" s="20" t="str">
        <f>HYPERLINK("https://twitter.com/AirTravellerorg","@AirTravellerorg")</f>
        <v>@AirTravellerorg</v>
      </c>
      <c r="C325" s="21" t="s">
        <v>808</v>
      </c>
      <c r="D325" s="21" t="s">
        <v>809</v>
      </c>
      <c r="E325" s="22" t="str">
        <f>HYPERLINK("https://twitter.com/AirTravellerorg/status/803436950938001409","803436950938001409")</f>
        <v>803436950938001409</v>
      </c>
      <c r="F325" s="23" t="s">
        <v>37</v>
      </c>
      <c r="G325" s="24">
        <v>51442.0</v>
      </c>
      <c r="H325" s="24">
        <v>531.0</v>
      </c>
      <c r="I325" s="24">
        <v>0.0</v>
      </c>
      <c r="J325" s="24">
        <v>0.0</v>
      </c>
      <c r="K325" s="23" t="s">
        <v>27</v>
      </c>
      <c r="L325" s="25">
        <v>41857.98211805556</v>
      </c>
      <c r="M325" s="26" t="s">
        <v>810</v>
      </c>
      <c r="N325" s="26" t="s">
        <v>811</v>
      </c>
      <c r="O325" s="22" t="str">
        <f>HYPERLINK("https://pbs.twimg.com/profile_images/497164332166156288/UwFnzQJz_normal.png","View")</f>
        <v>View</v>
      </c>
      <c r="P325" s="27"/>
    </row>
    <row r="326">
      <c r="A326" s="19">
        <v>42703.16966435185</v>
      </c>
      <c r="B326" s="20" t="str">
        <f>HYPERLINK("https://twitter.com/irene_cwbfa","@irene_cwbfa")</f>
        <v>@irene_cwbfa</v>
      </c>
      <c r="C326" s="21" t="s">
        <v>812</v>
      </c>
      <c r="D326" s="21" t="s">
        <v>586</v>
      </c>
      <c r="E326" s="22" t="str">
        <f>HYPERLINK("https://twitter.com/irene_cwbfa/status/803449484361564160","803449484361564160")</f>
        <v>803449484361564160</v>
      </c>
      <c r="F326" s="23" t="s">
        <v>26</v>
      </c>
      <c r="G326" s="24">
        <v>353.0</v>
      </c>
      <c r="H326" s="24">
        <v>555.0</v>
      </c>
      <c r="I326" s="24">
        <v>16.0</v>
      </c>
      <c r="J326" s="24">
        <v>0.0</v>
      </c>
      <c r="K326" s="23" t="s">
        <v>27</v>
      </c>
      <c r="L326" s="25">
        <v>42037.7703587963</v>
      </c>
      <c r="M326" s="26" t="s">
        <v>813</v>
      </c>
      <c r="N326" s="26" t="s">
        <v>814</v>
      </c>
      <c r="O326" s="22" t="str">
        <f>HYPERLINK("https://pbs.twimg.com/profile_images/731990563684225024/TcUPk8Tx_normal.jpg","View")</f>
        <v>View</v>
      </c>
      <c r="P326" s="27"/>
    </row>
    <row r="327">
      <c r="A327" s="19">
        <v>42703.19171296296</v>
      </c>
      <c r="B327" s="20" t="str">
        <f>HYPERLINK("https://twitter.com/MihailSchwarz","@MihailSchwarz")</f>
        <v>@MihailSchwarz</v>
      </c>
      <c r="C327" s="21" t="s">
        <v>815</v>
      </c>
      <c r="D327" s="21" t="s">
        <v>25</v>
      </c>
      <c r="E327" s="22" t="str">
        <f>HYPERLINK("https://twitter.com/MihailSchwarz/status/803457475601170433","803457475601170433")</f>
        <v>803457475601170433</v>
      </c>
      <c r="F327" s="23" t="s">
        <v>26</v>
      </c>
      <c r="G327" s="24">
        <v>795.0</v>
      </c>
      <c r="H327" s="24">
        <v>194.0</v>
      </c>
      <c r="I327" s="24">
        <v>71.0</v>
      </c>
      <c r="J327" s="24">
        <v>0.0</v>
      </c>
      <c r="K327" s="23" t="s">
        <v>27</v>
      </c>
      <c r="L327" s="25">
        <v>40882.76199074074</v>
      </c>
      <c r="M327" s="26" t="s">
        <v>816</v>
      </c>
      <c r="N327" s="26" t="s">
        <v>817</v>
      </c>
      <c r="O327" s="22" t="str">
        <f>HYPERLINK("https://pbs.twimg.com/profile_images/378800000742091919/261480fe645618a81dbde91651aa976b_normal.jpeg","View")</f>
        <v>View</v>
      </c>
      <c r="P327" s="27"/>
    </row>
    <row r="328">
      <c r="A328" s="19">
        <v>42703.21896990741</v>
      </c>
      <c r="B328" s="20" t="str">
        <f>HYPERLINK("https://twitter.com/NoMore60138254","@NoMore60138254")</f>
        <v>@NoMore60138254</v>
      </c>
      <c r="C328" s="21" t="s">
        <v>818</v>
      </c>
      <c r="D328" s="21" t="s">
        <v>586</v>
      </c>
      <c r="E328" s="22" t="str">
        <f>HYPERLINK("https://twitter.com/NoMore60138254/status/803467354676011008","803467354676011008")</f>
        <v>803467354676011008</v>
      </c>
      <c r="F328" s="23" t="s">
        <v>41</v>
      </c>
      <c r="G328" s="24">
        <v>354.0</v>
      </c>
      <c r="H328" s="24">
        <v>282.0</v>
      </c>
      <c r="I328" s="24">
        <v>16.0</v>
      </c>
      <c r="J328" s="24">
        <v>0.0</v>
      </c>
      <c r="K328" s="23" t="s">
        <v>27</v>
      </c>
      <c r="L328" s="25">
        <v>41055.59195601852</v>
      </c>
      <c r="M328" s="26" t="s">
        <v>819</v>
      </c>
      <c r="N328" s="26" t="s">
        <v>820</v>
      </c>
      <c r="O328" s="22" t="str">
        <f>HYPERLINK("https://pbs.twimg.com/profile_images/2277343108/6seamhfrj4kb5xhvkso0_normal.png","View")</f>
        <v>View</v>
      </c>
      <c r="P328" s="27"/>
    </row>
    <row r="329">
      <c r="A329" s="19">
        <v>42703.23326388889</v>
      </c>
      <c r="B329" s="20" t="str">
        <f>HYPERLINK("https://twitter.com/MdameVictoria","@MdameVictoria")</f>
        <v>@MdameVictoria</v>
      </c>
      <c r="C329" s="21" t="s">
        <v>821</v>
      </c>
      <c r="D329" s="21" t="s">
        <v>806</v>
      </c>
      <c r="E329" s="22" t="str">
        <f>HYPERLINK("https://twitter.com/MdameVictoria/status/803472534213656576","803472534213656576")</f>
        <v>803472534213656576</v>
      </c>
      <c r="F329" s="23" t="s">
        <v>41</v>
      </c>
      <c r="G329" s="24">
        <v>577.0</v>
      </c>
      <c r="H329" s="24">
        <v>402.0</v>
      </c>
      <c r="I329" s="24">
        <v>6.0</v>
      </c>
      <c r="J329" s="24">
        <v>0.0</v>
      </c>
      <c r="K329" s="23" t="s">
        <v>27</v>
      </c>
      <c r="L329" s="25">
        <v>42668.38804398148</v>
      </c>
      <c r="M329" s="26" t="s">
        <v>822</v>
      </c>
      <c r="N329" s="26" t="s">
        <v>823</v>
      </c>
      <c r="O329" s="22" t="str">
        <f>HYPERLINK("https://pbs.twimg.com/profile_images/800397584418410496/KmcpxgeS_normal.jpg","View")</f>
        <v>View</v>
      </c>
      <c r="P329" s="27"/>
    </row>
    <row r="330">
      <c r="A330" s="19">
        <v>42703.27106481481</v>
      </c>
      <c r="B330" s="20" t="str">
        <f>HYPERLINK("https://twitter.com/MedCruiseGuide","@MedCruiseGuide")</f>
        <v>@MedCruiseGuide</v>
      </c>
      <c r="C330" s="21" t="s">
        <v>75</v>
      </c>
      <c r="D330" s="21" t="s">
        <v>824</v>
      </c>
      <c r="E330" s="22" t="str">
        <f>HYPERLINK("https://twitter.com/MedCruiseGuide/status/803486233016107008","803486233016107008")</f>
        <v>803486233016107008</v>
      </c>
      <c r="F330" s="23" t="s">
        <v>77</v>
      </c>
      <c r="G330" s="24">
        <v>20863.0</v>
      </c>
      <c r="H330" s="24">
        <v>19280.0</v>
      </c>
      <c r="I330" s="24">
        <v>2.0</v>
      </c>
      <c r="J330" s="24">
        <v>4.0</v>
      </c>
      <c r="K330" s="23" t="s">
        <v>27</v>
      </c>
      <c r="L330" s="25">
        <v>40592.49048611111</v>
      </c>
      <c r="M330" s="28"/>
      <c r="N330" s="26" t="s">
        <v>78</v>
      </c>
      <c r="O330" s="22" t="str">
        <f>HYPERLINK("https://pbs.twimg.com/profile_images/805484536301780992/2tho24Rf_normal.jpg","View")</f>
        <v>View</v>
      </c>
      <c r="P330" s="27"/>
    </row>
    <row r="331">
      <c r="A331" s="19">
        <v>42703.28185185185</v>
      </c>
      <c r="B331" s="20" t="str">
        <f>HYPERLINK("https://twitter.com/radiojagger","@radiojagger")</f>
        <v>@radiojagger</v>
      </c>
      <c r="C331" s="21" t="s">
        <v>825</v>
      </c>
      <c r="D331" s="21" t="s">
        <v>36</v>
      </c>
      <c r="E331" s="22" t="str">
        <f>HYPERLINK("https://twitter.com/radiojagger/status/803490143470555137","803490143470555137")</f>
        <v>803490143470555137</v>
      </c>
      <c r="F331" s="23" t="s">
        <v>26</v>
      </c>
      <c r="G331" s="24">
        <v>18462.0</v>
      </c>
      <c r="H331" s="24">
        <v>11627.0</v>
      </c>
      <c r="I331" s="24">
        <v>47.0</v>
      </c>
      <c r="J331" s="24">
        <v>0.0</v>
      </c>
      <c r="K331" s="23" t="s">
        <v>27</v>
      </c>
      <c r="L331" s="25">
        <v>40784.953148148146</v>
      </c>
      <c r="M331" s="26" t="s">
        <v>826</v>
      </c>
      <c r="N331" s="26" t="s">
        <v>827</v>
      </c>
      <c r="O331" s="22" t="str">
        <f>HYPERLINK("https://pbs.twimg.com/profile_images/490522145932722176/zxbyerHr_normal.jpeg","View")</f>
        <v>View</v>
      </c>
      <c r="P331" s="27"/>
    </row>
    <row r="332">
      <c r="A332" s="19">
        <v>42703.287777777776</v>
      </c>
      <c r="B332" s="20" t="str">
        <f>HYPERLINK("https://twitter.com/WestcottJane","@WestcottJane")</f>
        <v>@WestcottJane</v>
      </c>
      <c r="C332" s="21" t="s">
        <v>828</v>
      </c>
      <c r="D332" s="21" t="s">
        <v>36</v>
      </c>
      <c r="E332" s="22" t="str">
        <f>HYPERLINK("https://twitter.com/WestcottJane/status/803492289574305792","803492289574305792")</f>
        <v>803492289574305792</v>
      </c>
      <c r="F332" s="23" t="s">
        <v>26</v>
      </c>
      <c r="G332" s="24">
        <v>44.0</v>
      </c>
      <c r="H332" s="24">
        <v>163.0</v>
      </c>
      <c r="I332" s="24">
        <v>47.0</v>
      </c>
      <c r="J332" s="24">
        <v>0.0</v>
      </c>
      <c r="K332" s="23" t="s">
        <v>27</v>
      </c>
      <c r="L332" s="25">
        <v>41317.860300925924</v>
      </c>
      <c r="M332" s="26" t="s">
        <v>829</v>
      </c>
      <c r="N332" s="28"/>
      <c r="O332" s="22" t="str">
        <f>HYPERLINK("https://pbs.twimg.com/profile_images/754667727030251520/jjofWlyl_normal.jpg","View")</f>
        <v>View</v>
      </c>
      <c r="P332" s="27"/>
    </row>
    <row r="333">
      <c r="A333" s="19">
        <v>42703.28994212963</v>
      </c>
      <c r="B333" s="20" t="str">
        <f>HYPERLINK("https://twitter.com/ttriciaolander","@ttriciaolander")</f>
        <v>@ttriciaolander</v>
      </c>
      <c r="C333" s="21" t="s">
        <v>830</v>
      </c>
      <c r="D333" s="21" t="s">
        <v>36</v>
      </c>
      <c r="E333" s="22" t="str">
        <f>HYPERLINK("https://twitter.com/ttriciaolander/status/803493071530917888","803493071530917888")</f>
        <v>803493071530917888</v>
      </c>
      <c r="F333" s="23" t="s">
        <v>26</v>
      </c>
      <c r="G333" s="24">
        <v>33.0</v>
      </c>
      <c r="H333" s="24">
        <v>186.0</v>
      </c>
      <c r="I333" s="24">
        <v>47.0</v>
      </c>
      <c r="J333" s="24">
        <v>0.0</v>
      </c>
      <c r="K333" s="23" t="s">
        <v>27</v>
      </c>
      <c r="L333" s="25">
        <v>42226.835740740746</v>
      </c>
      <c r="M333" s="28"/>
      <c r="N333" s="26" t="s">
        <v>831</v>
      </c>
      <c r="O333" s="22" t="str">
        <f>HYPERLINK("https://abs.twimg.com/sticky/default_profile_images/default_profile_5_normal.png","View")</f>
        <v>View</v>
      </c>
      <c r="P333" s="27"/>
    </row>
    <row r="334">
      <c r="A334" s="19">
        <v>42703.29634259259</v>
      </c>
      <c r="B334" s="20" t="str">
        <f>HYPERLINK("https://twitter.com/_TenDive","@_TenDive")</f>
        <v>@_TenDive</v>
      </c>
      <c r="C334" s="21" t="s">
        <v>103</v>
      </c>
      <c r="D334" s="21" t="s">
        <v>832</v>
      </c>
      <c r="E334" s="22" t="str">
        <f>HYPERLINK("https://twitter.com/_TenDive/status/803495391371165696","803495391371165696")</f>
        <v>803495391371165696</v>
      </c>
      <c r="F334" s="23" t="s">
        <v>37</v>
      </c>
      <c r="G334" s="24">
        <v>235.0</v>
      </c>
      <c r="H334" s="24">
        <v>118.0</v>
      </c>
      <c r="I334" s="24">
        <v>1.0</v>
      </c>
      <c r="J334" s="24">
        <v>1.0</v>
      </c>
      <c r="K334" s="23" t="s">
        <v>27</v>
      </c>
      <c r="L334" s="25">
        <v>41385.479999999996</v>
      </c>
      <c r="M334" s="26" t="s">
        <v>105</v>
      </c>
      <c r="N334" s="26" t="s">
        <v>106</v>
      </c>
      <c r="O334" s="22" t="str">
        <f>HYPERLINK("https://pbs.twimg.com/profile_images/694439157893107712/KkG57Zcq_normal.jpg","View")</f>
        <v>View</v>
      </c>
      <c r="P334" s="27"/>
    </row>
    <row r="335">
      <c r="A335" s="19">
        <v>42703.29777777778</v>
      </c>
      <c r="B335" s="20" t="str">
        <f>HYPERLINK("https://twitter.com/bermaxo09","@bermaxo09")</f>
        <v>@bermaxo09</v>
      </c>
      <c r="C335" s="21" t="s">
        <v>284</v>
      </c>
      <c r="D335" s="21" t="s">
        <v>833</v>
      </c>
      <c r="E335" s="22" t="str">
        <f>HYPERLINK("https://twitter.com/bermaxo09/status/803495911053783040","803495911053783040")</f>
        <v>803495911053783040</v>
      </c>
      <c r="F335" s="23" t="s">
        <v>37</v>
      </c>
      <c r="G335" s="24">
        <v>193.0</v>
      </c>
      <c r="H335" s="24">
        <v>196.0</v>
      </c>
      <c r="I335" s="24">
        <v>0.0</v>
      </c>
      <c r="J335" s="24">
        <v>2.0</v>
      </c>
      <c r="K335" s="23" t="s">
        <v>27</v>
      </c>
      <c r="L335" s="25">
        <v>42689.441516203704</v>
      </c>
      <c r="M335" s="26" t="s">
        <v>109</v>
      </c>
      <c r="N335" s="26" t="s">
        <v>286</v>
      </c>
      <c r="O335" s="22" t="str">
        <f>HYPERLINK("https://pbs.twimg.com/profile_images/798476790478073856/iOD0HIRa_normal.jpg","View")</f>
        <v>View</v>
      </c>
      <c r="P335" s="27"/>
    </row>
    <row r="336">
      <c r="A336" s="19">
        <v>42703.30789351852</v>
      </c>
      <c r="B336" s="20" t="str">
        <f>HYPERLINK("https://twitter.com/ScubaFlorida","@ScubaFlorida")</f>
        <v>@ScubaFlorida</v>
      </c>
      <c r="C336" s="21" t="s">
        <v>834</v>
      </c>
      <c r="D336" s="21" t="s">
        <v>835</v>
      </c>
      <c r="E336" s="22" t="str">
        <f>HYPERLINK("https://twitter.com/ScubaFlorida/status/803499576997122048","803499576997122048")</f>
        <v>803499576997122048</v>
      </c>
      <c r="F336" s="23" t="s">
        <v>836</v>
      </c>
      <c r="G336" s="24">
        <v>1481.0</v>
      </c>
      <c r="H336" s="24">
        <v>211.0</v>
      </c>
      <c r="I336" s="24">
        <v>1.0</v>
      </c>
      <c r="J336" s="24">
        <v>0.0</v>
      </c>
      <c r="K336" s="23" t="s">
        <v>27</v>
      </c>
      <c r="L336" s="25">
        <v>40015.46666666667</v>
      </c>
      <c r="M336" s="26" t="s">
        <v>837</v>
      </c>
      <c r="N336" s="26" t="s">
        <v>838</v>
      </c>
      <c r="O336" s="22" t="str">
        <f>HYPERLINK("https://pbs.twimg.com/profile_images/560310747914199040/HR4MGmME_normal.jpeg","View")</f>
        <v>View</v>
      </c>
      <c r="P336" s="27"/>
    </row>
    <row r="337">
      <c r="A337" s="19">
        <v>42703.32298611111</v>
      </c>
      <c r="B337" s="20" t="str">
        <f>HYPERLINK("https://twitter.com/joshgreedy1","@joshgreedy1")</f>
        <v>@joshgreedy1</v>
      </c>
      <c r="C337" s="21" t="s">
        <v>839</v>
      </c>
      <c r="D337" s="21" t="s">
        <v>36</v>
      </c>
      <c r="E337" s="22" t="str">
        <f>HYPERLINK("https://twitter.com/joshgreedy1/status/803505049477517313","803505049477517313")</f>
        <v>803505049477517313</v>
      </c>
      <c r="F337" s="23" t="s">
        <v>26</v>
      </c>
      <c r="G337" s="24">
        <v>310.0</v>
      </c>
      <c r="H337" s="24">
        <v>878.0</v>
      </c>
      <c r="I337" s="24">
        <v>47.0</v>
      </c>
      <c r="J337" s="24">
        <v>0.0</v>
      </c>
      <c r="K337" s="23" t="s">
        <v>27</v>
      </c>
      <c r="L337" s="25">
        <v>41186.83174768518</v>
      </c>
      <c r="M337" s="26" t="s">
        <v>840</v>
      </c>
      <c r="N337" s="26" t="s">
        <v>841</v>
      </c>
      <c r="O337" s="22" t="str">
        <f>HYPERLINK("https://pbs.twimg.com/profile_images/806165944297025536/6ccc7Lnj_normal.jpg","View")</f>
        <v>View</v>
      </c>
      <c r="P337" s="27"/>
    </row>
    <row r="338">
      <c r="A338" s="19">
        <v>42703.32462962963</v>
      </c>
      <c r="B338" s="20" t="str">
        <f>HYPERLINK("https://twitter.com/shelydom","@shelydom")</f>
        <v>@shelydom</v>
      </c>
      <c r="C338" s="21" t="s">
        <v>842</v>
      </c>
      <c r="D338" s="21" t="s">
        <v>806</v>
      </c>
      <c r="E338" s="22" t="str">
        <f>HYPERLINK("https://twitter.com/shelydom/status/803505644364042240","803505644364042240")</f>
        <v>803505644364042240</v>
      </c>
      <c r="F338" s="23" t="s">
        <v>41</v>
      </c>
      <c r="G338" s="24">
        <v>988.0</v>
      </c>
      <c r="H338" s="24">
        <v>373.0</v>
      </c>
      <c r="I338" s="24">
        <v>6.0</v>
      </c>
      <c r="J338" s="24">
        <v>0.0</v>
      </c>
      <c r="K338" s="23" t="s">
        <v>27</v>
      </c>
      <c r="L338" s="25">
        <v>42165.44721064815</v>
      </c>
      <c r="M338" s="26" t="s">
        <v>843</v>
      </c>
      <c r="N338" s="26" t="s">
        <v>844</v>
      </c>
      <c r="O338" s="22" t="str">
        <f>HYPERLINK("https://pbs.twimg.com/profile_images/768196202542329856/wbOUF1an_normal.jpg","View")</f>
        <v>View</v>
      </c>
      <c r="P338" s="27"/>
    </row>
    <row r="339">
      <c r="A339" s="19">
        <v>42703.32542824074</v>
      </c>
      <c r="B339" s="20" t="str">
        <f>HYPERLINK("https://twitter.com/anamaribi","@anamaribi")</f>
        <v>@anamaribi</v>
      </c>
      <c r="C339" s="21" t="s">
        <v>845</v>
      </c>
      <c r="D339" s="21" t="s">
        <v>846</v>
      </c>
      <c r="E339" s="22" t="str">
        <f>HYPERLINK("https://twitter.com/anamaribi/status/803505932160344064","803505932160344064")</f>
        <v>803505932160344064</v>
      </c>
      <c r="F339" s="23" t="s">
        <v>41</v>
      </c>
      <c r="G339" s="24">
        <v>364.0</v>
      </c>
      <c r="H339" s="24">
        <v>1530.0</v>
      </c>
      <c r="I339" s="24">
        <v>2.0</v>
      </c>
      <c r="J339" s="24">
        <v>3.0</v>
      </c>
      <c r="K339" s="23" t="s">
        <v>27</v>
      </c>
      <c r="L339" s="25">
        <v>40394.4008912037</v>
      </c>
      <c r="M339" s="28"/>
      <c r="N339" s="26" t="s">
        <v>847</v>
      </c>
      <c r="O339" s="22" t="str">
        <f>HYPERLINK("https://pbs.twimg.com/profile_images/378800000678280786/e48eca3a60588f4f5c23321f85ca86ef_normal.jpeg","View")</f>
        <v>View</v>
      </c>
      <c r="P339" s="27"/>
    </row>
    <row r="340">
      <c r="A340" s="19">
        <v>42703.33186342593</v>
      </c>
      <c r="B340" s="20" t="str">
        <f>HYPERLINK("https://twitter.com/DominaCloe","@DominaCloe")</f>
        <v>@DominaCloe</v>
      </c>
      <c r="C340" s="21" t="s">
        <v>848</v>
      </c>
      <c r="D340" s="21" t="s">
        <v>806</v>
      </c>
      <c r="E340" s="22" t="str">
        <f>HYPERLINK("https://twitter.com/DominaCloe/status/803508265657188352","803508265657188352")</f>
        <v>803508265657188352</v>
      </c>
      <c r="F340" s="23" t="s">
        <v>41</v>
      </c>
      <c r="G340" s="24">
        <v>662.0</v>
      </c>
      <c r="H340" s="24">
        <v>113.0</v>
      </c>
      <c r="I340" s="24">
        <v>6.0</v>
      </c>
      <c r="J340" s="24">
        <v>0.0</v>
      </c>
      <c r="K340" s="23" t="s">
        <v>27</v>
      </c>
      <c r="L340" s="25">
        <v>42526.712685185186</v>
      </c>
      <c r="M340" s="28"/>
      <c r="N340" s="26" t="s">
        <v>849</v>
      </c>
      <c r="O340" s="22" t="str">
        <f>HYPERLINK("https://pbs.twimg.com/profile_images/802517305674571776/KAchNwHi_normal.jpg","View")</f>
        <v>View</v>
      </c>
      <c r="P340" s="27"/>
    </row>
    <row r="341">
      <c r="A341" s="19">
        <v>42703.34253472222</v>
      </c>
      <c r="B341" s="20" t="str">
        <f>HYPERLINK("https://twitter.com/NachoRiveraFoto","@NachoRiveraFoto")</f>
        <v>@NachoRiveraFoto</v>
      </c>
      <c r="C341" s="21" t="s">
        <v>850</v>
      </c>
      <c r="D341" s="21" t="s">
        <v>851</v>
      </c>
      <c r="E341" s="22" t="str">
        <f>HYPERLINK("https://twitter.com/NachoRiveraFoto/status/803512132918722560","803512132918722560")</f>
        <v>803512132918722560</v>
      </c>
      <c r="F341" s="23" t="s">
        <v>81</v>
      </c>
      <c r="G341" s="24">
        <v>430.0</v>
      </c>
      <c r="H341" s="24">
        <v>303.0</v>
      </c>
      <c r="I341" s="24">
        <v>0.0</v>
      </c>
      <c r="J341" s="24">
        <v>0.0</v>
      </c>
      <c r="K341" s="23" t="s">
        <v>27</v>
      </c>
      <c r="L341" s="25">
        <v>40615.9194212963</v>
      </c>
      <c r="M341" s="26" t="s">
        <v>852</v>
      </c>
      <c r="N341" s="26" t="s">
        <v>853</v>
      </c>
      <c r="O341" s="22" t="str">
        <f>HYPERLINK("https://pbs.twimg.com/profile_images/796298617426481153/4wu0ObwX_normal.jpg","View")</f>
        <v>View</v>
      </c>
      <c r="P341" s="27"/>
    </row>
    <row r="342">
      <c r="A342" s="19">
        <v>42703.35416666667</v>
      </c>
      <c r="B342" s="20" t="str">
        <f>HYPERLINK("https://twitter.com/SuneHolidays","@SuneHolidays")</f>
        <v>@SuneHolidays</v>
      </c>
      <c r="C342" s="21" t="s">
        <v>62</v>
      </c>
      <c r="D342" s="21" t="s">
        <v>854</v>
      </c>
      <c r="E342" s="22" t="str">
        <f>HYPERLINK("https://twitter.com/SuneHolidays/status/803516349053947904","803516349053947904")</f>
        <v>803516349053947904</v>
      </c>
      <c r="F342" s="23" t="s">
        <v>64</v>
      </c>
      <c r="G342" s="24">
        <v>396.0</v>
      </c>
      <c r="H342" s="24">
        <v>990.0</v>
      </c>
      <c r="I342" s="24">
        <v>1.0</v>
      </c>
      <c r="J342" s="24">
        <v>2.0</v>
      </c>
      <c r="K342" s="23" t="s">
        <v>27</v>
      </c>
      <c r="L342" s="25">
        <v>40929.92998842592</v>
      </c>
      <c r="M342" s="26" t="s">
        <v>65</v>
      </c>
      <c r="N342" s="26" t="s">
        <v>66</v>
      </c>
      <c r="O342" s="22" t="str">
        <f>HYPERLINK("https://pbs.twimg.com/profile_images/686922727480029184/9ztyb32p_normal.jpg","View")</f>
        <v>View</v>
      </c>
      <c r="P342" s="27"/>
    </row>
    <row r="343">
      <c r="A343" s="19">
        <v>42703.3543287037</v>
      </c>
      <c r="B343" s="20" t="str">
        <f>HYPERLINK("https://twitter.com/KeyserSoSo","@KeyserSoSo")</f>
        <v>@KeyserSoSo</v>
      </c>
      <c r="C343" s="21" t="s">
        <v>452</v>
      </c>
      <c r="D343" s="21" t="s">
        <v>855</v>
      </c>
      <c r="E343" s="22" t="str">
        <f>HYPERLINK("https://twitter.com/KeyserSoSo/status/803516407371669504","803516407371669504")</f>
        <v>803516407371669504</v>
      </c>
      <c r="F343" s="23" t="s">
        <v>26</v>
      </c>
      <c r="G343" s="24">
        <v>65.0</v>
      </c>
      <c r="H343" s="24">
        <v>122.0</v>
      </c>
      <c r="I343" s="24">
        <v>1.0</v>
      </c>
      <c r="J343" s="24">
        <v>0.0</v>
      </c>
      <c r="K343" s="23" t="s">
        <v>27</v>
      </c>
      <c r="L343" s="25">
        <v>41843.658842592595</v>
      </c>
      <c r="M343" s="26" t="s">
        <v>292</v>
      </c>
      <c r="N343" s="28"/>
      <c r="O343" s="22" t="str">
        <f>HYPERLINK("https://pbs.twimg.com/profile_images/592798998773235713/aPa65SQO_normal.jpg","View")</f>
        <v>View</v>
      </c>
      <c r="P343" s="27"/>
    </row>
    <row r="344">
      <c r="A344" s="19">
        <v>42703.35605324074</v>
      </c>
      <c r="B344" s="20" t="str">
        <f>HYPERLINK("https://twitter.com/ICGEB","@ICGEB")</f>
        <v>@ICGEB</v>
      </c>
      <c r="C344" s="21" t="s">
        <v>856</v>
      </c>
      <c r="D344" s="21" t="s">
        <v>857</v>
      </c>
      <c r="E344" s="22" t="str">
        <f>HYPERLINK("https://twitter.com/ICGEB/status/803517030821457920","803517030821457920")</f>
        <v>803517030821457920</v>
      </c>
      <c r="F344" s="23" t="s">
        <v>37</v>
      </c>
      <c r="G344" s="24">
        <v>1674.0</v>
      </c>
      <c r="H344" s="24">
        <v>783.0</v>
      </c>
      <c r="I344" s="24">
        <v>0.0</v>
      </c>
      <c r="J344" s="24">
        <v>0.0</v>
      </c>
      <c r="K344" s="23" t="s">
        <v>27</v>
      </c>
      <c r="L344" s="25">
        <v>40779.624560185184</v>
      </c>
      <c r="M344" s="26" t="s">
        <v>858</v>
      </c>
      <c r="N344" s="26" t="s">
        <v>859</v>
      </c>
      <c r="O344" s="22" t="str">
        <f>HYPERLINK("https://pbs.twimg.com/profile_images/459446681386237952/9kvyVvJ8_normal.png","View")</f>
        <v>View</v>
      </c>
      <c r="P344" s="27"/>
    </row>
    <row r="345">
      <c r="A345" s="19">
        <v>42703.35613425926</v>
      </c>
      <c r="B345" s="20" t="str">
        <f>HYPERLINK("https://twitter.com/af41a25f23c74e1","@af41a25f23c74e1")</f>
        <v>@af41a25f23c74e1</v>
      </c>
      <c r="C345" s="21" t="s">
        <v>213</v>
      </c>
      <c r="D345" s="21" t="s">
        <v>860</v>
      </c>
      <c r="E345" s="22" t="str">
        <f>HYPERLINK("https://twitter.com/af41a25f23c74e1/status/803517059254452224","803517059254452224")</f>
        <v>803517059254452224</v>
      </c>
      <c r="F345" s="23" t="s">
        <v>26</v>
      </c>
      <c r="G345" s="24">
        <v>6434.0</v>
      </c>
      <c r="H345" s="24">
        <v>7011.0</v>
      </c>
      <c r="I345" s="24">
        <v>2.0</v>
      </c>
      <c r="J345" s="24">
        <v>0.0</v>
      </c>
      <c r="K345" s="23" t="s">
        <v>27</v>
      </c>
      <c r="L345" s="25">
        <v>42080.44086805556</v>
      </c>
      <c r="M345" s="28"/>
      <c r="N345" s="26" t="s">
        <v>214</v>
      </c>
      <c r="O345" s="22" t="str">
        <f>HYPERLINK("https://pbs.twimg.com/profile_images/802853371480711168/n_hXbQwc_normal.jpg","View")</f>
        <v>View</v>
      </c>
      <c r="P345" s="27"/>
    </row>
    <row r="346">
      <c r="A346" s="19">
        <v>42703.35898148148</v>
      </c>
      <c r="B346" s="20" t="str">
        <f>HYPERLINK("https://twitter.com/manuelcarranco","@manuelcarranco")</f>
        <v>@manuelcarranco</v>
      </c>
      <c r="C346" s="21" t="s">
        <v>274</v>
      </c>
      <c r="D346" s="21" t="s">
        <v>861</v>
      </c>
      <c r="E346" s="22" t="str">
        <f>HYPERLINK("https://twitter.com/manuelcarranco/status/803518094056398848","803518094056398848")</f>
        <v>803518094056398848</v>
      </c>
      <c r="F346" s="23" t="s">
        <v>81</v>
      </c>
      <c r="G346" s="24">
        <v>846.0</v>
      </c>
      <c r="H346" s="24">
        <v>346.0</v>
      </c>
      <c r="I346" s="24">
        <v>0.0</v>
      </c>
      <c r="J346" s="24">
        <v>1.0</v>
      </c>
      <c r="K346" s="23" t="s">
        <v>27</v>
      </c>
      <c r="L346" s="25">
        <v>40072.69292824074</v>
      </c>
      <c r="M346" s="26" t="s">
        <v>55</v>
      </c>
      <c r="N346" s="26" t="s">
        <v>276</v>
      </c>
      <c r="O346" s="22" t="str">
        <f>HYPERLINK("https://pbs.twimg.com/profile_images/525944451177263104/jGofUCAA_normal.jpeg","View")</f>
        <v>View</v>
      </c>
      <c r="P346" s="27" t="str">
        <f>HYPERLINK("https://ctrlq.org/maps/address/#29.057894,-13.550006","Map")</f>
        <v>#ERROR!</v>
      </c>
    </row>
    <row r="347">
      <c r="A347" s="19">
        <v>42703.38277777778</v>
      </c>
      <c r="B347" s="20" t="str">
        <f>HYPERLINK("https://twitter.com/honestjon74","@honestjon74")</f>
        <v>@honestjon74</v>
      </c>
      <c r="C347" s="21" t="s">
        <v>862</v>
      </c>
      <c r="D347" s="21" t="s">
        <v>36</v>
      </c>
      <c r="E347" s="22" t="str">
        <f>HYPERLINK("https://twitter.com/honestjon74/status/803526716094349312","803526716094349312")</f>
        <v>803526716094349312</v>
      </c>
      <c r="F347" s="23" t="s">
        <v>26</v>
      </c>
      <c r="G347" s="24">
        <v>50.0</v>
      </c>
      <c r="H347" s="24">
        <v>122.0</v>
      </c>
      <c r="I347" s="24">
        <v>47.0</v>
      </c>
      <c r="J347" s="24">
        <v>0.0</v>
      </c>
      <c r="K347" s="23" t="s">
        <v>27</v>
      </c>
      <c r="L347" s="25">
        <v>41138.955775462964</v>
      </c>
      <c r="M347" s="26" t="s">
        <v>863</v>
      </c>
      <c r="N347" s="26" t="s">
        <v>864</v>
      </c>
      <c r="O347" s="22" t="str">
        <f>HYPERLINK("https://pbs.twimg.com/profile_images/704375419647213568/SWCQSNqL_normal.jpg","View")</f>
        <v>View</v>
      </c>
      <c r="P347" s="27"/>
    </row>
    <row r="348">
      <c r="A348" s="19">
        <v>42703.384722222225</v>
      </c>
      <c r="B348" s="20" t="str">
        <f>HYPERLINK("https://twitter.com/GranCanLocal","@GranCanLocal")</f>
        <v>@GranCanLocal</v>
      </c>
      <c r="C348" s="21" t="s">
        <v>865</v>
      </c>
      <c r="D348" s="21" t="s">
        <v>866</v>
      </c>
      <c r="E348" s="22" t="str">
        <f>HYPERLINK("https://twitter.com/GranCanLocal/status/803527418472529920","803527418472529920")</f>
        <v>803527418472529920</v>
      </c>
      <c r="F348" s="23" t="s">
        <v>167</v>
      </c>
      <c r="G348" s="24">
        <v>2365.0</v>
      </c>
      <c r="H348" s="24">
        <v>784.0</v>
      </c>
      <c r="I348" s="24">
        <v>1.0</v>
      </c>
      <c r="J348" s="24">
        <v>2.0</v>
      </c>
      <c r="K348" s="23" t="s">
        <v>27</v>
      </c>
      <c r="L348" s="25">
        <v>41454.81314814815</v>
      </c>
      <c r="M348" s="26" t="s">
        <v>109</v>
      </c>
      <c r="N348" s="26" t="s">
        <v>867</v>
      </c>
      <c r="O348" s="22" t="str">
        <f>HYPERLINK("https://pbs.twimg.com/profile_images/797869927004852225/JqQhI5Qc_normal.jpg","View")</f>
        <v>View</v>
      </c>
      <c r="P348" s="27"/>
    </row>
    <row r="349">
      <c r="A349" s="19">
        <v>42703.39287037037</v>
      </c>
      <c r="B349" s="20" t="str">
        <f>HYPERLINK("https://twitter.com/totaltenerife","@totaltenerife")</f>
        <v>@totaltenerife</v>
      </c>
      <c r="C349" s="21" t="s">
        <v>771</v>
      </c>
      <c r="D349" s="21" t="s">
        <v>36</v>
      </c>
      <c r="E349" s="22" t="str">
        <f>HYPERLINK("https://twitter.com/totaltenerife/status/803530375226073088","803530375226073088")</f>
        <v>803530375226073088</v>
      </c>
      <c r="F349" s="23" t="s">
        <v>26</v>
      </c>
      <c r="G349" s="24">
        <v>348.0</v>
      </c>
      <c r="H349" s="24">
        <v>562.0</v>
      </c>
      <c r="I349" s="24">
        <v>47.0</v>
      </c>
      <c r="J349" s="24">
        <v>0.0</v>
      </c>
      <c r="K349" s="23" t="s">
        <v>27</v>
      </c>
      <c r="L349" s="25">
        <v>42378.4080787037</v>
      </c>
      <c r="M349" s="28"/>
      <c r="N349" s="26" t="s">
        <v>772</v>
      </c>
      <c r="O349" s="22" t="str">
        <f>HYPERLINK("https://pbs.twimg.com/profile_images/686553191345975296/F8l5vG5x_normal.jpg","View")</f>
        <v>View</v>
      </c>
      <c r="P349" s="27"/>
    </row>
    <row r="350">
      <c r="A350" s="19">
        <v>42703.39954861111</v>
      </c>
      <c r="B350" s="20" t="str">
        <f>HYPERLINK("https://twitter.com/anamaribi","@anamaribi")</f>
        <v>@anamaribi</v>
      </c>
      <c r="C350" s="21" t="s">
        <v>845</v>
      </c>
      <c r="D350" s="21" t="s">
        <v>868</v>
      </c>
      <c r="E350" s="22" t="str">
        <f>HYPERLINK("https://twitter.com/anamaribi/status/803532793284325376","803532793284325376")</f>
        <v>803532793284325376</v>
      </c>
      <c r="F350" s="23" t="s">
        <v>41</v>
      </c>
      <c r="G350" s="24">
        <v>364.0</v>
      </c>
      <c r="H350" s="24">
        <v>1530.0</v>
      </c>
      <c r="I350" s="24">
        <v>0.0</v>
      </c>
      <c r="J350" s="24">
        <v>0.0</v>
      </c>
      <c r="K350" s="23" t="s">
        <v>27</v>
      </c>
      <c r="L350" s="25">
        <v>40394.4008912037</v>
      </c>
      <c r="M350" s="28"/>
      <c r="N350" s="26" t="s">
        <v>847</v>
      </c>
      <c r="O350" s="22" t="str">
        <f>HYPERLINK("https://pbs.twimg.com/profile_images/378800000678280786/e48eca3a60588f4f5c23321f85ca86ef_normal.jpeg","View")</f>
        <v>View</v>
      </c>
      <c r="P350" s="27"/>
    </row>
    <row r="351">
      <c r="A351" s="19">
        <v>42703.40081018519</v>
      </c>
      <c r="B351" s="20" t="str">
        <f>HYPERLINK("https://twitter.com/josefirgas","@josefirgas")</f>
        <v>@josefirgas</v>
      </c>
      <c r="C351" s="21" t="s">
        <v>869</v>
      </c>
      <c r="D351" s="21" t="s">
        <v>870</v>
      </c>
      <c r="E351" s="22" t="str">
        <f>HYPERLINK("https://twitter.com/josefirgas/status/803533248857079808","803533248857079808")</f>
        <v>803533248857079808</v>
      </c>
      <c r="F351" s="23" t="s">
        <v>81</v>
      </c>
      <c r="G351" s="24">
        <v>116.0</v>
      </c>
      <c r="H351" s="24">
        <v>339.0</v>
      </c>
      <c r="I351" s="24">
        <v>0.0</v>
      </c>
      <c r="J351" s="24">
        <v>0.0</v>
      </c>
      <c r="K351" s="23" t="s">
        <v>27</v>
      </c>
      <c r="L351" s="25">
        <v>40918.87480324074</v>
      </c>
      <c r="M351" s="26" t="s">
        <v>871</v>
      </c>
      <c r="N351" s="28"/>
      <c r="O351" s="22" t="str">
        <f>HYPERLINK("https://pbs.twimg.com/profile_images/1746535851/CIMG1404_peke_normal.JPG","View")</f>
        <v>View</v>
      </c>
      <c r="P351" s="27" t="str">
        <f>HYPERLINK("https://ctrlq.org/maps/address/#28.268611,-16.605556","Map")</f>
        <v>#ERROR!</v>
      </c>
    </row>
    <row r="352">
      <c r="A352" s="19">
        <v>42703.4075</v>
      </c>
      <c r="B352" s="20" t="str">
        <f>HYPERLINK("https://twitter.com/Salamanca_SSV","@Salamanca_SSV")</f>
        <v>@Salamanca_SSV</v>
      </c>
      <c r="C352" s="21" t="s">
        <v>170</v>
      </c>
      <c r="D352" s="21" t="s">
        <v>570</v>
      </c>
      <c r="E352" s="22" t="str">
        <f>HYPERLINK("https://twitter.com/Salamanca_SSV/status/803535675383488512","803535675383488512")</f>
        <v>803535675383488512</v>
      </c>
      <c r="F352" s="23" t="s">
        <v>41</v>
      </c>
      <c r="G352" s="24">
        <v>7240.0</v>
      </c>
      <c r="H352" s="24">
        <v>7824.0</v>
      </c>
      <c r="I352" s="24">
        <v>5.0</v>
      </c>
      <c r="J352" s="24">
        <v>0.0</v>
      </c>
      <c r="K352" s="23" t="s">
        <v>27</v>
      </c>
      <c r="L352" s="25">
        <v>41317.78532407407</v>
      </c>
      <c r="M352" s="26" t="s">
        <v>171</v>
      </c>
      <c r="N352" s="26" t="s">
        <v>172</v>
      </c>
      <c r="O352" s="22" t="str">
        <f>HYPERLINK("https://pbs.twimg.com/profile_images/3461850627/70f1c6c744e939681691ad3a09d64375_normal.png","View")</f>
        <v>View</v>
      </c>
      <c r="P352" s="27"/>
    </row>
    <row r="353">
      <c r="A353" s="19">
        <v>42703.41083333333</v>
      </c>
      <c r="B353" s="20" t="str">
        <f>HYPERLINK("https://twitter.com/gonzalomartin19","@gonzalomartin19")</f>
        <v>@gonzalomartin19</v>
      </c>
      <c r="C353" s="21" t="s">
        <v>386</v>
      </c>
      <c r="D353" s="21" t="s">
        <v>872</v>
      </c>
      <c r="E353" s="22" t="str">
        <f>HYPERLINK("https://twitter.com/gonzalomartin19/status/803536884295204864","803536884295204864")</f>
        <v>803536884295204864</v>
      </c>
      <c r="F353" s="23" t="s">
        <v>26</v>
      </c>
      <c r="G353" s="24">
        <v>3046.0</v>
      </c>
      <c r="H353" s="24">
        <v>1716.0</v>
      </c>
      <c r="I353" s="24">
        <v>8.0</v>
      </c>
      <c r="J353" s="24">
        <v>0.0</v>
      </c>
      <c r="K353" s="23" t="s">
        <v>27</v>
      </c>
      <c r="L353" s="25">
        <v>39975.55291666667</v>
      </c>
      <c r="M353" s="26" t="s">
        <v>387</v>
      </c>
      <c r="N353" s="26" t="s">
        <v>388</v>
      </c>
      <c r="O353" s="22" t="str">
        <f>HYPERLINK("https://pbs.twimg.com/profile_images/788378410800340992/S31aB3GU_normal.jpg","View")</f>
        <v>View</v>
      </c>
      <c r="P353" s="27"/>
    </row>
    <row r="354">
      <c r="A354" s="19">
        <v>42703.43128472222</v>
      </c>
      <c r="B354" s="20" t="str">
        <f>HYPERLINK("https://twitter.com/StyleAt30","@StyleAt30")</f>
        <v>@StyleAt30</v>
      </c>
      <c r="C354" s="21" t="s">
        <v>873</v>
      </c>
      <c r="D354" s="21" t="s">
        <v>874</v>
      </c>
      <c r="E354" s="22" t="str">
        <f>HYPERLINK("https://twitter.com/StyleAt30/status/803544294191693824","803544294191693824")</f>
        <v>803544294191693824</v>
      </c>
      <c r="F354" s="23" t="s">
        <v>81</v>
      </c>
      <c r="G354" s="24">
        <v>539.0</v>
      </c>
      <c r="H354" s="24">
        <v>154.0</v>
      </c>
      <c r="I354" s="24">
        <v>0.0</v>
      </c>
      <c r="J354" s="24">
        <v>0.0</v>
      </c>
      <c r="K354" s="23" t="s">
        <v>27</v>
      </c>
      <c r="L354" s="25">
        <v>41130.00921296296</v>
      </c>
      <c r="M354" s="28"/>
      <c r="N354" s="26" t="s">
        <v>875</v>
      </c>
      <c r="O354" s="22" t="str">
        <f>HYPERLINK("https://pbs.twimg.com/profile_images/2483491820/Fotosiamo_Green_Dress_Style_At_30_normal.jpg","View")</f>
        <v>View</v>
      </c>
      <c r="P354" s="27"/>
    </row>
    <row r="355">
      <c r="A355" s="19">
        <v>42703.435486111106</v>
      </c>
      <c r="B355" s="20" t="str">
        <f>HYPERLINK("https://twitter.com/dominasinpieda1","@dominasinpieda1")</f>
        <v>@dominasinpieda1</v>
      </c>
      <c r="C355" s="21" t="s">
        <v>876</v>
      </c>
      <c r="D355" s="21" t="s">
        <v>806</v>
      </c>
      <c r="E355" s="22" t="str">
        <f>HYPERLINK("https://twitter.com/dominasinpieda1/status/803545817764270084","803545817764270084")</f>
        <v>803545817764270084</v>
      </c>
      <c r="F355" s="23" t="s">
        <v>41</v>
      </c>
      <c r="G355" s="24">
        <v>401.0</v>
      </c>
      <c r="H355" s="24">
        <v>159.0</v>
      </c>
      <c r="I355" s="24">
        <v>6.0</v>
      </c>
      <c r="J355" s="24">
        <v>0.0</v>
      </c>
      <c r="K355" s="23" t="s">
        <v>27</v>
      </c>
      <c r="L355" s="25">
        <v>42194.46408564815</v>
      </c>
      <c r="M355" s="26" t="s">
        <v>877</v>
      </c>
      <c r="N355" s="26" t="s">
        <v>878</v>
      </c>
      <c r="O355" s="22" t="str">
        <f>HYPERLINK("https://pbs.twimg.com/profile_images/800800229729730560/GP3Viia8_normal.jpg","View")</f>
        <v>View</v>
      </c>
      <c r="P355" s="27"/>
    </row>
    <row r="356">
      <c r="A356" s="19">
        <v>42703.44164351852</v>
      </c>
      <c r="B356" s="20" t="str">
        <f>HYPERLINK("https://twitter.com/TwiTenerifeGolf","@TwiTenerifeGolf")</f>
        <v>@TwiTenerifeGolf</v>
      </c>
      <c r="C356" s="21" t="s">
        <v>879</v>
      </c>
      <c r="D356" s="21" t="s">
        <v>880</v>
      </c>
      <c r="E356" s="22" t="str">
        <f>HYPERLINK("https://twitter.com/TwiTenerifeGolf/status/803548048014147584","803548048014147584")</f>
        <v>803548048014147584</v>
      </c>
      <c r="F356" s="23" t="s">
        <v>41</v>
      </c>
      <c r="G356" s="24">
        <v>1879.0</v>
      </c>
      <c r="H356" s="24">
        <v>937.0</v>
      </c>
      <c r="I356" s="24">
        <v>7.0</v>
      </c>
      <c r="J356" s="24">
        <v>11.0</v>
      </c>
      <c r="K356" s="23" t="s">
        <v>27</v>
      </c>
      <c r="L356" s="25">
        <v>41724.79984953704</v>
      </c>
      <c r="M356" s="26" t="s">
        <v>282</v>
      </c>
      <c r="N356" s="26" t="s">
        <v>881</v>
      </c>
      <c r="O356" s="22" t="str">
        <f>HYPERLINK("https://pbs.twimg.com/profile_images/723156330673000448/xa2FT8Re_normal.jpg","View")</f>
        <v>View</v>
      </c>
      <c r="P356" s="27"/>
    </row>
    <row r="357">
      <c r="A357" s="19">
        <v>42703.44194444444</v>
      </c>
      <c r="B357" s="20" t="str">
        <f>HYPERLINK("https://twitter.com/TurismoArona","@TurismoArona")</f>
        <v>@TurismoArona</v>
      </c>
      <c r="C357" s="21" t="s">
        <v>882</v>
      </c>
      <c r="D357" s="21" t="s">
        <v>883</v>
      </c>
      <c r="E357" s="22" t="str">
        <f>HYPERLINK("https://twitter.com/TurismoArona/status/803548155291766784","803548155291766784")</f>
        <v>803548155291766784</v>
      </c>
      <c r="F357" s="23" t="s">
        <v>26</v>
      </c>
      <c r="G357" s="24">
        <v>8466.0</v>
      </c>
      <c r="H357" s="24">
        <v>326.0</v>
      </c>
      <c r="I357" s="24">
        <v>7.0</v>
      </c>
      <c r="J357" s="24">
        <v>0.0</v>
      </c>
      <c r="K357" s="23" t="s">
        <v>27</v>
      </c>
      <c r="L357" s="25">
        <v>40009.477627314816</v>
      </c>
      <c r="M357" s="26" t="s">
        <v>884</v>
      </c>
      <c r="N357" s="26" t="s">
        <v>885</v>
      </c>
      <c r="O357" s="22" t="str">
        <f>HYPERLINK("https://pbs.twimg.com/profile_images/680043849562066944/D5hpN40__normal.jpg","View")</f>
        <v>View</v>
      </c>
      <c r="P357" s="27"/>
    </row>
    <row r="358">
      <c r="A358" s="19">
        <v>42703.44231481482</v>
      </c>
      <c r="B358" s="20" t="str">
        <f>HYPERLINK("https://twitter.com/paisajecanario","@paisajecanario")</f>
        <v>@paisajecanario</v>
      </c>
      <c r="C358" s="21" t="s">
        <v>70</v>
      </c>
      <c r="D358" s="21" t="s">
        <v>883</v>
      </c>
      <c r="E358" s="22" t="str">
        <f>HYPERLINK("https://twitter.com/paisajecanario/status/803548293322129412","803548293322129412")</f>
        <v>803548293322129412</v>
      </c>
      <c r="F358" s="23" t="s">
        <v>26</v>
      </c>
      <c r="G358" s="24">
        <v>13324.0</v>
      </c>
      <c r="H358" s="24">
        <v>434.0</v>
      </c>
      <c r="I358" s="24">
        <v>7.0</v>
      </c>
      <c r="J358" s="24">
        <v>0.0</v>
      </c>
      <c r="K358" s="23" t="s">
        <v>27</v>
      </c>
      <c r="L358" s="25">
        <v>41815.714641203704</v>
      </c>
      <c r="M358" s="26" t="s">
        <v>71</v>
      </c>
      <c r="N358" s="26" t="s">
        <v>72</v>
      </c>
      <c r="O358" s="22" t="str">
        <f>HYPERLINK("https://pbs.twimg.com/profile_images/789364630850240512/Mw90qAlM_normal.jpg","View")</f>
        <v>View</v>
      </c>
      <c r="P358" s="27"/>
    </row>
    <row r="359">
      <c r="A359" s="19">
        <v>42703.44305555556</v>
      </c>
      <c r="B359" s="20" t="str">
        <f>HYPERLINK("https://twitter.com/HotelEscuelaSB","@HotelEscuelaSB")</f>
        <v>@HotelEscuelaSB</v>
      </c>
      <c r="C359" s="21" t="s">
        <v>522</v>
      </c>
      <c r="D359" s="21" t="s">
        <v>883</v>
      </c>
      <c r="E359" s="22" t="str">
        <f>HYPERLINK("https://twitter.com/HotelEscuelaSB/status/803548559652061184","803548559652061184")</f>
        <v>803548559652061184</v>
      </c>
      <c r="F359" s="23" t="s">
        <v>37</v>
      </c>
      <c r="G359" s="24">
        <v>127.0</v>
      </c>
      <c r="H359" s="24">
        <v>392.0</v>
      </c>
      <c r="I359" s="24">
        <v>7.0</v>
      </c>
      <c r="J359" s="24">
        <v>0.0</v>
      </c>
      <c r="K359" s="23" t="s">
        <v>27</v>
      </c>
      <c r="L359" s="25">
        <v>42648.49597222223</v>
      </c>
      <c r="M359" s="28"/>
      <c r="N359" s="26" t="s">
        <v>523</v>
      </c>
      <c r="O359" s="22" t="str">
        <f>HYPERLINK("https://pbs.twimg.com/profile_images/792036201695940608/ZYEcPM7L_normal.jpg","View")</f>
        <v>View</v>
      </c>
      <c r="P359" s="27"/>
    </row>
    <row r="360">
      <c r="A360" s="19">
        <v>42703.44322916667</v>
      </c>
      <c r="B360" s="20" t="str">
        <f>HYPERLINK("https://twitter.com/LasPalmasProp","@LasPalmasProp")</f>
        <v>@LasPalmasProp</v>
      </c>
      <c r="C360" s="21" t="s">
        <v>886</v>
      </c>
      <c r="D360" s="21" t="s">
        <v>887</v>
      </c>
      <c r="E360" s="22" t="str">
        <f>HYPERLINK("https://twitter.com/LasPalmasProp/status/803548623527092224","803548623527092224")</f>
        <v>803548623527092224</v>
      </c>
      <c r="F360" s="23" t="s">
        <v>167</v>
      </c>
      <c r="G360" s="24">
        <v>88.0</v>
      </c>
      <c r="H360" s="24">
        <v>214.0</v>
      </c>
      <c r="I360" s="24">
        <v>1.0</v>
      </c>
      <c r="J360" s="24">
        <v>2.0</v>
      </c>
      <c r="K360" s="23" t="s">
        <v>27</v>
      </c>
      <c r="L360" s="25">
        <v>42309.918171296296</v>
      </c>
      <c r="M360" s="28"/>
      <c r="N360" s="28"/>
      <c r="O360" s="22" t="str">
        <f>HYPERLINK("https://pbs.twimg.com/profile_images/744132316134514688/7FDa8yP-_normal.jpg","View")</f>
        <v>View</v>
      </c>
      <c r="P360" s="27"/>
    </row>
    <row r="361">
      <c r="A361" s="19">
        <v>42703.443506944444</v>
      </c>
      <c r="B361" s="20" t="str">
        <f>HYPERLINK("https://twitter.com/blogdemarianava","@blogdemarianava")</f>
        <v>@blogdemarianava</v>
      </c>
      <c r="C361" s="21" t="s">
        <v>888</v>
      </c>
      <c r="D361" s="21" t="s">
        <v>889</v>
      </c>
      <c r="E361" s="22" t="str">
        <f>HYPERLINK("https://twitter.com/blogdemarianava/status/803548724614066176","803548724614066176")</f>
        <v>803548724614066176</v>
      </c>
      <c r="F361" s="23" t="s">
        <v>81</v>
      </c>
      <c r="G361" s="24">
        <v>368.0</v>
      </c>
      <c r="H361" s="24">
        <v>354.0</v>
      </c>
      <c r="I361" s="24">
        <v>0.0</v>
      </c>
      <c r="J361" s="24">
        <v>0.0</v>
      </c>
      <c r="K361" s="23" t="s">
        <v>27</v>
      </c>
      <c r="L361" s="25">
        <v>40503.99128472222</v>
      </c>
      <c r="M361" s="28"/>
      <c r="N361" s="26" t="s">
        <v>890</v>
      </c>
      <c r="O361" s="22" t="str">
        <f>HYPERLINK("https://pbs.twimg.com/profile_images/801354055884963840/7uKtFzRU_normal.jpg","View")</f>
        <v>View</v>
      </c>
      <c r="P361" s="27" t="str">
        <f>HYPERLINK("https://ctrlq.org/maps/address/#28.1232815,-15.42756742","Map")</f>
        <v>#ERROR!</v>
      </c>
    </row>
    <row r="362">
      <c r="A362" s="19">
        <v>42703.4477199074</v>
      </c>
      <c r="B362" s="20" t="str">
        <f>HYPERLINK("https://twitter.com/mun2travel","@mun2travel")</f>
        <v>@mun2travel</v>
      </c>
      <c r="C362" s="21" t="s">
        <v>891</v>
      </c>
      <c r="D362" s="21" t="s">
        <v>883</v>
      </c>
      <c r="E362" s="22" t="str">
        <f>HYPERLINK("https://twitter.com/mun2travel/status/803550251109978112","803550251109978112")</f>
        <v>803550251109978112</v>
      </c>
      <c r="F362" s="23" t="s">
        <v>37</v>
      </c>
      <c r="G362" s="24">
        <v>708.0</v>
      </c>
      <c r="H362" s="24">
        <v>1292.0</v>
      </c>
      <c r="I362" s="24">
        <v>7.0</v>
      </c>
      <c r="J362" s="24">
        <v>0.0</v>
      </c>
      <c r="K362" s="23" t="s">
        <v>27</v>
      </c>
      <c r="L362" s="25">
        <v>40409.768229166664</v>
      </c>
      <c r="M362" s="26" t="s">
        <v>282</v>
      </c>
      <c r="N362" s="26" t="s">
        <v>892</v>
      </c>
      <c r="O362" s="22" t="str">
        <f>HYPERLINK("https://pbs.twimg.com/profile_images/459624649395953665/ceNKFVq-_normal.jpeg","View")</f>
        <v>View</v>
      </c>
      <c r="P362" s="27"/>
    </row>
    <row r="363">
      <c r="A363" s="19">
        <v>42703.44934027777</v>
      </c>
      <c r="B363" s="20" t="str">
        <f>HYPERLINK("https://twitter.com/MMarioPhoto","@MMarioPhoto")</f>
        <v>@MMarioPhoto</v>
      </c>
      <c r="C363" s="21" t="s">
        <v>893</v>
      </c>
      <c r="D363" s="21" t="s">
        <v>883</v>
      </c>
      <c r="E363" s="22" t="str">
        <f>HYPERLINK("https://twitter.com/MMarioPhoto/status/803550837956034561","803550837956034561")</f>
        <v>803550837956034561</v>
      </c>
      <c r="F363" s="23" t="s">
        <v>41</v>
      </c>
      <c r="G363" s="24">
        <v>2646.0</v>
      </c>
      <c r="H363" s="24">
        <v>2312.0</v>
      </c>
      <c r="I363" s="24">
        <v>7.0</v>
      </c>
      <c r="J363" s="24">
        <v>0.0</v>
      </c>
      <c r="K363" s="23" t="s">
        <v>27</v>
      </c>
      <c r="L363" s="25">
        <v>40856.689675925925</v>
      </c>
      <c r="M363" s="26" t="s">
        <v>894</v>
      </c>
      <c r="N363" s="26" t="s">
        <v>895</v>
      </c>
      <c r="O363" s="22" t="str">
        <f>HYPERLINK("https://pbs.twimg.com/profile_images/795915398847856640/F-vNtsm7_normal.jpg","View")</f>
        <v>View</v>
      </c>
      <c r="P363" s="27"/>
    </row>
    <row r="364">
      <c r="A364" s="19">
        <v>42703.452106481476</v>
      </c>
      <c r="B364" s="20" t="str">
        <f>HYPERLINK("https://twitter.com/HessleTravel","@HessleTravel")</f>
        <v>@HessleTravel</v>
      </c>
      <c r="C364" s="21" t="s">
        <v>896</v>
      </c>
      <c r="D364" s="21" t="s">
        <v>897</v>
      </c>
      <c r="E364" s="22" t="str">
        <f>HYPERLINK("https://twitter.com/HessleTravel/status/803551839765561344","803551839765561344")</f>
        <v>803551839765561344</v>
      </c>
      <c r="F364" s="23" t="s">
        <v>37</v>
      </c>
      <c r="G364" s="24">
        <v>3942.0</v>
      </c>
      <c r="H364" s="24">
        <v>4786.0</v>
      </c>
      <c r="I364" s="24">
        <v>0.0</v>
      </c>
      <c r="J364" s="24">
        <v>2.0</v>
      </c>
      <c r="K364" s="23" t="s">
        <v>27</v>
      </c>
      <c r="L364" s="25">
        <v>41968.41019675926</v>
      </c>
      <c r="M364" s="26" t="s">
        <v>898</v>
      </c>
      <c r="N364" s="26" t="s">
        <v>899</v>
      </c>
      <c r="O364" s="22" t="str">
        <f>HYPERLINK("https://pbs.twimg.com/profile_images/698309673066303488/gU84mK_F_normal.jpg","View")</f>
        <v>View</v>
      </c>
      <c r="P364" s="27"/>
    </row>
    <row r="365">
      <c r="A365" s="19">
        <v>42703.45836805555</v>
      </c>
      <c r="B365" s="20" t="str">
        <f>HYPERLINK("https://twitter.com/ajpReact","@ajpReact")</f>
        <v>@ajpReact</v>
      </c>
      <c r="C365" s="21" t="s">
        <v>900</v>
      </c>
      <c r="D365" s="21" t="s">
        <v>901</v>
      </c>
      <c r="E365" s="22" t="str">
        <f>HYPERLINK("https://twitter.com/ajpReact/status/803554108183605248","803554108183605248")</f>
        <v>803554108183605248</v>
      </c>
      <c r="F365" s="23" t="s">
        <v>64</v>
      </c>
      <c r="G365" s="24">
        <v>2531.0</v>
      </c>
      <c r="H365" s="24">
        <v>2263.0</v>
      </c>
      <c r="I365" s="24">
        <v>0.0</v>
      </c>
      <c r="J365" s="24">
        <v>0.0</v>
      </c>
      <c r="K365" s="23" t="s">
        <v>27</v>
      </c>
      <c r="L365" s="25">
        <v>42061.695625</v>
      </c>
      <c r="M365" s="26" t="s">
        <v>810</v>
      </c>
      <c r="N365" s="26" t="s">
        <v>902</v>
      </c>
      <c r="O365" s="22" t="str">
        <f>HYPERLINK("https://pbs.twimg.com/profile_images/782619570972528641/hKvcsIJu_normal.jpg","View")</f>
        <v>View</v>
      </c>
      <c r="P365" s="27"/>
    </row>
    <row r="366">
      <c r="A366" s="19">
        <v>42703.462743055556</v>
      </c>
      <c r="B366" s="20" t="str">
        <f>HYPERLINK("https://twitter.com/jademig","@jademig")</f>
        <v>@jademig</v>
      </c>
      <c r="C366" s="21" t="s">
        <v>903</v>
      </c>
      <c r="D366" s="21" t="s">
        <v>904</v>
      </c>
      <c r="E366" s="22" t="str">
        <f>HYPERLINK("https://twitter.com/jademig/status/803555694368591872","803555694368591872")</f>
        <v>803555694368591872</v>
      </c>
      <c r="F366" s="23" t="s">
        <v>59</v>
      </c>
      <c r="G366" s="24">
        <v>183.0</v>
      </c>
      <c r="H366" s="24">
        <v>201.0</v>
      </c>
      <c r="I366" s="24">
        <v>0.0</v>
      </c>
      <c r="J366" s="24">
        <v>0.0</v>
      </c>
      <c r="K366" s="23" t="s">
        <v>27</v>
      </c>
      <c r="L366" s="25">
        <v>40429.736296296294</v>
      </c>
      <c r="M366" s="26" t="s">
        <v>203</v>
      </c>
      <c r="N366" s="26" t="s">
        <v>905</v>
      </c>
      <c r="O366" s="22" t="str">
        <f>HYPERLINK("https://pbs.twimg.com/profile_images/713485938903687169/_O3_SYEC_normal.jpg","View")</f>
        <v>View</v>
      </c>
      <c r="P366" s="27"/>
    </row>
    <row r="367">
      <c r="A367" s="19">
        <v>42703.469918981486</v>
      </c>
      <c r="B367" s="20" t="str">
        <f>HYPERLINK("https://twitter.com/gonorsa","@gonorsa")</f>
        <v>@gonorsa</v>
      </c>
      <c r="C367" s="21" t="s">
        <v>906</v>
      </c>
      <c r="D367" s="21" t="s">
        <v>907</v>
      </c>
      <c r="E367" s="22" t="str">
        <f>HYPERLINK("https://twitter.com/gonorsa/status/803558294157688832","803558294157688832")</f>
        <v>803558294157688832</v>
      </c>
      <c r="F367" s="23" t="s">
        <v>37</v>
      </c>
      <c r="G367" s="24">
        <v>4176.0</v>
      </c>
      <c r="H367" s="24">
        <v>3890.0</v>
      </c>
      <c r="I367" s="24">
        <v>0.0</v>
      </c>
      <c r="J367" s="24">
        <v>2.0</v>
      </c>
      <c r="K367" s="23" t="s">
        <v>27</v>
      </c>
      <c r="L367" s="25">
        <v>41718.49773148148</v>
      </c>
      <c r="M367" s="26" t="s">
        <v>908</v>
      </c>
      <c r="N367" s="26" t="s">
        <v>909</v>
      </c>
      <c r="O367" s="22" t="str">
        <f>HYPERLINK("https://pbs.twimg.com/profile_images/446673582173597698/mbNqa2tF_normal.jpeg","View")</f>
        <v>View</v>
      </c>
      <c r="P367" s="27"/>
    </row>
    <row r="368">
      <c r="A368" s="19">
        <v>42703.518483796295</v>
      </c>
      <c r="B368" s="20" t="str">
        <f>HYPERLINK("https://twitter.com/FaunaPromar","@FaunaPromar")</f>
        <v>@FaunaPromar</v>
      </c>
      <c r="C368" s="21" t="s">
        <v>910</v>
      </c>
      <c r="D368" s="21" t="s">
        <v>586</v>
      </c>
      <c r="E368" s="22" t="str">
        <f>HYPERLINK("https://twitter.com/FaunaPromar/status/803575893478309889","803575893478309889")</f>
        <v>803575893478309889</v>
      </c>
      <c r="F368" s="23" t="s">
        <v>37</v>
      </c>
      <c r="G368" s="24">
        <v>761.0</v>
      </c>
      <c r="H368" s="24">
        <v>395.0</v>
      </c>
      <c r="I368" s="24">
        <v>16.0</v>
      </c>
      <c r="J368" s="24">
        <v>0.0</v>
      </c>
      <c r="K368" s="23" t="s">
        <v>27</v>
      </c>
      <c r="L368" s="25">
        <v>41325.4419212963</v>
      </c>
      <c r="M368" s="26" t="s">
        <v>911</v>
      </c>
      <c r="N368" s="26" t="s">
        <v>912</v>
      </c>
      <c r="O368" s="22" t="str">
        <f>HYPERLINK("https://pbs.twimg.com/profile_images/446609757609017344/hFUJVrRf_normal.jpeg","View")</f>
        <v>View</v>
      </c>
      <c r="P368" s="27"/>
    </row>
    <row r="369">
      <c r="A369" s="19">
        <v>42703.52150462963</v>
      </c>
      <c r="B369" s="20" t="str">
        <f t="shared" ref="B369:B372" si="36">HYPERLINK("https://twitter.com/bermaxo09","@bermaxo09")</f>
        <v>@bermaxo09</v>
      </c>
      <c r="C369" s="21" t="s">
        <v>284</v>
      </c>
      <c r="D369" s="21" t="s">
        <v>913</v>
      </c>
      <c r="E369" s="22" t="str">
        <f>HYPERLINK("https://twitter.com/bermaxo09/status/803576987713273856","803576987713273856")</f>
        <v>803576987713273856</v>
      </c>
      <c r="F369" s="23" t="s">
        <v>37</v>
      </c>
      <c r="G369" s="24">
        <v>193.0</v>
      </c>
      <c r="H369" s="24">
        <v>196.0</v>
      </c>
      <c r="I369" s="24">
        <v>1.0</v>
      </c>
      <c r="J369" s="24">
        <v>4.0</v>
      </c>
      <c r="K369" s="23" t="s">
        <v>27</v>
      </c>
      <c r="L369" s="25">
        <v>42689.441516203704</v>
      </c>
      <c r="M369" s="26" t="s">
        <v>109</v>
      </c>
      <c r="N369" s="26" t="s">
        <v>286</v>
      </c>
      <c r="O369" s="22" t="str">
        <f t="shared" ref="O369:O372" si="37">HYPERLINK("https://pbs.twimg.com/profile_images/798476790478073856/iOD0HIRa_normal.jpg","View")</f>
        <v>View</v>
      </c>
      <c r="P369" s="27"/>
    </row>
    <row r="370">
      <c r="A370" s="19">
        <v>42703.522939814815</v>
      </c>
      <c r="B370" s="20" t="str">
        <f t="shared" si="36"/>
        <v>@bermaxo09</v>
      </c>
      <c r="C370" s="21" t="s">
        <v>284</v>
      </c>
      <c r="D370" s="21" t="s">
        <v>914</v>
      </c>
      <c r="E370" s="22" t="str">
        <f>HYPERLINK("https://twitter.com/bermaxo09/status/803577507471495172","803577507471495172")</f>
        <v>803577507471495172</v>
      </c>
      <c r="F370" s="23" t="s">
        <v>37</v>
      </c>
      <c r="G370" s="24">
        <v>193.0</v>
      </c>
      <c r="H370" s="24">
        <v>196.0</v>
      </c>
      <c r="I370" s="24">
        <v>2.0</v>
      </c>
      <c r="J370" s="24">
        <v>6.0</v>
      </c>
      <c r="K370" s="23" t="s">
        <v>27</v>
      </c>
      <c r="L370" s="25">
        <v>42689.441516203704</v>
      </c>
      <c r="M370" s="26" t="s">
        <v>109</v>
      </c>
      <c r="N370" s="26" t="s">
        <v>286</v>
      </c>
      <c r="O370" s="22" t="str">
        <f t="shared" si="37"/>
        <v>View</v>
      </c>
      <c r="P370" s="27"/>
    </row>
    <row r="371">
      <c r="A371" s="19">
        <v>42703.535</v>
      </c>
      <c r="B371" s="20" t="str">
        <f t="shared" si="36"/>
        <v>@bermaxo09</v>
      </c>
      <c r="C371" s="21" t="s">
        <v>284</v>
      </c>
      <c r="D371" s="21" t="s">
        <v>915</v>
      </c>
      <c r="E371" s="22" t="str">
        <f>HYPERLINK("https://twitter.com/bermaxo09/status/803581877453996032","803581877453996032")</f>
        <v>803581877453996032</v>
      </c>
      <c r="F371" s="23" t="s">
        <v>37</v>
      </c>
      <c r="G371" s="24">
        <v>193.0</v>
      </c>
      <c r="H371" s="24">
        <v>196.0</v>
      </c>
      <c r="I371" s="24">
        <v>1.0</v>
      </c>
      <c r="J371" s="24">
        <v>4.0</v>
      </c>
      <c r="K371" s="23" t="s">
        <v>27</v>
      </c>
      <c r="L371" s="25">
        <v>42689.441516203704</v>
      </c>
      <c r="M371" s="26" t="s">
        <v>109</v>
      </c>
      <c r="N371" s="26" t="s">
        <v>286</v>
      </c>
      <c r="O371" s="22" t="str">
        <f t="shared" si="37"/>
        <v>View</v>
      </c>
      <c r="P371" s="27"/>
    </row>
    <row r="372">
      <c r="A372" s="19">
        <v>42703.53642361111</v>
      </c>
      <c r="B372" s="20" t="str">
        <f t="shared" si="36"/>
        <v>@bermaxo09</v>
      </c>
      <c r="C372" s="21" t="s">
        <v>284</v>
      </c>
      <c r="D372" s="21" t="s">
        <v>916</v>
      </c>
      <c r="E372" s="22" t="str">
        <f>HYPERLINK("https://twitter.com/bermaxo09/status/803582393214844928","803582393214844928")</f>
        <v>803582393214844928</v>
      </c>
      <c r="F372" s="23" t="s">
        <v>37</v>
      </c>
      <c r="G372" s="24">
        <v>193.0</v>
      </c>
      <c r="H372" s="24">
        <v>196.0</v>
      </c>
      <c r="I372" s="24">
        <v>1.0</v>
      </c>
      <c r="J372" s="24">
        <v>8.0</v>
      </c>
      <c r="K372" s="23" t="s">
        <v>27</v>
      </c>
      <c r="L372" s="25">
        <v>42689.441516203704</v>
      </c>
      <c r="M372" s="26" t="s">
        <v>109</v>
      </c>
      <c r="N372" s="26" t="s">
        <v>286</v>
      </c>
      <c r="O372" s="22" t="str">
        <f t="shared" si="37"/>
        <v>View</v>
      </c>
      <c r="P372" s="27"/>
    </row>
    <row r="373">
      <c r="A373" s="19">
        <v>42703.5408449074</v>
      </c>
      <c r="B373" s="20" t="str">
        <f t="shared" ref="B373:B374" si="38">HYPERLINK("https://twitter.com/CostaAdejeHotel","@CostaAdejeHotel")</f>
        <v>@CostaAdejeHotel</v>
      </c>
      <c r="C373" s="21" t="s">
        <v>374</v>
      </c>
      <c r="D373" s="21" t="s">
        <v>917</v>
      </c>
      <c r="E373" s="22" t="str">
        <f>HYPERLINK("https://twitter.com/CostaAdejeHotel/status/803583999108972545","803583999108972545")</f>
        <v>803583999108972545</v>
      </c>
      <c r="F373" s="23" t="s">
        <v>37</v>
      </c>
      <c r="G373" s="24">
        <v>78.0</v>
      </c>
      <c r="H373" s="24">
        <v>106.0</v>
      </c>
      <c r="I373" s="24">
        <v>1.0</v>
      </c>
      <c r="J373" s="24">
        <v>0.0</v>
      </c>
      <c r="K373" s="23" t="s">
        <v>27</v>
      </c>
      <c r="L373" s="25">
        <v>42456.415613425925</v>
      </c>
      <c r="M373" s="26" t="s">
        <v>376</v>
      </c>
      <c r="N373" s="26" t="s">
        <v>377</v>
      </c>
      <c r="O373" s="22" t="str">
        <f t="shared" ref="O373:O374" si="39">HYPERLINK("https://pbs.twimg.com/profile_images/742950874637598721/-n4GbJer_normal.jpg","View")</f>
        <v>View</v>
      </c>
      <c r="P373" s="27"/>
    </row>
    <row r="374">
      <c r="A374" s="19">
        <v>42703.5408912037</v>
      </c>
      <c r="B374" s="20" t="str">
        <f t="shared" si="38"/>
        <v>@CostaAdejeHotel</v>
      </c>
      <c r="C374" s="21" t="s">
        <v>374</v>
      </c>
      <c r="D374" s="21" t="s">
        <v>917</v>
      </c>
      <c r="E374" s="22" t="str">
        <f>HYPERLINK("https://twitter.com/CostaAdejeHotel/status/803584014074474496","803584014074474496")</f>
        <v>803584014074474496</v>
      </c>
      <c r="F374" s="23" t="s">
        <v>37</v>
      </c>
      <c r="G374" s="24">
        <v>78.0</v>
      </c>
      <c r="H374" s="24">
        <v>106.0</v>
      </c>
      <c r="I374" s="24">
        <v>1.0</v>
      </c>
      <c r="J374" s="24">
        <v>0.0</v>
      </c>
      <c r="K374" s="23" t="s">
        <v>27</v>
      </c>
      <c r="L374" s="25">
        <v>42456.415613425925</v>
      </c>
      <c r="M374" s="26" t="s">
        <v>376</v>
      </c>
      <c r="N374" s="26" t="s">
        <v>377</v>
      </c>
      <c r="O374" s="22" t="str">
        <f t="shared" si="39"/>
        <v>View</v>
      </c>
      <c r="P374" s="27"/>
    </row>
    <row r="375">
      <c r="A375" s="19">
        <v>42703.54194444444</v>
      </c>
      <c r="B375" s="20" t="str">
        <f>HYPERLINK("https://twitter.com/bethgarrotxa","@bethgarrotxa")</f>
        <v>@bethgarrotxa</v>
      </c>
      <c r="C375" s="21" t="s">
        <v>648</v>
      </c>
      <c r="D375" s="21" t="s">
        <v>918</v>
      </c>
      <c r="E375" s="22" t="str">
        <f>HYPERLINK("https://twitter.com/bethgarrotxa/status/803584395483353088","803584395483353088")</f>
        <v>803584395483353088</v>
      </c>
      <c r="F375" s="23" t="s">
        <v>81</v>
      </c>
      <c r="G375" s="24">
        <v>189.0</v>
      </c>
      <c r="H375" s="24">
        <v>168.0</v>
      </c>
      <c r="I375" s="24">
        <v>0.0</v>
      </c>
      <c r="J375" s="24">
        <v>0.0</v>
      </c>
      <c r="K375" s="23" t="s">
        <v>27</v>
      </c>
      <c r="L375" s="25">
        <v>40609.69993055556</v>
      </c>
      <c r="M375" s="26" t="s">
        <v>455</v>
      </c>
      <c r="N375" s="26" t="s">
        <v>650</v>
      </c>
      <c r="O375" s="22" t="str">
        <f>HYPERLINK("https://pbs.twimg.com/profile_images/2784461956/37b6d95f5bcac37b93611f81029dd365_normal.jpeg","View")</f>
        <v>View</v>
      </c>
      <c r="P375" s="27" t="str">
        <f>HYPERLINK("https://ctrlq.org/maps/address/#28.09502238,-17.34265251","Map")</f>
        <v>#ERROR!</v>
      </c>
    </row>
    <row r="376">
      <c r="A376" s="19">
        <v>42703.55309027778</v>
      </c>
      <c r="B376" s="20" t="str">
        <f>HYPERLINK("https://twitter.com/pabloexcursions","@pabloexcursions")</f>
        <v>@pabloexcursions</v>
      </c>
      <c r="C376" s="21" t="s">
        <v>744</v>
      </c>
      <c r="D376" s="21" t="s">
        <v>919</v>
      </c>
      <c r="E376" s="22" t="str">
        <f>HYPERLINK("https://twitter.com/pabloexcursions/status/803588434396729344","803588434396729344")</f>
        <v>803588434396729344</v>
      </c>
      <c r="F376" s="23" t="s">
        <v>69</v>
      </c>
      <c r="G376" s="24">
        <v>468.0</v>
      </c>
      <c r="H376" s="24">
        <v>2170.0</v>
      </c>
      <c r="I376" s="24">
        <v>0.0</v>
      </c>
      <c r="J376" s="24">
        <v>1.0</v>
      </c>
      <c r="K376" s="23" t="s">
        <v>27</v>
      </c>
      <c r="L376" s="25">
        <v>39977.548310185186</v>
      </c>
      <c r="M376" s="26" t="s">
        <v>746</v>
      </c>
      <c r="N376" s="26" t="s">
        <v>747</v>
      </c>
      <c r="O376" s="22" t="str">
        <f>HYPERLINK("https://pbs.twimg.com/profile_images/795287889051525121/lnv-LO1p_normal.jpg","View")</f>
        <v>View</v>
      </c>
      <c r="P376" s="27"/>
    </row>
    <row r="377">
      <c r="A377" s="19">
        <v>42703.55435185185</v>
      </c>
      <c r="B377" s="20" t="str">
        <f t="shared" ref="B377:B380" si="40">HYPERLINK("https://twitter.com/JulioAl18175505","@JulioAl18175505")</f>
        <v>@JulioAl18175505</v>
      </c>
      <c r="C377" s="21" t="s">
        <v>248</v>
      </c>
      <c r="D377" s="21" t="s">
        <v>920</v>
      </c>
      <c r="E377" s="22" t="str">
        <f>HYPERLINK("https://twitter.com/JulioAl18175505/status/803588892175794177","803588892175794177")</f>
        <v>803588892175794177</v>
      </c>
      <c r="F377" s="23" t="s">
        <v>41</v>
      </c>
      <c r="G377" s="24">
        <v>3883.0</v>
      </c>
      <c r="H377" s="24">
        <v>3761.0</v>
      </c>
      <c r="I377" s="24">
        <v>1.0</v>
      </c>
      <c r="J377" s="24">
        <v>0.0</v>
      </c>
      <c r="K377" s="23" t="s">
        <v>27</v>
      </c>
      <c r="L377" s="25">
        <v>41713.45993055555</v>
      </c>
      <c r="M377" s="26" t="s">
        <v>250</v>
      </c>
      <c r="N377" s="26" t="s">
        <v>251</v>
      </c>
      <c r="O377" s="22" t="str">
        <f t="shared" ref="O377:O380" si="41">HYPERLINK("https://pbs.twimg.com/profile_images/706839494851436544/7igsf91D_normal.jpg","View")</f>
        <v>View</v>
      </c>
      <c r="P377" s="27"/>
    </row>
    <row r="378">
      <c r="A378" s="19">
        <v>42703.55440972222</v>
      </c>
      <c r="B378" s="20" t="str">
        <f t="shared" si="40"/>
        <v>@JulioAl18175505</v>
      </c>
      <c r="C378" s="21" t="s">
        <v>248</v>
      </c>
      <c r="D378" s="21" t="s">
        <v>921</v>
      </c>
      <c r="E378" s="22" t="str">
        <f>HYPERLINK("https://twitter.com/JulioAl18175505/status/803588913818378240","803588913818378240")</f>
        <v>803588913818378240</v>
      </c>
      <c r="F378" s="23" t="s">
        <v>41</v>
      </c>
      <c r="G378" s="24">
        <v>3883.0</v>
      </c>
      <c r="H378" s="24">
        <v>3761.0</v>
      </c>
      <c r="I378" s="24">
        <v>1.0</v>
      </c>
      <c r="J378" s="24">
        <v>0.0</v>
      </c>
      <c r="K378" s="23" t="s">
        <v>27</v>
      </c>
      <c r="L378" s="25">
        <v>41713.45993055555</v>
      </c>
      <c r="M378" s="26" t="s">
        <v>250</v>
      </c>
      <c r="N378" s="26" t="s">
        <v>251</v>
      </c>
      <c r="O378" s="22" t="str">
        <f t="shared" si="41"/>
        <v>View</v>
      </c>
      <c r="P378" s="27"/>
    </row>
    <row r="379">
      <c r="A379" s="19">
        <v>42703.55445601852</v>
      </c>
      <c r="B379" s="20" t="str">
        <f t="shared" si="40"/>
        <v>@JulioAl18175505</v>
      </c>
      <c r="C379" s="21" t="s">
        <v>248</v>
      </c>
      <c r="D379" s="21" t="s">
        <v>922</v>
      </c>
      <c r="E379" s="22" t="str">
        <f>HYPERLINK("https://twitter.com/JulioAl18175505/status/803588929446412288","803588929446412288")</f>
        <v>803588929446412288</v>
      </c>
      <c r="F379" s="23" t="s">
        <v>41</v>
      </c>
      <c r="G379" s="24">
        <v>3883.0</v>
      </c>
      <c r="H379" s="24">
        <v>3761.0</v>
      </c>
      <c r="I379" s="24">
        <v>2.0</v>
      </c>
      <c r="J379" s="24">
        <v>0.0</v>
      </c>
      <c r="K379" s="23" t="s">
        <v>27</v>
      </c>
      <c r="L379" s="25">
        <v>41713.45993055555</v>
      </c>
      <c r="M379" s="26" t="s">
        <v>250</v>
      </c>
      <c r="N379" s="26" t="s">
        <v>251</v>
      </c>
      <c r="O379" s="22" t="str">
        <f t="shared" si="41"/>
        <v>View</v>
      </c>
      <c r="P379" s="27"/>
    </row>
    <row r="380">
      <c r="A380" s="19">
        <v>42703.554502314815</v>
      </c>
      <c r="B380" s="20" t="str">
        <f t="shared" si="40"/>
        <v>@JulioAl18175505</v>
      </c>
      <c r="C380" s="21" t="s">
        <v>248</v>
      </c>
      <c r="D380" s="21" t="s">
        <v>923</v>
      </c>
      <c r="E380" s="22" t="str">
        <f>HYPERLINK("https://twitter.com/JulioAl18175505/status/803588947213434880","803588947213434880")</f>
        <v>803588947213434880</v>
      </c>
      <c r="F380" s="23" t="s">
        <v>41</v>
      </c>
      <c r="G380" s="24">
        <v>3883.0</v>
      </c>
      <c r="H380" s="24">
        <v>3761.0</v>
      </c>
      <c r="I380" s="24">
        <v>1.0</v>
      </c>
      <c r="J380" s="24">
        <v>0.0</v>
      </c>
      <c r="K380" s="23" t="s">
        <v>27</v>
      </c>
      <c r="L380" s="25">
        <v>41713.45993055555</v>
      </c>
      <c r="M380" s="26" t="s">
        <v>250</v>
      </c>
      <c r="N380" s="26" t="s">
        <v>251</v>
      </c>
      <c r="O380" s="22" t="str">
        <f t="shared" si="41"/>
        <v>View</v>
      </c>
      <c r="P380" s="27"/>
    </row>
    <row r="381">
      <c r="A381" s="19">
        <v>42703.57716435185</v>
      </c>
      <c r="B381" s="20" t="str">
        <f>HYPERLINK("https://twitter.com/kristofberg","@kristofberg")</f>
        <v>@kristofberg</v>
      </c>
      <c r="C381" s="21" t="s">
        <v>639</v>
      </c>
      <c r="D381" s="21" t="s">
        <v>924</v>
      </c>
      <c r="E381" s="22" t="str">
        <f>HYPERLINK("https://twitter.com/kristofberg/status/803597157118844932","803597157118844932")</f>
        <v>803597157118844932</v>
      </c>
      <c r="F381" s="23" t="s">
        <v>37</v>
      </c>
      <c r="G381" s="24">
        <v>713.0</v>
      </c>
      <c r="H381" s="24">
        <v>728.0</v>
      </c>
      <c r="I381" s="24">
        <v>3.0</v>
      </c>
      <c r="J381" s="24">
        <v>0.0</v>
      </c>
      <c r="K381" s="23" t="s">
        <v>27</v>
      </c>
      <c r="L381" s="25">
        <v>39716.30511574074</v>
      </c>
      <c r="M381" s="26" t="s">
        <v>641</v>
      </c>
      <c r="N381" s="26" t="s">
        <v>642</v>
      </c>
      <c r="O381" s="22" t="str">
        <f>HYPERLINK("https://pbs.twimg.com/profile_images/553549712653967363/DFCnsQyD_normal.jpeg","View")</f>
        <v>View</v>
      </c>
      <c r="P381" s="27"/>
    </row>
    <row r="382">
      <c r="A382" s="19">
        <v>42703.577685185184</v>
      </c>
      <c r="B382" s="20" t="str">
        <f>HYPERLINK("https://twitter.com/ShopAfortunadas","@ShopAfortunadas")</f>
        <v>@ShopAfortunadas</v>
      </c>
      <c r="C382" s="21" t="s">
        <v>143</v>
      </c>
      <c r="D382" s="21" t="s">
        <v>925</v>
      </c>
      <c r="E382" s="22" t="str">
        <f>HYPERLINK("https://twitter.com/ShopAfortunadas/status/803597347334672384","803597347334672384")</f>
        <v>803597347334672384</v>
      </c>
      <c r="F382" s="23" t="s">
        <v>81</v>
      </c>
      <c r="G382" s="24">
        <v>187.0</v>
      </c>
      <c r="H382" s="24">
        <v>240.0</v>
      </c>
      <c r="I382" s="24">
        <v>0.0</v>
      </c>
      <c r="J382" s="24">
        <v>0.0</v>
      </c>
      <c r="K382" s="23" t="s">
        <v>27</v>
      </c>
      <c r="L382" s="25">
        <v>41772.625543981485</v>
      </c>
      <c r="M382" s="26" t="s">
        <v>42</v>
      </c>
      <c r="N382" s="26" t="s">
        <v>145</v>
      </c>
      <c r="O382" s="22" t="str">
        <f>HYPERLINK("https://pbs.twimg.com/profile_images/679251177305972736/xtBJP7kS_normal.jpg","View")</f>
        <v>View</v>
      </c>
      <c r="P382" s="27"/>
    </row>
    <row r="383">
      <c r="A383" s="19">
        <v>42703.592569444445</v>
      </c>
      <c r="B383" s="20" t="str">
        <f>HYPERLINK("https://twitter.com/lapalma24","@lapalma24")</f>
        <v>@lapalma24</v>
      </c>
      <c r="C383" s="21" t="s">
        <v>926</v>
      </c>
      <c r="D383" s="21" t="s">
        <v>927</v>
      </c>
      <c r="E383" s="22" t="str">
        <f>HYPERLINK("https://twitter.com/lapalma24/status/803602740693897216","803602740693897216")</f>
        <v>803602740693897216</v>
      </c>
      <c r="F383" s="23" t="s">
        <v>37</v>
      </c>
      <c r="G383" s="24">
        <v>2029.0</v>
      </c>
      <c r="H383" s="24">
        <v>3704.0</v>
      </c>
      <c r="I383" s="24">
        <v>1.0</v>
      </c>
      <c r="J383" s="24">
        <v>2.0</v>
      </c>
      <c r="K383" s="23" t="s">
        <v>27</v>
      </c>
      <c r="L383" s="25">
        <v>40025.93230324074</v>
      </c>
      <c r="M383" s="26" t="s">
        <v>928</v>
      </c>
      <c r="N383" s="26" t="s">
        <v>929</v>
      </c>
      <c r="O383" s="22" t="str">
        <f>HYPERLINK("https://pbs.twimg.com/profile_images/3722341784/fa39d69a57bac26ec686d40f2bbf96ad_normal.jpeg","View")</f>
        <v>View</v>
      </c>
      <c r="P383" s="27"/>
    </row>
    <row r="384">
      <c r="A384" s="19">
        <v>42703.60763888889</v>
      </c>
      <c r="B384" s="20" t="str">
        <f>HYPERLINK("https://twitter.com/Sink_or_Swim_","@Sink_or_Swim_")</f>
        <v>@Sink_or_Swim_</v>
      </c>
      <c r="C384" s="21" t="s">
        <v>930</v>
      </c>
      <c r="D384" s="21" t="s">
        <v>931</v>
      </c>
      <c r="E384" s="22" t="str">
        <f>HYPERLINK("https://twitter.com/Sink_or_Swim_/status/803608200830275585","803608200830275585")</f>
        <v>803608200830275585</v>
      </c>
      <c r="F384" s="23" t="s">
        <v>81</v>
      </c>
      <c r="G384" s="24">
        <v>24.0</v>
      </c>
      <c r="H384" s="24">
        <v>91.0</v>
      </c>
      <c r="I384" s="24">
        <v>0.0</v>
      </c>
      <c r="J384" s="24">
        <v>1.0</v>
      </c>
      <c r="K384" s="23" t="s">
        <v>27</v>
      </c>
      <c r="L384" s="25">
        <v>41320.493159722224</v>
      </c>
      <c r="M384" s="26" t="s">
        <v>932</v>
      </c>
      <c r="N384" s="26" t="s">
        <v>933</v>
      </c>
      <c r="O384" s="22" t="str">
        <f>HYPERLINK("https://pbs.twimg.com/profile_images/730687096550268928/J-Ee_sln_normal.jpg","View")</f>
        <v>View</v>
      </c>
      <c r="P384" s="27"/>
    </row>
    <row r="385">
      <c r="A385" s="19">
        <v>42703.622662037036</v>
      </c>
      <c r="B385" s="20" t="str">
        <f>HYPERLINK("https://twitter.com/rickfoliva","@rickfoliva")</f>
        <v>@rickfoliva</v>
      </c>
      <c r="C385" s="21" t="s">
        <v>175</v>
      </c>
      <c r="D385" s="21" t="s">
        <v>934</v>
      </c>
      <c r="E385" s="22" t="str">
        <f>HYPERLINK("https://twitter.com/rickfoliva/status/803613645045374976","803613645045374976")</f>
        <v>803613645045374976</v>
      </c>
      <c r="F385" s="23" t="s">
        <v>69</v>
      </c>
      <c r="G385" s="24">
        <v>428.0</v>
      </c>
      <c r="H385" s="24">
        <v>18.0</v>
      </c>
      <c r="I385" s="24">
        <v>0.0</v>
      </c>
      <c r="J385" s="24">
        <v>0.0</v>
      </c>
      <c r="K385" s="23" t="s">
        <v>27</v>
      </c>
      <c r="L385" s="25">
        <v>42504.58459490741</v>
      </c>
      <c r="M385" s="26" t="s">
        <v>177</v>
      </c>
      <c r="N385" s="26" t="s">
        <v>178</v>
      </c>
      <c r="O385" s="22" t="str">
        <f>HYPERLINK("https://pbs.twimg.com/profile_images/731471241282871297/LE7uB3IZ_normal.jpg","View")</f>
        <v>View</v>
      </c>
      <c r="P385" s="27"/>
    </row>
    <row r="386">
      <c r="A386" s="19">
        <v>42703.62599537037</v>
      </c>
      <c r="B386" s="20" t="str">
        <f>HYPERLINK("https://twitter.com/DMinternship","@DMinternship")</f>
        <v>@DMinternship</v>
      </c>
      <c r="C386" s="21" t="s">
        <v>935</v>
      </c>
      <c r="D386" s="21" t="s">
        <v>936</v>
      </c>
      <c r="E386" s="22" t="str">
        <f>HYPERLINK("https://twitter.com/DMinternship/status/803614855638810624","803614855638810624")</f>
        <v>803614855638810624</v>
      </c>
      <c r="F386" s="23" t="s">
        <v>401</v>
      </c>
      <c r="G386" s="24">
        <v>1781.0</v>
      </c>
      <c r="H386" s="24">
        <v>1393.0</v>
      </c>
      <c r="I386" s="24">
        <v>0.0</v>
      </c>
      <c r="J386" s="24">
        <v>1.0</v>
      </c>
      <c r="K386" s="23" t="s">
        <v>27</v>
      </c>
      <c r="L386" s="25">
        <v>41984.83335648148</v>
      </c>
      <c r="M386" s="26" t="s">
        <v>301</v>
      </c>
      <c r="N386" s="26" t="s">
        <v>937</v>
      </c>
      <c r="O386" s="22" t="str">
        <f>HYPERLINK("https://pbs.twimg.com/profile_images/543134167836282882/TU0k9eE6_normal.jpeg","View")</f>
        <v>View</v>
      </c>
      <c r="P386" s="27"/>
    </row>
    <row r="387">
      <c r="A387" s="19">
        <v>42703.62599537037</v>
      </c>
      <c r="B387" s="20" t="str">
        <f>HYPERLINK("https://twitter.com/DiveInternship","@DiveInternship")</f>
        <v>@DiveInternship</v>
      </c>
      <c r="C387" s="21" t="s">
        <v>938</v>
      </c>
      <c r="D387" s="21" t="s">
        <v>939</v>
      </c>
      <c r="E387" s="22" t="str">
        <f>HYPERLINK("https://twitter.com/DiveInternship/status/803614855685087232","803614855685087232")</f>
        <v>803614855685087232</v>
      </c>
      <c r="F387" s="23" t="s">
        <v>401</v>
      </c>
      <c r="G387" s="24">
        <v>1763.0</v>
      </c>
      <c r="H387" s="24">
        <v>1286.0</v>
      </c>
      <c r="I387" s="24">
        <v>0.0</v>
      </c>
      <c r="J387" s="24">
        <v>1.0</v>
      </c>
      <c r="K387" s="23" t="s">
        <v>27</v>
      </c>
      <c r="L387" s="25">
        <v>42016.521990740745</v>
      </c>
      <c r="M387" s="26" t="s">
        <v>301</v>
      </c>
      <c r="N387" s="26" t="s">
        <v>940</v>
      </c>
      <c r="O387" s="22" t="str">
        <f>HYPERLINK("https://pbs.twimg.com/profile_images/555773820082987008/gVpHLsE4_normal.jpeg","View")</f>
        <v>View</v>
      </c>
      <c r="P387" s="27"/>
    </row>
    <row r="388">
      <c r="A388" s="19">
        <v>42703.628113425926</v>
      </c>
      <c r="B388" s="20" t="str">
        <f>HYPERLINK("https://twitter.com/sellmytshare","@sellmytshare")</f>
        <v>@sellmytshare</v>
      </c>
      <c r="C388" s="21" t="s">
        <v>591</v>
      </c>
      <c r="D388" s="21" t="s">
        <v>112</v>
      </c>
      <c r="E388" s="22" t="str">
        <f>HYPERLINK("https://twitter.com/sellmytshare/status/803615622378590209","803615622378590209")</f>
        <v>803615622378590209</v>
      </c>
      <c r="F388" s="23" t="s">
        <v>37</v>
      </c>
      <c r="G388" s="24">
        <v>1255.0</v>
      </c>
      <c r="H388" s="24">
        <v>908.0</v>
      </c>
      <c r="I388" s="24">
        <v>63.0</v>
      </c>
      <c r="J388" s="24">
        <v>0.0</v>
      </c>
      <c r="K388" s="23" t="s">
        <v>27</v>
      </c>
      <c r="L388" s="25">
        <v>41474.641331018516</v>
      </c>
      <c r="M388" s="28"/>
      <c r="N388" s="26" t="s">
        <v>593</v>
      </c>
      <c r="O388" s="22" t="str">
        <f>HYPERLINK("https://pbs.twimg.com/profile_images/661939380370726912/YsXXMKwm_normal.png","View")</f>
        <v>View</v>
      </c>
      <c r="P388" s="27"/>
    </row>
    <row r="389">
      <c r="A389" s="19">
        <v>42703.635671296295</v>
      </c>
      <c r="B389" s="20" t="str">
        <f>HYPERLINK("https://twitter.com/rafael_cubas2","@rafael_cubas2")</f>
        <v>@rafael_cubas2</v>
      </c>
      <c r="C389" s="21" t="s">
        <v>941</v>
      </c>
      <c r="D389" s="21" t="s">
        <v>558</v>
      </c>
      <c r="E389" s="22" t="str">
        <f>HYPERLINK("https://twitter.com/rafael_cubas2/status/803618361020137473","803618361020137473")</f>
        <v>803618361020137473</v>
      </c>
      <c r="F389" s="23" t="s">
        <v>41</v>
      </c>
      <c r="G389" s="24">
        <v>235.0</v>
      </c>
      <c r="H389" s="24">
        <v>502.0</v>
      </c>
      <c r="I389" s="24">
        <v>36.0</v>
      </c>
      <c r="J389" s="24">
        <v>0.0</v>
      </c>
      <c r="K389" s="23" t="s">
        <v>27</v>
      </c>
      <c r="L389" s="25">
        <v>42685.53811342592</v>
      </c>
      <c r="M389" s="28"/>
      <c r="N389" s="26" t="s">
        <v>942</v>
      </c>
      <c r="O389" s="22" t="str">
        <f>HYPERLINK("https://pbs.twimg.com/profile_images/797064986937925632/4N5NK8ar_normal.jpg","View")</f>
        <v>View</v>
      </c>
      <c r="P389" s="27"/>
    </row>
    <row r="390">
      <c r="A390" s="19">
        <v>42703.63857638889</v>
      </c>
      <c r="B390" s="20" t="str">
        <f>HYPERLINK("https://twitter.com/GooseSandra","@GooseSandra")</f>
        <v>@GooseSandra</v>
      </c>
      <c r="C390" s="21" t="s">
        <v>943</v>
      </c>
      <c r="D390" s="21" t="s">
        <v>36</v>
      </c>
      <c r="E390" s="22" t="str">
        <f>HYPERLINK("https://twitter.com/GooseSandra/status/803619415749181440","803619415749181440")</f>
        <v>803619415749181440</v>
      </c>
      <c r="F390" s="23" t="s">
        <v>41</v>
      </c>
      <c r="G390" s="24">
        <v>8.0</v>
      </c>
      <c r="H390" s="24">
        <v>32.0</v>
      </c>
      <c r="I390" s="24">
        <v>47.0</v>
      </c>
      <c r="J390" s="24">
        <v>0.0</v>
      </c>
      <c r="K390" s="23" t="s">
        <v>27</v>
      </c>
      <c r="L390" s="25">
        <v>41679.675729166665</v>
      </c>
      <c r="M390" s="26" t="s">
        <v>944</v>
      </c>
      <c r="N390" s="26" t="s">
        <v>945</v>
      </c>
      <c r="O390" s="22" t="str">
        <f>HYPERLINK("https://abs.twimg.com/sticky/default_profile_images/default_profile_2_normal.png","View")</f>
        <v>View</v>
      </c>
      <c r="P390" s="27"/>
    </row>
    <row r="391">
      <c r="A391" s="19">
        <v>42703.64584490741</v>
      </c>
      <c r="B391" s="20" t="str">
        <f>HYPERLINK("https://twitter.com/LordJimSailing","@LordJimSailing")</f>
        <v>@LordJimSailing</v>
      </c>
      <c r="C391" s="21" t="s">
        <v>946</v>
      </c>
      <c r="D391" s="21" t="s">
        <v>947</v>
      </c>
      <c r="E391" s="22" t="str">
        <f>HYPERLINK("https://twitter.com/LordJimSailing/status/803622047305736192","803622047305736192")</f>
        <v>803622047305736192</v>
      </c>
      <c r="F391" s="23" t="s">
        <v>37</v>
      </c>
      <c r="G391" s="24">
        <v>140.0</v>
      </c>
      <c r="H391" s="24">
        <v>378.0</v>
      </c>
      <c r="I391" s="24">
        <v>0.0</v>
      </c>
      <c r="J391" s="24">
        <v>1.0</v>
      </c>
      <c r="K391" s="23" t="s">
        <v>27</v>
      </c>
      <c r="L391" s="25">
        <v>41794.61949074074</v>
      </c>
      <c r="M391" s="28"/>
      <c r="N391" s="26" t="s">
        <v>948</v>
      </c>
      <c r="O391" s="22" t="str">
        <f>HYPERLINK("https://pbs.twimg.com/profile_images/474247403361402880/Y9Qt1sP7_normal.jpeg","View")</f>
        <v>View</v>
      </c>
      <c r="P391" s="27"/>
    </row>
    <row r="392">
      <c r="A392" s="19">
        <v>42703.64611111111</v>
      </c>
      <c r="B392" s="20" t="str">
        <f>HYPERLINK("https://twitter.com/HessleTravel","@HessleTravel")</f>
        <v>@HessleTravel</v>
      </c>
      <c r="C392" s="21" t="s">
        <v>896</v>
      </c>
      <c r="D392" s="21" t="s">
        <v>949</v>
      </c>
      <c r="E392" s="22" t="str">
        <f>HYPERLINK("https://twitter.com/HessleTravel/status/803622144798097408","803622144798097408")</f>
        <v>803622144798097408</v>
      </c>
      <c r="F392" s="23" t="s">
        <v>37</v>
      </c>
      <c r="G392" s="24">
        <v>3942.0</v>
      </c>
      <c r="H392" s="24">
        <v>4786.0</v>
      </c>
      <c r="I392" s="24">
        <v>0.0</v>
      </c>
      <c r="J392" s="24">
        <v>0.0</v>
      </c>
      <c r="K392" s="23" t="s">
        <v>27</v>
      </c>
      <c r="L392" s="25">
        <v>41968.41019675926</v>
      </c>
      <c r="M392" s="26" t="s">
        <v>898</v>
      </c>
      <c r="N392" s="26" t="s">
        <v>899</v>
      </c>
      <c r="O392" s="22" t="str">
        <f>HYPERLINK("https://pbs.twimg.com/profile_images/698309673066303488/gU84mK_F_normal.jpg","View")</f>
        <v>View</v>
      </c>
      <c r="P392" s="27"/>
    </row>
    <row r="393">
      <c r="A393" s="19">
        <v>42703.659733796296</v>
      </c>
      <c r="B393" s="20" t="str">
        <f>HYPERLINK("https://twitter.com/Lanzarote_Sov","@Lanzarote_Sov")</f>
        <v>@Lanzarote_Sov</v>
      </c>
      <c r="C393" s="21" t="s">
        <v>950</v>
      </c>
      <c r="D393" s="21" t="s">
        <v>951</v>
      </c>
      <c r="E393" s="22" t="str">
        <f>HYPERLINK("https://twitter.com/Lanzarote_Sov/status/803627080579776512","803627080579776512")</f>
        <v>803627080579776512</v>
      </c>
      <c r="F393" s="23" t="s">
        <v>64</v>
      </c>
      <c r="G393" s="24">
        <v>115.0</v>
      </c>
      <c r="H393" s="24">
        <v>124.0</v>
      </c>
      <c r="I393" s="24">
        <v>0.0</v>
      </c>
      <c r="J393" s="24">
        <v>1.0</v>
      </c>
      <c r="K393" s="23" t="s">
        <v>27</v>
      </c>
      <c r="L393" s="25">
        <v>42095.68859953704</v>
      </c>
      <c r="M393" s="26" t="s">
        <v>952</v>
      </c>
      <c r="N393" s="26" t="s">
        <v>953</v>
      </c>
      <c r="O393" s="22" t="str">
        <f>HYPERLINK("https://pbs.twimg.com/profile_images/601788526162763778/vJg4VIhI_normal.jpg","View")</f>
        <v>View</v>
      </c>
      <c r="P393" s="27"/>
    </row>
    <row r="394">
      <c r="A394" s="19">
        <v>42703.661944444444</v>
      </c>
      <c r="B394" s="20" t="str">
        <f t="shared" ref="B394:B398" si="42">HYPERLINK("https://twitter.com/elastword","@elastword")</f>
        <v>@elastword</v>
      </c>
      <c r="C394" s="21" t="s">
        <v>253</v>
      </c>
      <c r="D394" s="21" t="s">
        <v>954</v>
      </c>
      <c r="E394" s="22" t="str">
        <f>HYPERLINK("https://twitter.com/elastword/status/803627884292153344","803627884292153344")</f>
        <v>803627884292153344</v>
      </c>
      <c r="F394" s="23" t="s">
        <v>81</v>
      </c>
      <c r="G394" s="24">
        <v>595.0</v>
      </c>
      <c r="H394" s="24">
        <v>417.0</v>
      </c>
      <c r="I394" s="24">
        <v>0.0</v>
      </c>
      <c r="J394" s="24">
        <v>1.0</v>
      </c>
      <c r="K394" s="23" t="s">
        <v>27</v>
      </c>
      <c r="L394" s="25">
        <v>40520.91306712963</v>
      </c>
      <c r="M394" s="26" t="s">
        <v>255</v>
      </c>
      <c r="N394" s="26" t="s">
        <v>256</v>
      </c>
      <c r="O394" s="22" t="str">
        <f t="shared" ref="O394:O398" si="43">HYPERLINK("https://pbs.twimg.com/profile_images/779785036996415489/a2nilB1d_normal.jpg","View")</f>
        <v>View</v>
      </c>
      <c r="P394" s="27" t="str">
        <f t="shared" ref="P394:P398" si="44">HYPERLINK("https://ctrlq.org/maps/address/#29.08049877,-13.47624376","Map")</f>
        <v>#ERROR!</v>
      </c>
    </row>
    <row r="395">
      <c r="A395" s="19">
        <v>42703.66275462963</v>
      </c>
      <c r="B395" s="20" t="str">
        <f t="shared" si="42"/>
        <v>@elastword</v>
      </c>
      <c r="C395" s="21" t="s">
        <v>253</v>
      </c>
      <c r="D395" s="21" t="s">
        <v>955</v>
      </c>
      <c r="E395" s="22" t="str">
        <f>HYPERLINK("https://twitter.com/elastword/status/803628175095988224","803628175095988224")</f>
        <v>803628175095988224</v>
      </c>
      <c r="F395" s="23" t="s">
        <v>81</v>
      </c>
      <c r="G395" s="24">
        <v>595.0</v>
      </c>
      <c r="H395" s="24">
        <v>417.0</v>
      </c>
      <c r="I395" s="24">
        <v>0.0</v>
      </c>
      <c r="J395" s="24">
        <v>0.0</v>
      </c>
      <c r="K395" s="23" t="s">
        <v>27</v>
      </c>
      <c r="L395" s="25">
        <v>40520.91306712963</v>
      </c>
      <c r="M395" s="26" t="s">
        <v>255</v>
      </c>
      <c r="N395" s="26" t="s">
        <v>256</v>
      </c>
      <c r="O395" s="22" t="str">
        <f t="shared" si="43"/>
        <v>View</v>
      </c>
      <c r="P395" s="27" t="str">
        <f t="shared" si="44"/>
        <v>#ERROR!</v>
      </c>
    </row>
    <row r="396">
      <c r="A396" s="19">
        <v>42703.6646875</v>
      </c>
      <c r="B396" s="20" t="str">
        <f t="shared" si="42"/>
        <v>@elastword</v>
      </c>
      <c r="C396" s="21" t="s">
        <v>253</v>
      </c>
      <c r="D396" s="21" t="s">
        <v>956</v>
      </c>
      <c r="E396" s="22" t="str">
        <f>HYPERLINK("https://twitter.com/elastword/status/803628876761100288","803628876761100288")</f>
        <v>803628876761100288</v>
      </c>
      <c r="F396" s="23" t="s">
        <v>81</v>
      </c>
      <c r="G396" s="24">
        <v>595.0</v>
      </c>
      <c r="H396" s="24">
        <v>417.0</v>
      </c>
      <c r="I396" s="24">
        <v>0.0</v>
      </c>
      <c r="J396" s="24">
        <v>0.0</v>
      </c>
      <c r="K396" s="23" t="s">
        <v>27</v>
      </c>
      <c r="L396" s="25">
        <v>40520.91306712963</v>
      </c>
      <c r="M396" s="26" t="s">
        <v>255</v>
      </c>
      <c r="N396" s="26" t="s">
        <v>256</v>
      </c>
      <c r="O396" s="22" t="str">
        <f t="shared" si="43"/>
        <v>View</v>
      </c>
      <c r="P396" s="27" t="str">
        <f t="shared" si="44"/>
        <v>#ERROR!</v>
      </c>
    </row>
    <row r="397">
      <c r="A397" s="19">
        <v>42703.666030092594</v>
      </c>
      <c r="B397" s="20" t="str">
        <f t="shared" si="42"/>
        <v>@elastword</v>
      </c>
      <c r="C397" s="21" t="s">
        <v>253</v>
      </c>
      <c r="D397" s="21" t="s">
        <v>957</v>
      </c>
      <c r="E397" s="22" t="str">
        <f>HYPERLINK("https://twitter.com/elastword/status/803629364785119232","803629364785119232")</f>
        <v>803629364785119232</v>
      </c>
      <c r="F397" s="23" t="s">
        <v>81</v>
      </c>
      <c r="G397" s="24">
        <v>595.0</v>
      </c>
      <c r="H397" s="24">
        <v>417.0</v>
      </c>
      <c r="I397" s="24">
        <v>0.0</v>
      </c>
      <c r="J397" s="24">
        <v>0.0</v>
      </c>
      <c r="K397" s="23" t="s">
        <v>27</v>
      </c>
      <c r="L397" s="25">
        <v>40520.91306712963</v>
      </c>
      <c r="M397" s="26" t="s">
        <v>255</v>
      </c>
      <c r="N397" s="26" t="s">
        <v>256</v>
      </c>
      <c r="O397" s="22" t="str">
        <f t="shared" si="43"/>
        <v>View</v>
      </c>
      <c r="P397" s="27" t="str">
        <f t="shared" si="44"/>
        <v>#ERROR!</v>
      </c>
    </row>
    <row r="398">
      <c r="A398" s="19">
        <v>42703.66809027777</v>
      </c>
      <c r="B398" s="20" t="str">
        <f t="shared" si="42"/>
        <v>@elastword</v>
      </c>
      <c r="C398" s="21" t="s">
        <v>253</v>
      </c>
      <c r="D398" s="21" t="s">
        <v>958</v>
      </c>
      <c r="E398" s="22" t="str">
        <f>HYPERLINK("https://twitter.com/elastword/status/803630107734618112","803630107734618112")</f>
        <v>803630107734618112</v>
      </c>
      <c r="F398" s="23" t="s">
        <v>81</v>
      </c>
      <c r="G398" s="24">
        <v>595.0</v>
      </c>
      <c r="H398" s="24">
        <v>417.0</v>
      </c>
      <c r="I398" s="24">
        <v>0.0</v>
      </c>
      <c r="J398" s="24">
        <v>0.0</v>
      </c>
      <c r="K398" s="23" t="s">
        <v>27</v>
      </c>
      <c r="L398" s="25">
        <v>40520.91306712963</v>
      </c>
      <c r="M398" s="26" t="s">
        <v>255</v>
      </c>
      <c r="N398" s="26" t="s">
        <v>256</v>
      </c>
      <c r="O398" s="22" t="str">
        <f t="shared" si="43"/>
        <v>View</v>
      </c>
      <c r="P398" s="27" t="str">
        <f t="shared" si="44"/>
        <v>#ERROR!</v>
      </c>
    </row>
    <row r="399">
      <c r="A399" s="19">
        <v>42703.671006944445</v>
      </c>
      <c r="B399" s="20" t="str">
        <f>HYPERLINK("https://twitter.com/weather2travel","@weather2travel")</f>
        <v>@weather2travel</v>
      </c>
      <c r="C399" s="32" t="s">
        <v>959</v>
      </c>
      <c r="D399" s="21" t="s">
        <v>960</v>
      </c>
      <c r="E399" s="22" t="str">
        <f>HYPERLINK("https://twitter.com/weather2travel/status/803631167043870720","803631167043870720")</f>
        <v>803631167043870720</v>
      </c>
      <c r="F399" s="23" t="s">
        <v>37</v>
      </c>
      <c r="G399" s="24">
        <v>762.0</v>
      </c>
      <c r="H399" s="24">
        <v>1041.0</v>
      </c>
      <c r="I399" s="24">
        <v>1.0</v>
      </c>
      <c r="J399" s="24">
        <v>0.0</v>
      </c>
      <c r="K399" s="23" t="s">
        <v>27</v>
      </c>
      <c r="L399" s="25">
        <v>40261.4703125</v>
      </c>
      <c r="M399" s="26" t="s">
        <v>353</v>
      </c>
      <c r="N399" s="26" t="s">
        <v>961</v>
      </c>
      <c r="O399" s="22" t="str">
        <f>HYPERLINK("https://pbs.twimg.com/profile_images/592601041411186688/KDqEBiIP_normal.png","View")</f>
        <v>View</v>
      </c>
      <c r="P399" s="27"/>
    </row>
    <row r="400">
      <c r="A400" s="19">
        <v>42703.67104166667</v>
      </c>
      <c r="B400" s="20" t="str">
        <f t="shared" ref="B400:B404" si="45">HYPERLINK("https://twitter.com/elastword","@elastword")</f>
        <v>@elastword</v>
      </c>
      <c r="C400" s="21" t="s">
        <v>253</v>
      </c>
      <c r="D400" s="21" t="s">
        <v>962</v>
      </c>
      <c r="E400" s="22" t="str">
        <f>HYPERLINK("https://twitter.com/elastword/status/803631177127120897","803631177127120897")</f>
        <v>803631177127120897</v>
      </c>
      <c r="F400" s="23" t="s">
        <v>81</v>
      </c>
      <c r="G400" s="24">
        <v>595.0</v>
      </c>
      <c r="H400" s="24">
        <v>417.0</v>
      </c>
      <c r="I400" s="24">
        <v>0.0</v>
      </c>
      <c r="J400" s="24">
        <v>0.0</v>
      </c>
      <c r="K400" s="23" t="s">
        <v>27</v>
      </c>
      <c r="L400" s="25">
        <v>40520.91306712963</v>
      </c>
      <c r="M400" s="26" t="s">
        <v>255</v>
      </c>
      <c r="N400" s="26" t="s">
        <v>256</v>
      </c>
      <c r="O400" s="22" t="str">
        <f t="shared" ref="O400:O404" si="46">HYPERLINK("https://pbs.twimg.com/profile_images/779785036996415489/a2nilB1d_normal.jpg","View")</f>
        <v>View</v>
      </c>
      <c r="P400" s="27" t="str">
        <f t="shared" ref="P400:P404" si="47">HYPERLINK("https://ctrlq.org/maps/address/#29.16944444,-13.43888889","Map")</f>
        <v>#ERROR!</v>
      </c>
    </row>
    <row r="401">
      <c r="A401" s="19">
        <v>42703.672939814816</v>
      </c>
      <c r="B401" s="20" t="str">
        <f t="shared" si="45"/>
        <v>@elastword</v>
      </c>
      <c r="C401" s="21" t="s">
        <v>253</v>
      </c>
      <c r="D401" s="21" t="s">
        <v>963</v>
      </c>
      <c r="E401" s="22" t="str">
        <f>HYPERLINK("https://twitter.com/elastword/status/803631867891216384","803631867891216384")</f>
        <v>803631867891216384</v>
      </c>
      <c r="F401" s="23" t="s">
        <v>81</v>
      </c>
      <c r="G401" s="24">
        <v>595.0</v>
      </c>
      <c r="H401" s="24">
        <v>417.0</v>
      </c>
      <c r="I401" s="24">
        <v>0.0</v>
      </c>
      <c r="J401" s="24">
        <v>0.0</v>
      </c>
      <c r="K401" s="23" t="s">
        <v>27</v>
      </c>
      <c r="L401" s="25">
        <v>40520.91306712963</v>
      </c>
      <c r="M401" s="26" t="s">
        <v>255</v>
      </c>
      <c r="N401" s="26" t="s">
        <v>256</v>
      </c>
      <c r="O401" s="22" t="str">
        <f t="shared" si="46"/>
        <v>View</v>
      </c>
      <c r="P401" s="27" t="str">
        <f t="shared" si="47"/>
        <v>#ERROR!</v>
      </c>
    </row>
    <row r="402">
      <c r="A402" s="19">
        <v>42703.674375</v>
      </c>
      <c r="B402" s="20" t="str">
        <f t="shared" si="45"/>
        <v>@elastword</v>
      </c>
      <c r="C402" s="21" t="s">
        <v>253</v>
      </c>
      <c r="D402" s="21" t="s">
        <v>964</v>
      </c>
      <c r="E402" s="22" t="str">
        <f>HYPERLINK("https://twitter.com/elastword/status/803632386013544448","803632386013544448")</f>
        <v>803632386013544448</v>
      </c>
      <c r="F402" s="23" t="s">
        <v>81</v>
      </c>
      <c r="G402" s="24">
        <v>595.0</v>
      </c>
      <c r="H402" s="24">
        <v>417.0</v>
      </c>
      <c r="I402" s="24">
        <v>0.0</v>
      </c>
      <c r="J402" s="24">
        <v>0.0</v>
      </c>
      <c r="K402" s="23" t="s">
        <v>27</v>
      </c>
      <c r="L402" s="25">
        <v>40520.91306712963</v>
      </c>
      <c r="M402" s="26" t="s">
        <v>255</v>
      </c>
      <c r="N402" s="26" t="s">
        <v>256</v>
      </c>
      <c r="O402" s="22" t="str">
        <f t="shared" si="46"/>
        <v>View</v>
      </c>
      <c r="P402" s="27" t="str">
        <f t="shared" si="47"/>
        <v>#ERROR!</v>
      </c>
    </row>
    <row r="403">
      <c r="A403" s="19">
        <v>42703.67658564815</v>
      </c>
      <c r="B403" s="20" t="str">
        <f t="shared" si="45"/>
        <v>@elastword</v>
      </c>
      <c r="C403" s="21" t="s">
        <v>253</v>
      </c>
      <c r="D403" s="21" t="s">
        <v>965</v>
      </c>
      <c r="E403" s="22" t="str">
        <f>HYPERLINK("https://twitter.com/elastword/status/803633188585213952","803633188585213952")</f>
        <v>803633188585213952</v>
      </c>
      <c r="F403" s="23" t="s">
        <v>81</v>
      </c>
      <c r="G403" s="24">
        <v>595.0</v>
      </c>
      <c r="H403" s="24">
        <v>417.0</v>
      </c>
      <c r="I403" s="24">
        <v>0.0</v>
      </c>
      <c r="J403" s="24">
        <v>0.0</v>
      </c>
      <c r="K403" s="23" t="s">
        <v>27</v>
      </c>
      <c r="L403" s="25">
        <v>40520.91306712963</v>
      </c>
      <c r="M403" s="26" t="s">
        <v>255</v>
      </c>
      <c r="N403" s="26" t="s">
        <v>256</v>
      </c>
      <c r="O403" s="22" t="str">
        <f t="shared" si="46"/>
        <v>View</v>
      </c>
      <c r="P403" s="27" t="str">
        <f t="shared" si="47"/>
        <v>#ERROR!</v>
      </c>
    </row>
    <row r="404">
      <c r="A404" s="19">
        <v>42703.68041666667</v>
      </c>
      <c r="B404" s="20" t="str">
        <f t="shared" si="45"/>
        <v>@elastword</v>
      </c>
      <c r="C404" s="21" t="s">
        <v>253</v>
      </c>
      <c r="D404" s="21" t="s">
        <v>966</v>
      </c>
      <c r="E404" s="22" t="str">
        <f>HYPERLINK("https://twitter.com/elastword/status/803634576501383172","803634576501383172")</f>
        <v>803634576501383172</v>
      </c>
      <c r="F404" s="23" t="s">
        <v>81</v>
      </c>
      <c r="G404" s="24">
        <v>595.0</v>
      </c>
      <c r="H404" s="24">
        <v>417.0</v>
      </c>
      <c r="I404" s="24">
        <v>0.0</v>
      </c>
      <c r="J404" s="24">
        <v>0.0</v>
      </c>
      <c r="K404" s="23" t="s">
        <v>27</v>
      </c>
      <c r="L404" s="25">
        <v>40520.91306712963</v>
      </c>
      <c r="M404" s="26" t="s">
        <v>255</v>
      </c>
      <c r="N404" s="26" t="s">
        <v>256</v>
      </c>
      <c r="O404" s="22" t="str">
        <f t="shared" si="46"/>
        <v>View</v>
      </c>
      <c r="P404" s="27" t="str">
        <f t="shared" si="47"/>
        <v>#ERROR!</v>
      </c>
    </row>
    <row r="405">
      <c r="A405" s="19">
        <v>42703.69800925926</v>
      </c>
      <c r="B405" s="20" t="str">
        <f>HYPERLINK("https://twitter.com/MokaGonzalez_","@MokaGonzalez_")</f>
        <v>@MokaGonzalez_</v>
      </c>
      <c r="C405" s="21" t="s">
        <v>967</v>
      </c>
      <c r="D405" s="21" t="s">
        <v>968</v>
      </c>
      <c r="E405" s="22" t="str">
        <f>HYPERLINK("https://twitter.com/MokaGonzalez_/status/803640949993775105","803640949993775105")</f>
        <v>803640949993775105</v>
      </c>
      <c r="F405" s="23" t="s">
        <v>41</v>
      </c>
      <c r="G405" s="24">
        <v>167.0</v>
      </c>
      <c r="H405" s="24">
        <v>115.0</v>
      </c>
      <c r="I405" s="24">
        <v>3.0</v>
      </c>
      <c r="J405" s="24">
        <v>7.0</v>
      </c>
      <c r="K405" s="23" t="s">
        <v>27</v>
      </c>
      <c r="L405" s="25">
        <v>42601.60578703704</v>
      </c>
      <c r="M405" s="26" t="s">
        <v>969</v>
      </c>
      <c r="N405" s="26" t="s">
        <v>970</v>
      </c>
      <c r="O405" s="22" t="str">
        <f>HYPERLINK("https://pbs.twimg.com/profile_images/805759744292122624/GVNyopcr_normal.jpg","View")</f>
        <v>View</v>
      </c>
      <c r="P405" s="27"/>
    </row>
    <row r="406">
      <c r="A406" s="19">
        <v>42703.71116898148</v>
      </c>
      <c r="B406" s="20" t="str">
        <f>HYPERLINK("https://twitter.com/GranCanLocal","@GranCanLocal")</f>
        <v>@GranCanLocal</v>
      </c>
      <c r="C406" s="21" t="s">
        <v>865</v>
      </c>
      <c r="D406" s="21" t="s">
        <v>971</v>
      </c>
      <c r="E406" s="22" t="str">
        <f>HYPERLINK("https://twitter.com/GranCanLocal/status/803645722319003648","803645722319003648")</f>
        <v>803645722319003648</v>
      </c>
      <c r="F406" s="23" t="s">
        <v>167</v>
      </c>
      <c r="G406" s="24">
        <v>2365.0</v>
      </c>
      <c r="H406" s="24">
        <v>784.0</v>
      </c>
      <c r="I406" s="24">
        <v>0.0</v>
      </c>
      <c r="J406" s="24">
        <v>1.0</v>
      </c>
      <c r="K406" s="23" t="s">
        <v>27</v>
      </c>
      <c r="L406" s="25">
        <v>41454.81314814815</v>
      </c>
      <c r="M406" s="26" t="s">
        <v>109</v>
      </c>
      <c r="N406" s="26" t="s">
        <v>867</v>
      </c>
      <c r="O406" s="22" t="str">
        <f>HYPERLINK("https://pbs.twimg.com/profile_images/797869927004852225/JqQhI5Qc_normal.jpg","View")</f>
        <v>View</v>
      </c>
      <c r="P406" s="27"/>
    </row>
    <row r="407">
      <c r="A407" s="19">
        <v>42703.72087962963</v>
      </c>
      <c r="B407" s="20" t="str">
        <f>HYPERLINK("https://twitter.com/Manta_Diving","@Manta_Diving")</f>
        <v>@Manta_Diving</v>
      </c>
      <c r="C407" s="21" t="s">
        <v>972</v>
      </c>
      <c r="D407" s="21" t="s">
        <v>973</v>
      </c>
      <c r="E407" s="22" t="str">
        <f>HYPERLINK("https://twitter.com/Manta_Diving/status/803649241696575488","803649241696575488")</f>
        <v>803649241696575488</v>
      </c>
      <c r="F407" s="23" t="s">
        <v>59</v>
      </c>
      <c r="G407" s="24">
        <v>558.0</v>
      </c>
      <c r="H407" s="24">
        <v>471.0</v>
      </c>
      <c r="I407" s="24">
        <v>0.0</v>
      </c>
      <c r="J407" s="24">
        <v>0.0</v>
      </c>
      <c r="K407" s="23" t="s">
        <v>27</v>
      </c>
      <c r="L407" s="25">
        <v>40496.57896990741</v>
      </c>
      <c r="M407" s="26" t="s">
        <v>974</v>
      </c>
      <c r="N407" s="26" t="s">
        <v>975</v>
      </c>
      <c r="O407" s="22" t="str">
        <f>HYPERLINK("https://pbs.twimg.com/profile_images/608258224861683713/3tZDEUxD_normal.jpg","View")</f>
        <v>View</v>
      </c>
      <c r="P407" s="27"/>
    </row>
    <row r="408">
      <c r="A408" s="19">
        <v>42703.728854166664</v>
      </c>
      <c r="B408" s="20" t="str">
        <f>HYPERLINK("https://twitter.com/holyber","@holyber")</f>
        <v>@holyber</v>
      </c>
      <c r="C408" s="21" t="s">
        <v>45</v>
      </c>
      <c r="D408" s="21" t="s">
        <v>976</v>
      </c>
      <c r="E408" s="22" t="str">
        <f>HYPERLINK("https://twitter.com/holyber/status/803652128132562944","803652128132562944")</f>
        <v>803652128132562944</v>
      </c>
      <c r="F408" s="23" t="s">
        <v>37</v>
      </c>
      <c r="G408" s="24">
        <v>106410.0</v>
      </c>
      <c r="H408" s="24">
        <v>94316.0</v>
      </c>
      <c r="I408" s="24">
        <v>3.0</v>
      </c>
      <c r="J408" s="24">
        <v>0.0</v>
      </c>
      <c r="K408" s="23" t="s">
        <v>27</v>
      </c>
      <c r="L408" s="25">
        <v>41144.80637731482</v>
      </c>
      <c r="M408" s="26" t="s">
        <v>46</v>
      </c>
      <c r="N408" s="26" t="s">
        <v>47</v>
      </c>
      <c r="O408" s="22" t="str">
        <f>HYPERLINK("https://pbs.twimg.com/profile_images/475644614448123904/FiCl2pX4_normal.jpeg","View")</f>
        <v>View</v>
      </c>
      <c r="P408" s="27"/>
    </row>
    <row r="409">
      <c r="A409" s="19">
        <v>42703.729999999996</v>
      </c>
      <c r="B409" s="20" t="str">
        <f>HYPERLINK("https://twitter.com/Euthumia","@Euthumia")</f>
        <v>@Euthumia</v>
      </c>
      <c r="C409" s="21" t="s">
        <v>699</v>
      </c>
      <c r="D409" s="21" t="s">
        <v>977</v>
      </c>
      <c r="E409" s="22" t="str">
        <f>HYPERLINK("https://twitter.com/Euthumia/status/803652544044023808","803652544044023808")</f>
        <v>803652544044023808</v>
      </c>
      <c r="F409" s="23" t="s">
        <v>81</v>
      </c>
      <c r="G409" s="24">
        <v>88.0</v>
      </c>
      <c r="H409" s="24">
        <v>149.0</v>
      </c>
      <c r="I409" s="24">
        <v>0.0</v>
      </c>
      <c r="J409" s="24">
        <v>0.0</v>
      </c>
      <c r="K409" s="23" t="s">
        <v>27</v>
      </c>
      <c r="L409" s="25">
        <v>40039.31217592592</v>
      </c>
      <c r="M409" s="28"/>
      <c r="N409" s="28"/>
      <c r="O409" s="22" t="str">
        <f>HYPERLINK("https://pbs.twimg.com/profile_images/3112307630/63df6e9c1fcd943acbbe4c226bbcc785_normal.jpeg","View")</f>
        <v>View</v>
      </c>
      <c r="P409" s="27" t="str">
        <f>HYPERLINK("https://ctrlq.org/maps/address/#28.43082382,-14.01228337","Map")</f>
        <v>#ERROR!</v>
      </c>
    </row>
    <row r="410">
      <c r="A410" s="19">
        <v>42703.73201388889</v>
      </c>
      <c r="B410" s="20" t="str">
        <f>HYPERLINK("https://twitter.com/MadameGargantua","@MadameGargantua")</f>
        <v>@MadameGargantua</v>
      </c>
      <c r="C410" s="21" t="s">
        <v>978</v>
      </c>
      <c r="D410" s="21" t="s">
        <v>883</v>
      </c>
      <c r="E410" s="22" t="str">
        <f>HYPERLINK("https://twitter.com/MadameGargantua/status/803653276013133824","803653276013133824")</f>
        <v>803653276013133824</v>
      </c>
      <c r="F410" s="23" t="s">
        <v>41</v>
      </c>
      <c r="G410" s="24">
        <v>1065.0</v>
      </c>
      <c r="H410" s="24">
        <v>927.0</v>
      </c>
      <c r="I410" s="24">
        <v>7.0</v>
      </c>
      <c r="J410" s="24">
        <v>0.0</v>
      </c>
      <c r="K410" s="23" t="s">
        <v>27</v>
      </c>
      <c r="L410" s="25">
        <v>41625.67287037037</v>
      </c>
      <c r="M410" s="26" t="s">
        <v>979</v>
      </c>
      <c r="N410" s="26" t="s">
        <v>980</v>
      </c>
      <c r="O410" s="22" t="str">
        <f>HYPERLINK("https://pbs.twimg.com/profile_images/729246446856372224/ZaFGH2qT_normal.jpg","View")</f>
        <v>View</v>
      </c>
      <c r="P410" s="27"/>
    </row>
    <row r="411">
      <c r="A411" s="19">
        <v>42703.732407407406</v>
      </c>
      <c r="B411" s="20" t="str">
        <f>HYPERLINK("https://twitter.com/Euthumia","@Euthumia")</f>
        <v>@Euthumia</v>
      </c>
      <c r="C411" s="21" t="s">
        <v>699</v>
      </c>
      <c r="D411" s="21" t="s">
        <v>981</v>
      </c>
      <c r="E411" s="22" t="str">
        <f>HYPERLINK("https://twitter.com/Euthumia/status/803653417138724868","803653417138724868")</f>
        <v>803653417138724868</v>
      </c>
      <c r="F411" s="23" t="s">
        <v>81</v>
      </c>
      <c r="G411" s="24">
        <v>88.0</v>
      </c>
      <c r="H411" s="24">
        <v>149.0</v>
      </c>
      <c r="I411" s="24">
        <v>0.0</v>
      </c>
      <c r="J411" s="24">
        <v>0.0</v>
      </c>
      <c r="K411" s="23" t="s">
        <v>27</v>
      </c>
      <c r="L411" s="25">
        <v>40039.31217592592</v>
      </c>
      <c r="M411" s="28"/>
      <c r="N411" s="28"/>
      <c r="O411" s="22" t="str">
        <f>HYPERLINK("https://pbs.twimg.com/profile_images/3112307630/63df6e9c1fcd943acbbe4c226bbcc785_normal.jpeg","View")</f>
        <v>View</v>
      </c>
      <c r="P411" s="27" t="str">
        <f>HYPERLINK("https://ctrlq.org/maps/address/#28.43082382,-14.01228337","Map")</f>
        <v>#ERROR!</v>
      </c>
    </row>
    <row r="412">
      <c r="A412" s="19">
        <v>42703.73446759259</v>
      </c>
      <c r="B412" s="20" t="str">
        <f>HYPERLINK("https://twitter.com/JawiMooken","@JawiMooken")</f>
        <v>@JawiMooken</v>
      </c>
      <c r="C412" s="21" t="s">
        <v>982</v>
      </c>
      <c r="D412" s="21" t="s">
        <v>983</v>
      </c>
      <c r="E412" s="22" t="str">
        <f>HYPERLINK("https://twitter.com/JawiMooken/status/803654164920139776","803654164920139776")</f>
        <v>803654164920139776</v>
      </c>
      <c r="F412" s="23" t="s">
        <v>26</v>
      </c>
      <c r="G412" s="24">
        <v>33.0</v>
      </c>
      <c r="H412" s="24">
        <v>80.0</v>
      </c>
      <c r="I412" s="24">
        <v>190.0</v>
      </c>
      <c r="J412" s="24">
        <v>0.0</v>
      </c>
      <c r="K412" s="23" t="s">
        <v>27</v>
      </c>
      <c r="L412" s="25">
        <v>42554.76540509259</v>
      </c>
      <c r="M412" s="28"/>
      <c r="N412" s="28"/>
      <c r="O412" s="22" t="str">
        <f>HYPERLINK("https://pbs.twimg.com/profile_images/778034960435384321/9o6hBEcb_normal.jpg","View")</f>
        <v>View</v>
      </c>
      <c r="P412" s="27"/>
    </row>
    <row r="413">
      <c r="A413" s="19">
        <v>42703.74412037037</v>
      </c>
      <c r="B413" s="20" t="str">
        <f>HYPERLINK("https://twitter.com/Perkui","@Perkui")</f>
        <v>@Perkui</v>
      </c>
      <c r="C413" s="21" t="s">
        <v>984</v>
      </c>
      <c r="D413" s="21" t="s">
        <v>985</v>
      </c>
      <c r="E413" s="22" t="str">
        <f>HYPERLINK("https://twitter.com/Perkui/status/803657661204013056","803657661204013056")</f>
        <v>803657661204013056</v>
      </c>
      <c r="F413" s="23" t="s">
        <v>41</v>
      </c>
      <c r="G413" s="24">
        <v>536.0</v>
      </c>
      <c r="H413" s="24">
        <v>2073.0</v>
      </c>
      <c r="I413" s="24">
        <v>0.0</v>
      </c>
      <c r="J413" s="24">
        <v>0.0</v>
      </c>
      <c r="K413" s="23" t="s">
        <v>27</v>
      </c>
      <c r="L413" s="25">
        <v>40298.94517361111</v>
      </c>
      <c r="M413" s="26" t="s">
        <v>986</v>
      </c>
      <c r="N413" s="26" t="s">
        <v>987</v>
      </c>
      <c r="O413" s="22" t="str">
        <f>HYPERLINK("https://pbs.twimg.com/profile_images/1281914135/Imagenes_Pepe_023_normal.jpg","View")</f>
        <v>View</v>
      </c>
      <c r="P413" s="27"/>
    </row>
    <row r="414">
      <c r="A414" s="19">
        <v>42703.759629629625</v>
      </c>
      <c r="B414" s="20" t="str">
        <f>HYPERLINK("https://twitter.com/diveniki","@diveniki")</f>
        <v>@diveniki</v>
      </c>
      <c r="C414" s="21" t="s">
        <v>773</v>
      </c>
      <c r="D414" s="21" t="s">
        <v>988</v>
      </c>
      <c r="E414" s="22" t="str">
        <f>HYPERLINK("https://twitter.com/diveniki/status/803663283320451072","803663283320451072")</f>
        <v>803663283320451072</v>
      </c>
      <c r="F414" s="23" t="s">
        <v>41</v>
      </c>
      <c r="G414" s="24">
        <v>65.0</v>
      </c>
      <c r="H414" s="24">
        <v>461.0</v>
      </c>
      <c r="I414" s="24">
        <v>3.0</v>
      </c>
      <c r="J414" s="24">
        <v>8.0</v>
      </c>
      <c r="K414" s="23" t="s">
        <v>27</v>
      </c>
      <c r="L414" s="25">
        <v>40571.69461805555</v>
      </c>
      <c r="M414" s="28"/>
      <c r="N414" s="26" t="s">
        <v>775</v>
      </c>
      <c r="O414" s="22" t="str">
        <f>HYPERLINK("https://pbs.twimg.com/profile_images/764390664142454785/QRDRzILj_normal.jpg","View")</f>
        <v>View</v>
      </c>
      <c r="P414" s="27"/>
    </row>
    <row r="415">
      <c r="A415" s="19">
        <v>42703.76081018518</v>
      </c>
      <c r="B415" s="20" t="str">
        <f>HYPERLINK("https://twitter.com/JosCarlosGmez7","@JosCarlosGmez7")</f>
        <v>@JosCarlosGmez7</v>
      </c>
      <c r="C415" s="21" t="s">
        <v>989</v>
      </c>
      <c r="D415" s="21" t="s">
        <v>990</v>
      </c>
      <c r="E415" s="22" t="str">
        <f>HYPERLINK("https://twitter.com/JosCarlosGmez7/status/803663708337688576","803663708337688576")</f>
        <v>803663708337688576</v>
      </c>
      <c r="F415" s="23" t="s">
        <v>37</v>
      </c>
      <c r="G415" s="24">
        <v>4212.0</v>
      </c>
      <c r="H415" s="24">
        <v>3970.0</v>
      </c>
      <c r="I415" s="24">
        <v>3.0</v>
      </c>
      <c r="J415" s="24">
        <v>7.0</v>
      </c>
      <c r="K415" s="23" t="s">
        <v>27</v>
      </c>
      <c r="L415" s="25">
        <v>41147.59553240741</v>
      </c>
      <c r="M415" s="26" t="s">
        <v>991</v>
      </c>
      <c r="N415" s="26" t="s">
        <v>992</v>
      </c>
      <c r="O415" s="22" t="str">
        <f>HYPERLINK("https://pbs.twimg.com/profile_images/492033314966892546/N4sMvZWu_normal.jpeg","View")</f>
        <v>View</v>
      </c>
      <c r="P415" s="27"/>
    </row>
    <row r="416">
      <c r="A416" s="19">
        <v>42703.763194444444</v>
      </c>
      <c r="B416" s="20" t="str">
        <f>HYPERLINK("https://twitter.com/travelfree_info","@travelfree_info")</f>
        <v>@travelfree_info</v>
      </c>
      <c r="C416" s="21" t="s">
        <v>993</v>
      </c>
      <c r="D416" s="21" t="s">
        <v>994</v>
      </c>
      <c r="E416" s="22" t="str">
        <f>HYPERLINK("https://twitter.com/travelfree_info/status/803664574323032065","803664574323032065")</f>
        <v>803664574323032065</v>
      </c>
      <c r="F416" s="23" t="s">
        <v>59</v>
      </c>
      <c r="G416" s="24">
        <v>1196.0</v>
      </c>
      <c r="H416" s="24">
        <v>860.0</v>
      </c>
      <c r="I416" s="24">
        <v>1.0</v>
      </c>
      <c r="J416" s="24">
        <v>0.0</v>
      </c>
      <c r="K416" s="23" t="s">
        <v>27</v>
      </c>
      <c r="L416" s="25">
        <v>41786.370474537034</v>
      </c>
      <c r="M416" s="28"/>
      <c r="N416" s="26" t="s">
        <v>995</v>
      </c>
      <c r="O416" s="22" t="str">
        <f>HYPERLINK("https://pbs.twimg.com/profile_images/707460356315156482/anFthTiX_normal.jpg","View")</f>
        <v>View</v>
      </c>
      <c r="P416" s="27"/>
    </row>
    <row r="417">
      <c r="A417" s="19">
        <v>42703.76605324074</v>
      </c>
      <c r="B417" s="20" t="str">
        <f>HYPERLINK("https://twitter.com/trinidoesfly","@trinidoesfly")</f>
        <v>@trinidoesfly</v>
      </c>
      <c r="C417" s="21" t="s">
        <v>996</v>
      </c>
      <c r="D417" s="21" t="s">
        <v>997</v>
      </c>
      <c r="E417" s="22" t="str">
        <f>HYPERLINK("https://twitter.com/trinidoesfly/status/803665610316062720","803665610316062720")</f>
        <v>803665610316062720</v>
      </c>
      <c r="F417" s="23" t="s">
        <v>69</v>
      </c>
      <c r="G417" s="24">
        <v>152.0</v>
      </c>
      <c r="H417" s="24">
        <v>26.0</v>
      </c>
      <c r="I417" s="24">
        <v>0.0</v>
      </c>
      <c r="J417" s="24">
        <v>0.0</v>
      </c>
      <c r="K417" s="23" t="s">
        <v>27</v>
      </c>
      <c r="L417" s="25">
        <v>42605.85166666667</v>
      </c>
      <c r="M417" s="26" t="s">
        <v>998</v>
      </c>
      <c r="N417" s="26" t="s">
        <v>999</v>
      </c>
      <c r="O417" s="22" t="str">
        <f>HYPERLINK("https://pbs.twimg.com/profile_images/804471994645413888/qvoaG8E-_normal.jpg","View")</f>
        <v>View</v>
      </c>
      <c r="P417" s="27"/>
    </row>
    <row r="418">
      <c r="A418" s="19">
        <v>42703.766793981486</v>
      </c>
      <c r="B418" s="20" t="str">
        <f>HYPERLINK("https://twitter.com/AlexeevKyrill","@AlexeevKyrill")</f>
        <v>@AlexeevKyrill</v>
      </c>
      <c r="C418" s="21" t="s">
        <v>1000</v>
      </c>
      <c r="D418" s="21" t="s">
        <v>1001</v>
      </c>
      <c r="E418" s="22" t="str">
        <f>HYPERLINK("https://twitter.com/AlexeevKyrill/status/803665877375782913","803665877375782913")</f>
        <v>803665877375782913</v>
      </c>
      <c r="F418" s="23" t="s">
        <v>81</v>
      </c>
      <c r="G418" s="24">
        <v>41.0</v>
      </c>
      <c r="H418" s="24">
        <v>103.0</v>
      </c>
      <c r="I418" s="24">
        <v>0.0</v>
      </c>
      <c r="J418" s="24">
        <v>0.0</v>
      </c>
      <c r="K418" s="23" t="s">
        <v>27</v>
      </c>
      <c r="L418" s="25">
        <v>41018.463483796295</v>
      </c>
      <c r="M418" s="26" t="s">
        <v>279</v>
      </c>
      <c r="N418" s="28"/>
      <c r="O418" s="22" t="str">
        <f>HYPERLINK("https://pbs.twimg.com/profile_images/486152080852537345/VYETXSc__normal.jpeg","View")</f>
        <v>View</v>
      </c>
      <c r="P418" s="27" t="str">
        <f>HYPERLINK("https://ctrlq.org/maps/address/#28.4667,-16.25","Map")</f>
        <v>#ERROR!</v>
      </c>
    </row>
    <row r="419">
      <c r="A419" s="19">
        <v>42703.774236111116</v>
      </c>
      <c r="B419" s="20" t="str">
        <f>HYPERLINK("https://twitter.com/Tenerifelicidad","@Tenerifelicidad")</f>
        <v>@Tenerifelicidad</v>
      </c>
      <c r="C419" s="21" t="s">
        <v>1002</v>
      </c>
      <c r="D419" s="21" t="s">
        <v>1003</v>
      </c>
      <c r="E419" s="22" t="str">
        <f>HYPERLINK("https://twitter.com/Tenerifelicidad/status/803668573474332672","803668573474332672")</f>
        <v>803668573474332672</v>
      </c>
      <c r="F419" s="23" t="s">
        <v>1004</v>
      </c>
      <c r="G419" s="24">
        <v>2707.0</v>
      </c>
      <c r="H419" s="24">
        <v>2237.0</v>
      </c>
      <c r="I419" s="24">
        <v>3.0</v>
      </c>
      <c r="J419" s="24">
        <v>0.0</v>
      </c>
      <c r="K419" s="23" t="s">
        <v>27</v>
      </c>
      <c r="L419" s="25">
        <v>42495.64892361111</v>
      </c>
      <c r="M419" s="26" t="s">
        <v>1005</v>
      </c>
      <c r="N419" s="26" t="s">
        <v>1006</v>
      </c>
      <c r="O419" s="22" t="str">
        <f>HYPERLINK("https://pbs.twimg.com/profile_images/776911721281781760/pyZR1pJ3_normal.jpg","View")</f>
        <v>View</v>
      </c>
      <c r="P419" s="27"/>
    </row>
    <row r="420">
      <c r="A420" s="19">
        <v>42703.775555555556</v>
      </c>
      <c r="B420" s="20" t="str">
        <f>HYPERLINK("https://twitter.com/topVISE","@topVISE")</f>
        <v>@topVISE</v>
      </c>
      <c r="C420" s="21" t="s">
        <v>1007</v>
      </c>
      <c r="D420" s="21" t="s">
        <v>1003</v>
      </c>
      <c r="E420" s="22" t="str">
        <f>HYPERLINK("https://twitter.com/topVISE/status/803669052308811776","803669052308811776")</f>
        <v>803669052308811776</v>
      </c>
      <c r="F420" s="23" t="s">
        <v>37</v>
      </c>
      <c r="G420" s="24">
        <v>739.0</v>
      </c>
      <c r="H420" s="24">
        <v>1085.0</v>
      </c>
      <c r="I420" s="24">
        <v>3.0</v>
      </c>
      <c r="J420" s="24">
        <v>0.0</v>
      </c>
      <c r="K420" s="23" t="s">
        <v>27</v>
      </c>
      <c r="L420" s="25">
        <v>41580.631944444445</v>
      </c>
      <c r="M420" s="28"/>
      <c r="N420" s="26" t="s">
        <v>1008</v>
      </c>
      <c r="O420" s="22" t="str">
        <f>HYPERLINK("https://pbs.twimg.com/profile_images/378800000683567982/600990dc1da1acde4f9aaf7241cc97aa_normal.jpeg","View")</f>
        <v>View</v>
      </c>
      <c r="P420" s="27"/>
    </row>
    <row r="421">
      <c r="A421" s="19">
        <v>42703.77678240741</v>
      </c>
      <c r="B421" s="20" t="str">
        <f>HYPERLINK("https://twitter.com/bethgarrotxa","@bethgarrotxa")</f>
        <v>@bethgarrotxa</v>
      </c>
      <c r="C421" s="21" t="s">
        <v>648</v>
      </c>
      <c r="D421" s="21" t="s">
        <v>1009</v>
      </c>
      <c r="E421" s="22" t="str">
        <f>HYPERLINK("https://twitter.com/bethgarrotxa/status/803669496246325248","803669496246325248")</f>
        <v>803669496246325248</v>
      </c>
      <c r="F421" s="23" t="s">
        <v>81</v>
      </c>
      <c r="G421" s="24">
        <v>189.0</v>
      </c>
      <c r="H421" s="24">
        <v>168.0</v>
      </c>
      <c r="I421" s="24">
        <v>0.0</v>
      </c>
      <c r="J421" s="24">
        <v>0.0</v>
      </c>
      <c r="K421" s="23" t="s">
        <v>27</v>
      </c>
      <c r="L421" s="25">
        <v>40609.69993055556</v>
      </c>
      <c r="M421" s="26" t="s">
        <v>455</v>
      </c>
      <c r="N421" s="26" t="s">
        <v>650</v>
      </c>
      <c r="O421" s="22" t="str">
        <f>HYPERLINK("https://pbs.twimg.com/profile_images/2784461956/37b6d95f5bcac37b93611f81029dd365_normal.jpeg","View")</f>
        <v>View</v>
      </c>
      <c r="P421" s="27" t="str">
        <f>HYPERLINK("https://ctrlq.org/maps/address/#28.09502238,-17.34265251","Map")</f>
        <v>#ERROR!</v>
      </c>
    </row>
    <row r="422">
      <c r="A422" s="19">
        <v>42703.80777777778</v>
      </c>
      <c r="B422" s="20" t="str">
        <f>HYPERLINK("https://twitter.com/VicPCazorla","@VicPCazorla")</f>
        <v>@VicPCazorla</v>
      </c>
      <c r="C422" s="21" t="s">
        <v>1010</v>
      </c>
      <c r="D422" s="21" t="s">
        <v>1011</v>
      </c>
      <c r="E422" s="22" t="str">
        <f>HYPERLINK("https://twitter.com/VicPCazorla/status/803680730970669056","803680730970669056")</f>
        <v>803680730970669056</v>
      </c>
      <c r="F422" s="23" t="s">
        <v>26</v>
      </c>
      <c r="G422" s="24">
        <v>190.0</v>
      </c>
      <c r="H422" s="24">
        <v>144.0</v>
      </c>
      <c r="I422" s="24">
        <v>1.0</v>
      </c>
      <c r="J422" s="24">
        <v>3.0</v>
      </c>
      <c r="K422" s="23" t="s">
        <v>27</v>
      </c>
      <c r="L422" s="25">
        <v>41184.50472222222</v>
      </c>
      <c r="M422" s="26" t="s">
        <v>1012</v>
      </c>
      <c r="N422" s="26" t="s">
        <v>1013</v>
      </c>
      <c r="O422" s="22" t="str">
        <f>HYPERLINK("https://pbs.twimg.com/profile_images/460507578829897728/1LKW9I3O_normal.jpeg","View")</f>
        <v>View</v>
      </c>
      <c r="P422" s="27"/>
    </row>
    <row r="423">
      <c r="A423" s="19">
        <v>42703.813043981485</v>
      </c>
      <c r="B423" s="20" t="str">
        <f>HYPERLINK("https://twitter.com/gookrr5","@gookrr5")</f>
        <v>@gookrr5</v>
      </c>
      <c r="C423" s="30" t="s">
        <v>1014</v>
      </c>
      <c r="D423" s="21" t="s">
        <v>806</v>
      </c>
      <c r="E423" s="22" t="str">
        <f>HYPERLINK("https://twitter.com/gookrr5/status/803682640079503361","803682640079503361")</f>
        <v>803682640079503361</v>
      </c>
      <c r="F423" s="23" t="s">
        <v>26</v>
      </c>
      <c r="G423" s="24">
        <v>261.0</v>
      </c>
      <c r="H423" s="24">
        <v>867.0</v>
      </c>
      <c r="I423" s="24">
        <v>6.0</v>
      </c>
      <c r="J423" s="24">
        <v>0.0</v>
      </c>
      <c r="K423" s="23" t="s">
        <v>27</v>
      </c>
      <c r="L423" s="25">
        <v>42391.75928240741</v>
      </c>
      <c r="M423" s="28"/>
      <c r="N423" s="29" t="s">
        <v>1014</v>
      </c>
      <c r="O423" s="22" t="str">
        <f>HYPERLINK("https://pbs.twimg.com/profile_images/690926021663682561/NwajsmWz_normal.jpg","View")</f>
        <v>View</v>
      </c>
      <c r="P423" s="27"/>
    </row>
    <row r="424">
      <c r="A424" s="19">
        <v>42703.82215277778</v>
      </c>
      <c r="B424" s="20" t="str">
        <f t="shared" ref="B424:B426" si="48">HYPERLINK("https://twitter.com/bermaxo09","@bermaxo09")</f>
        <v>@bermaxo09</v>
      </c>
      <c r="C424" s="21" t="s">
        <v>284</v>
      </c>
      <c r="D424" s="21" t="s">
        <v>1015</v>
      </c>
      <c r="E424" s="22" t="str">
        <f>HYPERLINK("https://twitter.com/bermaxo09/status/803685939851632640","803685939851632640")</f>
        <v>803685939851632640</v>
      </c>
      <c r="F424" s="23" t="s">
        <v>37</v>
      </c>
      <c r="G424" s="24">
        <v>193.0</v>
      </c>
      <c r="H424" s="24">
        <v>196.0</v>
      </c>
      <c r="I424" s="24">
        <v>0.0</v>
      </c>
      <c r="J424" s="24">
        <v>2.0</v>
      </c>
      <c r="K424" s="23" t="s">
        <v>27</v>
      </c>
      <c r="L424" s="25">
        <v>42689.441516203704</v>
      </c>
      <c r="M424" s="26" t="s">
        <v>109</v>
      </c>
      <c r="N424" s="26" t="s">
        <v>286</v>
      </c>
      <c r="O424" s="22" t="str">
        <f t="shared" ref="O424:O426" si="49">HYPERLINK("https://pbs.twimg.com/profile_images/798476790478073856/iOD0HIRa_normal.jpg","View")</f>
        <v>View</v>
      </c>
      <c r="P424" s="27"/>
    </row>
    <row r="425">
      <c r="A425" s="19">
        <v>42703.823749999996</v>
      </c>
      <c r="B425" s="20" t="str">
        <f t="shared" si="48"/>
        <v>@bermaxo09</v>
      </c>
      <c r="C425" s="21" t="s">
        <v>284</v>
      </c>
      <c r="D425" s="21" t="s">
        <v>1016</v>
      </c>
      <c r="E425" s="22" t="str">
        <f>HYPERLINK("https://twitter.com/bermaxo09/status/803686519600922624","803686519600922624")</f>
        <v>803686519600922624</v>
      </c>
      <c r="F425" s="23" t="s">
        <v>37</v>
      </c>
      <c r="G425" s="24">
        <v>193.0</v>
      </c>
      <c r="H425" s="24">
        <v>196.0</v>
      </c>
      <c r="I425" s="24">
        <v>1.0</v>
      </c>
      <c r="J425" s="24">
        <v>2.0</v>
      </c>
      <c r="K425" s="23" t="s">
        <v>27</v>
      </c>
      <c r="L425" s="25">
        <v>42689.441516203704</v>
      </c>
      <c r="M425" s="26" t="s">
        <v>109</v>
      </c>
      <c r="N425" s="26" t="s">
        <v>286</v>
      </c>
      <c r="O425" s="22" t="str">
        <f t="shared" si="49"/>
        <v>View</v>
      </c>
      <c r="P425" s="27"/>
    </row>
    <row r="426">
      <c r="A426" s="19">
        <v>42703.825324074074</v>
      </c>
      <c r="B426" s="20" t="str">
        <f t="shared" si="48"/>
        <v>@bermaxo09</v>
      </c>
      <c r="C426" s="21" t="s">
        <v>284</v>
      </c>
      <c r="D426" s="21" t="s">
        <v>1017</v>
      </c>
      <c r="E426" s="22" t="str">
        <f>HYPERLINK("https://twitter.com/bermaxo09/status/803687090831527936","803687090831527936")</f>
        <v>803687090831527936</v>
      </c>
      <c r="F426" s="23" t="s">
        <v>37</v>
      </c>
      <c r="G426" s="24">
        <v>193.0</v>
      </c>
      <c r="H426" s="24">
        <v>196.0</v>
      </c>
      <c r="I426" s="24">
        <v>0.0</v>
      </c>
      <c r="J426" s="24">
        <v>1.0</v>
      </c>
      <c r="K426" s="23" t="s">
        <v>27</v>
      </c>
      <c r="L426" s="25">
        <v>42689.441516203704</v>
      </c>
      <c r="M426" s="26" t="s">
        <v>109</v>
      </c>
      <c r="N426" s="26" t="s">
        <v>286</v>
      </c>
      <c r="O426" s="22" t="str">
        <f t="shared" si="49"/>
        <v>View</v>
      </c>
      <c r="P426" s="27"/>
    </row>
    <row r="427">
      <c r="A427" s="19">
        <v>42703.82618055555</v>
      </c>
      <c r="B427" s="20" t="str">
        <f>HYPERLINK("https://twitter.com/Tenerifelicidad","@Tenerifelicidad")</f>
        <v>@Tenerifelicidad</v>
      </c>
      <c r="C427" s="21" t="s">
        <v>1002</v>
      </c>
      <c r="D427" s="21" t="s">
        <v>1018</v>
      </c>
      <c r="E427" s="22" t="str">
        <f>HYPERLINK("https://twitter.com/Tenerifelicidad/status/803687397653446656","803687397653446656")</f>
        <v>803687397653446656</v>
      </c>
      <c r="F427" s="23" t="s">
        <v>1004</v>
      </c>
      <c r="G427" s="24">
        <v>2707.0</v>
      </c>
      <c r="H427" s="24">
        <v>2237.0</v>
      </c>
      <c r="I427" s="24">
        <v>1.0</v>
      </c>
      <c r="J427" s="24">
        <v>0.0</v>
      </c>
      <c r="K427" s="23" t="s">
        <v>27</v>
      </c>
      <c r="L427" s="25">
        <v>42495.64892361111</v>
      </c>
      <c r="M427" s="26" t="s">
        <v>1005</v>
      </c>
      <c r="N427" s="26" t="s">
        <v>1006</v>
      </c>
      <c r="O427" s="22" t="str">
        <f>HYPERLINK("https://pbs.twimg.com/profile_images/776911721281781760/pyZR1pJ3_normal.jpg","View")</f>
        <v>View</v>
      </c>
      <c r="P427" s="27"/>
    </row>
    <row r="428">
      <c r="A428" s="19">
        <v>42703.826886574076</v>
      </c>
      <c r="B428" s="20" t="str">
        <f>HYPERLINK("https://twitter.com/jennitundis","@jennitundis")</f>
        <v>@jennitundis</v>
      </c>
      <c r="C428" s="21" t="s">
        <v>1019</v>
      </c>
      <c r="D428" s="21" t="s">
        <v>1003</v>
      </c>
      <c r="E428" s="22" t="str">
        <f>HYPERLINK("https://twitter.com/jennitundis/status/803687653686341632","803687653686341632")</f>
        <v>803687653686341632</v>
      </c>
      <c r="F428" s="23" t="s">
        <v>41</v>
      </c>
      <c r="G428" s="24">
        <v>11.0</v>
      </c>
      <c r="H428" s="24">
        <v>69.0</v>
      </c>
      <c r="I428" s="24">
        <v>3.0</v>
      </c>
      <c r="J428" s="24">
        <v>0.0</v>
      </c>
      <c r="K428" s="23" t="s">
        <v>27</v>
      </c>
      <c r="L428" s="25">
        <v>42701.287268518514</v>
      </c>
      <c r="M428" s="26" t="s">
        <v>1020</v>
      </c>
      <c r="N428" s="26" t="s">
        <v>1021</v>
      </c>
      <c r="O428" s="22" t="str">
        <f>HYPERLINK("https://pbs.twimg.com/profile_images/804428508319584256/N64SDGdU_normal.jpg","View")</f>
        <v>View</v>
      </c>
      <c r="P428" s="27"/>
    </row>
    <row r="429">
      <c r="A429" s="19">
        <v>42703.82738425926</v>
      </c>
      <c r="B429" s="20" t="str">
        <f t="shared" ref="B429:B430" si="50">HYPERLINK("https://twitter.com/bermaxo09","@bermaxo09")</f>
        <v>@bermaxo09</v>
      </c>
      <c r="C429" s="21" t="s">
        <v>284</v>
      </c>
      <c r="D429" s="21" t="s">
        <v>1022</v>
      </c>
      <c r="E429" s="22" t="str">
        <f>HYPERLINK("https://twitter.com/bermaxo09/status/803687834695725056","803687834695725056")</f>
        <v>803687834695725056</v>
      </c>
      <c r="F429" s="23" t="s">
        <v>37</v>
      </c>
      <c r="G429" s="24">
        <v>193.0</v>
      </c>
      <c r="H429" s="24">
        <v>196.0</v>
      </c>
      <c r="I429" s="24">
        <v>0.0</v>
      </c>
      <c r="J429" s="24">
        <v>1.0</v>
      </c>
      <c r="K429" s="23" t="s">
        <v>27</v>
      </c>
      <c r="L429" s="25">
        <v>42689.441516203704</v>
      </c>
      <c r="M429" s="26" t="s">
        <v>109</v>
      </c>
      <c r="N429" s="26" t="s">
        <v>286</v>
      </c>
      <c r="O429" s="22" t="str">
        <f t="shared" ref="O429:O430" si="51">HYPERLINK("https://pbs.twimg.com/profile_images/798476790478073856/iOD0HIRa_normal.jpg","View")</f>
        <v>View</v>
      </c>
      <c r="P429" s="27"/>
    </row>
    <row r="430">
      <c r="A430" s="19">
        <v>42703.82959490741</v>
      </c>
      <c r="B430" s="20" t="str">
        <f t="shared" si="50"/>
        <v>@bermaxo09</v>
      </c>
      <c r="C430" s="21" t="s">
        <v>284</v>
      </c>
      <c r="D430" s="21" t="s">
        <v>1023</v>
      </c>
      <c r="E430" s="22" t="str">
        <f>HYPERLINK("https://twitter.com/bermaxo09/status/803688635908362240","803688635908362240")</f>
        <v>803688635908362240</v>
      </c>
      <c r="F430" s="23" t="s">
        <v>37</v>
      </c>
      <c r="G430" s="24">
        <v>193.0</v>
      </c>
      <c r="H430" s="24">
        <v>196.0</v>
      </c>
      <c r="I430" s="24">
        <v>3.0</v>
      </c>
      <c r="J430" s="24">
        <v>1.0</v>
      </c>
      <c r="K430" s="23" t="s">
        <v>27</v>
      </c>
      <c r="L430" s="25">
        <v>42689.441516203704</v>
      </c>
      <c r="M430" s="26" t="s">
        <v>109</v>
      </c>
      <c r="N430" s="26" t="s">
        <v>286</v>
      </c>
      <c r="O430" s="22" t="str">
        <f t="shared" si="51"/>
        <v>View</v>
      </c>
      <c r="P430" s="27"/>
    </row>
    <row r="431">
      <c r="A431" s="19">
        <v>42703.83</v>
      </c>
      <c r="B431" s="20" t="str">
        <f>HYPERLINK("https://twitter.com/HotelEscuelaSB","@HotelEscuelaSB")</f>
        <v>@HotelEscuelaSB</v>
      </c>
      <c r="C431" s="21" t="s">
        <v>522</v>
      </c>
      <c r="D431" s="21" t="s">
        <v>1024</v>
      </c>
      <c r="E431" s="22" t="str">
        <f>HYPERLINK("https://twitter.com/HotelEscuelaSB/status/803688781706428416","803688781706428416")</f>
        <v>803688781706428416</v>
      </c>
      <c r="F431" s="23" t="s">
        <v>37</v>
      </c>
      <c r="G431" s="24">
        <v>127.0</v>
      </c>
      <c r="H431" s="24">
        <v>392.0</v>
      </c>
      <c r="I431" s="24">
        <v>3.0</v>
      </c>
      <c r="J431" s="24">
        <v>0.0</v>
      </c>
      <c r="K431" s="23" t="s">
        <v>27</v>
      </c>
      <c r="L431" s="25">
        <v>42648.49597222223</v>
      </c>
      <c r="M431" s="28"/>
      <c r="N431" s="26" t="s">
        <v>523</v>
      </c>
      <c r="O431" s="22" t="str">
        <f>HYPERLINK("https://pbs.twimg.com/profile_images/792036201695940608/ZYEcPM7L_normal.jpg","View")</f>
        <v>View</v>
      </c>
      <c r="P431" s="27"/>
    </row>
    <row r="432">
      <c r="A432" s="19">
        <v>42703.83074074074</v>
      </c>
      <c r="B432" s="20" t="str">
        <f>HYPERLINK("https://twitter.com/miguejs98","@miguejs98")</f>
        <v>@miguejs98</v>
      </c>
      <c r="C432" s="21" t="s">
        <v>1025</v>
      </c>
      <c r="D432" s="21" t="s">
        <v>983</v>
      </c>
      <c r="E432" s="22" t="str">
        <f>HYPERLINK("https://twitter.com/miguejs98/status/803689053426216961","803689053426216961")</f>
        <v>803689053426216961</v>
      </c>
      <c r="F432" s="23" t="s">
        <v>26</v>
      </c>
      <c r="G432" s="24">
        <v>793.0</v>
      </c>
      <c r="H432" s="24">
        <v>513.0</v>
      </c>
      <c r="I432" s="24">
        <v>190.0</v>
      </c>
      <c r="J432" s="24">
        <v>0.0</v>
      </c>
      <c r="K432" s="23" t="s">
        <v>27</v>
      </c>
      <c r="L432" s="25">
        <v>40904.715590277774</v>
      </c>
      <c r="M432" s="26" t="s">
        <v>1026</v>
      </c>
      <c r="N432" s="26" t="s">
        <v>1027</v>
      </c>
      <c r="O432" s="22" t="str">
        <f>HYPERLINK("https://pbs.twimg.com/profile_images/795335416144596992/ecGEM-dC_normal.jpg","View")</f>
        <v>View</v>
      </c>
      <c r="P432" s="27"/>
    </row>
    <row r="433">
      <c r="A433" s="19">
        <v>42703.83153935186</v>
      </c>
      <c r="B433" s="20" t="str">
        <f>HYPERLINK("https://twitter.com/bermaxo09","@bermaxo09")</f>
        <v>@bermaxo09</v>
      </c>
      <c r="C433" s="21" t="s">
        <v>284</v>
      </c>
      <c r="D433" s="21" t="s">
        <v>1028</v>
      </c>
      <c r="E433" s="22" t="str">
        <f>HYPERLINK("https://twitter.com/bermaxo09/status/803689339939078144","803689339939078144")</f>
        <v>803689339939078144</v>
      </c>
      <c r="F433" s="23" t="s">
        <v>37</v>
      </c>
      <c r="G433" s="24">
        <v>193.0</v>
      </c>
      <c r="H433" s="24">
        <v>196.0</v>
      </c>
      <c r="I433" s="24">
        <v>0.0</v>
      </c>
      <c r="J433" s="24">
        <v>1.0</v>
      </c>
      <c r="K433" s="23" t="s">
        <v>27</v>
      </c>
      <c r="L433" s="25">
        <v>42689.441516203704</v>
      </c>
      <c r="M433" s="26" t="s">
        <v>109</v>
      </c>
      <c r="N433" s="26" t="s">
        <v>286</v>
      </c>
      <c r="O433" s="22" t="str">
        <f>HYPERLINK("https://pbs.twimg.com/profile_images/798476790478073856/iOD0HIRa_normal.jpg","View")</f>
        <v>View</v>
      </c>
      <c r="P433" s="27"/>
    </row>
    <row r="434">
      <c r="A434" s="19">
        <v>42703.836388888885</v>
      </c>
      <c r="B434" s="20" t="str">
        <f>HYPERLINK("https://twitter.com/swisshop4uEs","@swisshop4uEs")</f>
        <v>@swisshop4uEs</v>
      </c>
      <c r="C434" s="21" t="s">
        <v>48</v>
      </c>
      <c r="D434" s="21" t="s">
        <v>1029</v>
      </c>
      <c r="E434" s="22" t="str">
        <f>HYPERLINK("https://twitter.com/swisshop4uEs/status/803691098577207296","803691098577207296")</f>
        <v>803691098577207296</v>
      </c>
      <c r="F434" s="23" t="s">
        <v>50</v>
      </c>
      <c r="G434" s="24">
        <v>455.0</v>
      </c>
      <c r="H434" s="24">
        <v>424.0</v>
      </c>
      <c r="I434" s="24">
        <v>0.0</v>
      </c>
      <c r="J434" s="24">
        <v>0.0</v>
      </c>
      <c r="K434" s="23" t="s">
        <v>27</v>
      </c>
      <c r="L434" s="25">
        <v>41468.93072916666</v>
      </c>
      <c r="M434" s="26" t="s">
        <v>51</v>
      </c>
      <c r="N434" s="26" t="s">
        <v>52</v>
      </c>
      <c r="O434" s="22" t="str">
        <f>HYPERLINK("https://pbs.twimg.com/profile_images/378800000213382003/4f562b59f92995b884d2d440f71fc5ce_normal.png","View")</f>
        <v>View</v>
      </c>
      <c r="P434" s="27"/>
    </row>
    <row r="435">
      <c r="A435" s="19">
        <v>42703.84125</v>
      </c>
      <c r="B435" s="20" t="str">
        <f>HYPERLINK("https://twitter.com/de1969","@de1969")</f>
        <v>@de1969</v>
      </c>
      <c r="C435" s="21" t="s">
        <v>701</v>
      </c>
      <c r="D435" s="21" t="s">
        <v>1024</v>
      </c>
      <c r="E435" s="22" t="str">
        <f>HYPERLINK("https://twitter.com/de1969/status/803692862437261313","803692862437261313")</f>
        <v>803692862437261313</v>
      </c>
      <c r="F435" s="23" t="s">
        <v>37</v>
      </c>
      <c r="G435" s="24">
        <v>5161.0</v>
      </c>
      <c r="H435" s="24">
        <v>5644.0</v>
      </c>
      <c r="I435" s="24">
        <v>3.0</v>
      </c>
      <c r="J435" s="24">
        <v>0.0</v>
      </c>
      <c r="K435" s="23" t="s">
        <v>27</v>
      </c>
      <c r="L435" s="25">
        <v>40283.409687499996</v>
      </c>
      <c r="M435" s="26" t="s">
        <v>282</v>
      </c>
      <c r="N435" s="26" t="s">
        <v>703</v>
      </c>
      <c r="O435" s="22" t="str">
        <f>HYPERLINK("https://pbs.twimg.com/profile_images/1617162796/S4010009_normal.JPG","View")</f>
        <v>View</v>
      </c>
      <c r="P435" s="27"/>
    </row>
    <row r="436">
      <c r="A436" s="19">
        <v>42703.841574074075</v>
      </c>
      <c r="B436" s="20" t="str">
        <f>HYPERLINK("https://twitter.com/dreflexdigital","@dreflexdigital")</f>
        <v>@dreflexdigital</v>
      </c>
      <c r="C436" s="21" t="s">
        <v>1030</v>
      </c>
      <c r="D436" s="21" t="s">
        <v>1031</v>
      </c>
      <c r="E436" s="22" t="str">
        <f>HYPERLINK("https://twitter.com/dreflexdigital/status/803692976455024640","803692976455024640")</f>
        <v>803692976455024640</v>
      </c>
      <c r="F436" s="23" t="s">
        <v>81</v>
      </c>
      <c r="G436" s="24">
        <v>172.0</v>
      </c>
      <c r="H436" s="24">
        <v>153.0</v>
      </c>
      <c r="I436" s="24">
        <v>0.0</v>
      </c>
      <c r="J436" s="24">
        <v>1.0</v>
      </c>
      <c r="K436" s="23" t="s">
        <v>27</v>
      </c>
      <c r="L436" s="25">
        <v>41750.97542824074</v>
      </c>
      <c r="M436" s="26" t="s">
        <v>1032</v>
      </c>
      <c r="N436" s="26" t="s">
        <v>1033</v>
      </c>
      <c r="O436" s="22" t="str">
        <f>HYPERLINK("https://pbs.twimg.com/profile_images/590978631482081281/vTG0iGrq_normal.jpg","View")</f>
        <v>View</v>
      </c>
      <c r="P436" s="27"/>
    </row>
    <row r="437">
      <c r="A437" s="19">
        <v>42703.842511574076</v>
      </c>
      <c r="B437" s="20" t="str">
        <f>HYPERLINK("https://twitter.com/bermaxo09","@bermaxo09")</f>
        <v>@bermaxo09</v>
      </c>
      <c r="C437" s="21" t="s">
        <v>284</v>
      </c>
      <c r="D437" s="21" t="s">
        <v>1034</v>
      </c>
      <c r="E437" s="22" t="str">
        <f>HYPERLINK("https://twitter.com/bermaxo09/status/803693318156812289","803693318156812289")</f>
        <v>803693318156812289</v>
      </c>
      <c r="F437" s="23" t="s">
        <v>37</v>
      </c>
      <c r="G437" s="24">
        <v>193.0</v>
      </c>
      <c r="H437" s="24">
        <v>196.0</v>
      </c>
      <c r="I437" s="24">
        <v>0.0</v>
      </c>
      <c r="J437" s="24">
        <v>1.0</v>
      </c>
      <c r="K437" s="23" t="s">
        <v>27</v>
      </c>
      <c r="L437" s="25">
        <v>42689.441516203704</v>
      </c>
      <c r="M437" s="26" t="s">
        <v>109</v>
      </c>
      <c r="N437" s="26" t="s">
        <v>286</v>
      </c>
      <c r="O437" s="22" t="str">
        <f>HYPERLINK("https://pbs.twimg.com/profile_images/798476790478073856/iOD0HIRa_normal.jpg","View")</f>
        <v>View</v>
      </c>
      <c r="P437" s="27"/>
    </row>
    <row r="438">
      <c r="A438" s="19">
        <v>42703.84334490741</v>
      </c>
      <c r="B438" s="20" t="str">
        <f>HYPERLINK("https://twitter.com/KrisGlezM","@KrisGlezM")</f>
        <v>@KrisGlezM</v>
      </c>
      <c r="C438" s="21" t="s">
        <v>1035</v>
      </c>
      <c r="D438" s="21" t="s">
        <v>983</v>
      </c>
      <c r="E438" s="22" t="str">
        <f>HYPERLINK("https://twitter.com/KrisGlezM/status/803693620620500992","803693620620500992")</f>
        <v>803693620620500992</v>
      </c>
      <c r="F438" s="23" t="s">
        <v>41</v>
      </c>
      <c r="G438" s="24">
        <v>1062.0</v>
      </c>
      <c r="H438" s="24">
        <v>401.0</v>
      </c>
      <c r="I438" s="24">
        <v>190.0</v>
      </c>
      <c r="J438" s="24">
        <v>0.0</v>
      </c>
      <c r="K438" s="23" t="s">
        <v>27</v>
      </c>
      <c r="L438" s="25">
        <v>41089.73881944444</v>
      </c>
      <c r="M438" s="26" t="s">
        <v>1036</v>
      </c>
      <c r="N438" s="26" t="s">
        <v>1037</v>
      </c>
      <c r="O438" s="22" t="str">
        <f>HYPERLINK("https://pbs.twimg.com/profile_images/800770202367590400/BOHM4sQA_normal.jpg","View")</f>
        <v>View</v>
      </c>
      <c r="P438" s="27"/>
    </row>
    <row r="439">
      <c r="A439" s="19">
        <v>42703.84402777778</v>
      </c>
      <c r="B439" s="20" t="str">
        <f>HYPERLINK("https://twitter.com/PRevelchione","@PRevelchione")</f>
        <v>@PRevelchione</v>
      </c>
      <c r="C439" s="21" t="s">
        <v>776</v>
      </c>
      <c r="D439" s="21" t="s">
        <v>1038</v>
      </c>
      <c r="E439" s="22" t="str">
        <f>HYPERLINK("https://twitter.com/PRevelchione/status/803693865484042240","803693865484042240")</f>
        <v>803693865484042240</v>
      </c>
      <c r="F439" s="23" t="s">
        <v>81</v>
      </c>
      <c r="G439" s="24">
        <v>107.0</v>
      </c>
      <c r="H439" s="24">
        <v>118.0</v>
      </c>
      <c r="I439" s="24">
        <v>0.0</v>
      </c>
      <c r="J439" s="24">
        <v>0.0</v>
      </c>
      <c r="K439" s="23" t="s">
        <v>27</v>
      </c>
      <c r="L439" s="25">
        <v>41042.02217592593</v>
      </c>
      <c r="M439" s="28"/>
      <c r="N439" s="26" t="s">
        <v>778</v>
      </c>
      <c r="O439" s="22" t="str">
        <f>HYPERLINK("https://pbs.twimg.com/profile_images/378800000061994811/33278fcf427161cc1589241e184a7e56_normal.jpeg","View")</f>
        <v>View</v>
      </c>
      <c r="P439" s="27" t="str">
        <f>HYPERLINK("https://ctrlq.org/maps/address/#28.39146939,-16.52252378","Map")</f>
        <v>#ERROR!</v>
      </c>
    </row>
    <row r="440">
      <c r="A440" s="19">
        <v>42703.846030092594</v>
      </c>
      <c r="B440" s="20" t="str">
        <f>HYPERLINK("https://twitter.com/bermaxo09","@bermaxo09")</f>
        <v>@bermaxo09</v>
      </c>
      <c r="C440" s="21" t="s">
        <v>284</v>
      </c>
      <c r="D440" s="21" t="s">
        <v>1039</v>
      </c>
      <c r="E440" s="22" t="str">
        <f>HYPERLINK("https://twitter.com/bermaxo09/status/803694594563002368","803694594563002368")</f>
        <v>803694594563002368</v>
      </c>
      <c r="F440" s="23" t="s">
        <v>37</v>
      </c>
      <c r="G440" s="24">
        <v>193.0</v>
      </c>
      <c r="H440" s="24">
        <v>196.0</v>
      </c>
      <c r="I440" s="24">
        <v>1.0</v>
      </c>
      <c r="J440" s="24">
        <v>2.0</v>
      </c>
      <c r="K440" s="23" t="s">
        <v>27</v>
      </c>
      <c r="L440" s="25">
        <v>42689.441516203704</v>
      </c>
      <c r="M440" s="26" t="s">
        <v>109</v>
      </c>
      <c r="N440" s="26" t="s">
        <v>286</v>
      </c>
      <c r="O440" s="22" t="str">
        <f>HYPERLINK("https://pbs.twimg.com/profile_images/798476790478073856/iOD0HIRa_normal.jpg","View")</f>
        <v>View</v>
      </c>
      <c r="P440" s="27"/>
    </row>
    <row r="441">
      <c r="A441" s="19">
        <v>42703.86079861112</v>
      </c>
      <c r="B441" s="20" t="str">
        <f t="shared" ref="B441:B442" si="52">HYPERLINK("https://twitter.com/GeoCanaries7","@GeoCanaries7")</f>
        <v>@GeoCanaries7</v>
      </c>
      <c r="C441" s="21" t="s">
        <v>1040</v>
      </c>
      <c r="D441" s="21" t="s">
        <v>1041</v>
      </c>
      <c r="E441" s="22" t="str">
        <f>HYPERLINK("https://twitter.com/GeoCanaries7/status/803699943756234752","803699943756234752")</f>
        <v>803699943756234752</v>
      </c>
      <c r="F441" s="23" t="s">
        <v>26</v>
      </c>
      <c r="G441" s="24">
        <v>7240.0</v>
      </c>
      <c r="H441" s="24">
        <v>7254.0</v>
      </c>
      <c r="I441" s="24">
        <v>3.0</v>
      </c>
      <c r="J441" s="24">
        <v>0.0</v>
      </c>
      <c r="K441" s="23" t="s">
        <v>27</v>
      </c>
      <c r="L441" s="25">
        <v>42111.71221064815</v>
      </c>
      <c r="M441" s="26" t="s">
        <v>305</v>
      </c>
      <c r="N441" s="26" t="s">
        <v>1042</v>
      </c>
      <c r="O441" s="22" t="str">
        <f t="shared" ref="O441:O442" si="53">HYPERLINK("https://pbs.twimg.com/profile_images/590070926273810432/Bly2LJQV_normal.jpg","View")</f>
        <v>View</v>
      </c>
      <c r="P441" s="27"/>
    </row>
    <row r="442">
      <c r="A442" s="19">
        <v>42703.862175925926</v>
      </c>
      <c r="B442" s="20" t="str">
        <f t="shared" si="52"/>
        <v>@GeoCanaries7</v>
      </c>
      <c r="C442" s="21" t="s">
        <v>1040</v>
      </c>
      <c r="D442" s="21" t="s">
        <v>1043</v>
      </c>
      <c r="E442" s="22" t="str">
        <f>HYPERLINK("https://twitter.com/GeoCanaries7/status/803700442404454400","803700442404454400")</f>
        <v>803700442404454400</v>
      </c>
      <c r="F442" s="23" t="s">
        <v>26</v>
      </c>
      <c r="G442" s="24">
        <v>7240.0</v>
      </c>
      <c r="H442" s="24">
        <v>7254.0</v>
      </c>
      <c r="I442" s="24">
        <v>2.0</v>
      </c>
      <c r="J442" s="24">
        <v>0.0</v>
      </c>
      <c r="K442" s="23" t="s">
        <v>27</v>
      </c>
      <c r="L442" s="25">
        <v>42111.71221064815</v>
      </c>
      <c r="M442" s="26" t="s">
        <v>305</v>
      </c>
      <c r="N442" s="26" t="s">
        <v>1042</v>
      </c>
      <c r="O442" s="22" t="str">
        <f t="shared" si="53"/>
        <v>View</v>
      </c>
      <c r="P442" s="27"/>
    </row>
    <row r="443">
      <c r="A443" s="19">
        <v>42703.86273148148</v>
      </c>
      <c r="B443" s="20" t="str">
        <f>HYPERLINK("https://twitter.com/comdebra2006","@comdebra2006")</f>
        <v>@comdebra2006</v>
      </c>
      <c r="C443" s="21" t="s">
        <v>1044</v>
      </c>
      <c r="D443" s="21" t="s">
        <v>36</v>
      </c>
      <c r="E443" s="22" t="str">
        <f>HYPERLINK("https://twitter.com/comdebra2006/status/803700644322283520","803700644322283520")</f>
        <v>803700644322283520</v>
      </c>
      <c r="F443" s="23" t="s">
        <v>90</v>
      </c>
      <c r="G443" s="24">
        <v>57.0</v>
      </c>
      <c r="H443" s="24">
        <v>57.0</v>
      </c>
      <c r="I443" s="24">
        <v>47.0</v>
      </c>
      <c r="J443" s="24">
        <v>0.0</v>
      </c>
      <c r="K443" s="23" t="s">
        <v>27</v>
      </c>
      <c r="L443" s="25">
        <v>39966.595555555556</v>
      </c>
      <c r="M443" s="26" t="s">
        <v>826</v>
      </c>
      <c r="N443" s="26" t="s">
        <v>1045</v>
      </c>
      <c r="O443" s="22" t="str">
        <f>HYPERLINK("https://pbs.twimg.com/profile_images/743414692287242240/J-jCpJUy_normal.jpg","View")</f>
        <v>View</v>
      </c>
      <c r="P443" s="27"/>
    </row>
    <row r="444">
      <c r="A444" s="19">
        <v>42703.86366898148</v>
      </c>
      <c r="B444" s="20" t="str">
        <f t="shared" ref="B444:B445" si="54">HYPERLINK("https://twitter.com/islaspromo","@islaspromo")</f>
        <v>@islaspromo</v>
      </c>
      <c r="C444" s="21" t="s">
        <v>215</v>
      </c>
      <c r="D444" s="21" t="s">
        <v>1046</v>
      </c>
      <c r="E444" s="22" t="str">
        <f>HYPERLINK("https://twitter.com/islaspromo/status/803700983767429121","803700983767429121")</f>
        <v>803700983767429121</v>
      </c>
      <c r="F444" s="23" t="s">
        <v>41</v>
      </c>
      <c r="G444" s="24">
        <v>785.0</v>
      </c>
      <c r="H444" s="24">
        <v>591.0</v>
      </c>
      <c r="I444" s="24">
        <v>1.0</v>
      </c>
      <c r="J444" s="24">
        <v>0.0</v>
      </c>
      <c r="K444" s="23" t="s">
        <v>27</v>
      </c>
      <c r="L444" s="25">
        <v>42060.74221064815</v>
      </c>
      <c r="M444" s="26" t="s">
        <v>51</v>
      </c>
      <c r="N444" s="26" t="s">
        <v>216</v>
      </c>
      <c r="O444" s="22" t="str">
        <f t="shared" ref="O444:O445" si="55">HYPERLINK("https://pbs.twimg.com/profile_images/570644453866483712/dvbC2x8W_normal.jpeg","View")</f>
        <v>View</v>
      </c>
      <c r="P444" s="27"/>
    </row>
    <row r="445">
      <c r="A445" s="19">
        <v>42703.86509259259</v>
      </c>
      <c r="B445" s="20" t="str">
        <f t="shared" si="54"/>
        <v>@islaspromo</v>
      </c>
      <c r="C445" s="21" t="s">
        <v>215</v>
      </c>
      <c r="D445" s="21" t="s">
        <v>1047</v>
      </c>
      <c r="E445" s="22" t="str">
        <f>HYPERLINK("https://twitter.com/islaspromo/status/803701500451098624","803701500451098624")</f>
        <v>803701500451098624</v>
      </c>
      <c r="F445" s="23" t="s">
        <v>41</v>
      </c>
      <c r="G445" s="24">
        <v>785.0</v>
      </c>
      <c r="H445" s="24">
        <v>591.0</v>
      </c>
      <c r="I445" s="24">
        <v>1.0</v>
      </c>
      <c r="J445" s="24">
        <v>0.0</v>
      </c>
      <c r="K445" s="23" t="s">
        <v>27</v>
      </c>
      <c r="L445" s="25">
        <v>42060.74221064815</v>
      </c>
      <c r="M445" s="26" t="s">
        <v>51</v>
      </c>
      <c r="N445" s="26" t="s">
        <v>216</v>
      </c>
      <c r="O445" s="22" t="str">
        <f t="shared" si="55"/>
        <v>View</v>
      </c>
      <c r="P445" s="27"/>
    </row>
    <row r="446">
      <c r="A446" s="19">
        <v>42703.86783564815</v>
      </c>
      <c r="B446" s="20" t="str">
        <f>HYPERLINK("https://twitter.com/candediselo","@candediselo")</f>
        <v>@candediselo</v>
      </c>
      <c r="C446" s="21" t="s">
        <v>1048</v>
      </c>
      <c r="D446" s="21" t="s">
        <v>1049</v>
      </c>
      <c r="E446" s="22" t="str">
        <f>HYPERLINK("https://twitter.com/candediselo/status/803702496938037249","803702496938037249")</f>
        <v>803702496938037249</v>
      </c>
      <c r="F446" s="23" t="s">
        <v>41</v>
      </c>
      <c r="G446" s="24">
        <v>488.0</v>
      </c>
      <c r="H446" s="24">
        <v>415.0</v>
      </c>
      <c r="I446" s="24">
        <v>3.0</v>
      </c>
      <c r="J446" s="24">
        <v>0.0</v>
      </c>
      <c r="K446" s="23" t="s">
        <v>27</v>
      </c>
      <c r="L446" s="25">
        <v>42043.47803240741</v>
      </c>
      <c r="M446" s="28"/>
      <c r="N446" s="28"/>
      <c r="O446" s="22" t="str">
        <f>HYPERLINK("https://pbs.twimg.com/profile_images/658032570182053891/ojmbF1Rw_normal.jpg","View")</f>
        <v>View</v>
      </c>
      <c r="P446" s="27"/>
    </row>
    <row r="447">
      <c r="A447" s="19">
        <v>42703.88230324074</v>
      </c>
      <c r="B447" s="20" t="str">
        <f>HYPERLINK("https://twitter.com/Selhso","@Selhso")</f>
        <v>@Selhso</v>
      </c>
      <c r="C447" s="21" t="s">
        <v>194</v>
      </c>
      <c r="D447" s="21" t="s">
        <v>1050</v>
      </c>
      <c r="E447" s="22" t="str">
        <f>HYPERLINK("https://twitter.com/Selhso/status/803707738765328386","803707738765328386")</f>
        <v>803707738765328386</v>
      </c>
      <c r="F447" s="23" t="s">
        <v>37</v>
      </c>
      <c r="G447" s="24">
        <v>1615.0</v>
      </c>
      <c r="H447" s="24">
        <v>1661.0</v>
      </c>
      <c r="I447" s="24">
        <v>12.0</v>
      </c>
      <c r="J447" s="24">
        <v>16.0</v>
      </c>
      <c r="K447" s="23" t="s">
        <v>27</v>
      </c>
      <c r="L447" s="25">
        <v>40372.68681712963</v>
      </c>
      <c r="M447" s="26" t="s">
        <v>196</v>
      </c>
      <c r="N447" s="26" t="s">
        <v>109</v>
      </c>
      <c r="O447" s="22" t="str">
        <f>HYPERLINK("https://pbs.twimg.com/profile_images/800845512836579328/cKh_5hB2_normal.jpg","View")</f>
        <v>View</v>
      </c>
      <c r="P447" s="27"/>
    </row>
    <row r="448">
      <c r="A448" s="19">
        <v>42703.88912037037</v>
      </c>
      <c r="B448" s="20" t="str">
        <f>HYPERLINK("https://twitter.com/staysure","@staysure")</f>
        <v>@staysure</v>
      </c>
      <c r="C448" s="21" t="s">
        <v>1051</v>
      </c>
      <c r="D448" s="21" t="s">
        <v>1052</v>
      </c>
      <c r="E448" s="22" t="str">
        <f>HYPERLINK("https://twitter.com/staysure/status/803710206584688640","803710206584688640")</f>
        <v>803710206584688640</v>
      </c>
      <c r="F448" s="23" t="s">
        <v>401</v>
      </c>
      <c r="G448" s="24">
        <v>1797.0</v>
      </c>
      <c r="H448" s="24">
        <v>1087.0</v>
      </c>
      <c r="I448" s="24">
        <v>0.0</v>
      </c>
      <c r="J448" s="24">
        <v>0.0</v>
      </c>
      <c r="K448" s="23" t="s">
        <v>27</v>
      </c>
      <c r="L448" s="25">
        <v>39839.43126157408</v>
      </c>
      <c r="M448" s="26" t="s">
        <v>1053</v>
      </c>
      <c r="N448" s="26" t="s">
        <v>1054</v>
      </c>
      <c r="O448" s="22" t="str">
        <f>HYPERLINK("https://pbs.twimg.com/profile_images/458967659401330688/3F-D0CRc_normal.jpeg","View")</f>
        <v>View</v>
      </c>
      <c r="P448" s="27"/>
    </row>
    <row r="449">
      <c r="A449" s="19">
        <v>42703.892916666664</v>
      </c>
      <c r="B449" s="20" t="str">
        <f>HYPERLINK("https://twitter.com/paisajecanario","@paisajecanario")</f>
        <v>@paisajecanario</v>
      </c>
      <c r="C449" s="21" t="s">
        <v>70</v>
      </c>
      <c r="D449" s="21" t="s">
        <v>1055</v>
      </c>
      <c r="E449" s="22" t="str">
        <f>HYPERLINK("https://twitter.com/paisajecanario/status/803711583939678208","803711583939678208")</f>
        <v>803711583939678208</v>
      </c>
      <c r="F449" s="23" t="s">
        <v>26</v>
      </c>
      <c r="G449" s="24">
        <v>13324.0</v>
      </c>
      <c r="H449" s="24">
        <v>434.0</v>
      </c>
      <c r="I449" s="24">
        <v>12.0</v>
      </c>
      <c r="J449" s="24">
        <v>0.0</v>
      </c>
      <c r="K449" s="23" t="s">
        <v>27</v>
      </c>
      <c r="L449" s="25">
        <v>41815.714641203704</v>
      </c>
      <c r="M449" s="26" t="s">
        <v>71</v>
      </c>
      <c r="N449" s="26" t="s">
        <v>72</v>
      </c>
      <c r="O449" s="22" t="str">
        <f>HYPERLINK("https://pbs.twimg.com/profile_images/789364630850240512/Mw90qAlM_normal.jpg","View")</f>
        <v>View</v>
      </c>
      <c r="P449" s="27"/>
    </row>
    <row r="450">
      <c r="A450" s="19">
        <v>42703.89704861111</v>
      </c>
      <c r="B450" s="20" t="str">
        <f>HYPERLINK("https://twitter.com/swisshop4uEs","@swisshop4uEs")</f>
        <v>@swisshop4uEs</v>
      </c>
      <c r="C450" s="21" t="s">
        <v>48</v>
      </c>
      <c r="D450" s="21" t="s">
        <v>1056</v>
      </c>
      <c r="E450" s="22" t="str">
        <f>HYPERLINK("https://twitter.com/swisshop4uEs/status/803713079271890945","803713079271890945")</f>
        <v>803713079271890945</v>
      </c>
      <c r="F450" s="23" t="s">
        <v>50</v>
      </c>
      <c r="G450" s="24">
        <v>455.0</v>
      </c>
      <c r="H450" s="24">
        <v>424.0</v>
      </c>
      <c r="I450" s="24">
        <v>0.0</v>
      </c>
      <c r="J450" s="24">
        <v>0.0</v>
      </c>
      <c r="K450" s="23" t="s">
        <v>27</v>
      </c>
      <c r="L450" s="25">
        <v>41468.93072916666</v>
      </c>
      <c r="M450" s="26" t="s">
        <v>51</v>
      </c>
      <c r="N450" s="26" t="s">
        <v>52</v>
      </c>
      <c r="O450" s="22" t="str">
        <f>HYPERLINK("https://pbs.twimg.com/profile_images/378800000213382003/4f562b59f92995b884d2d440f71fc5ce_normal.png","View")</f>
        <v>View</v>
      </c>
      <c r="P450" s="27"/>
    </row>
    <row r="451">
      <c r="A451" s="19">
        <v>42703.90375</v>
      </c>
      <c r="B451" s="20" t="str">
        <f>HYPERLINK("https://twitter.com/raquelmsfoto","@raquelmsfoto")</f>
        <v>@raquelmsfoto</v>
      </c>
      <c r="C451" s="21" t="s">
        <v>1057</v>
      </c>
      <c r="D451" s="21" t="s">
        <v>1058</v>
      </c>
      <c r="E451" s="22" t="str">
        <f>HYPERLINK("https://twitter.com/raquelmsfoto/status/803715508063338496","803715508063338496")</f>
        <v>803715508063338496</v>
      </c>
      <c r="F451" s="23" t="s">
        <v>69</v>
      </c>
      <c r="G451" s="24">
        <v>98.0</v>
      </c>
      <c r="H451" s="24">
        <v>203.0</v>
      </c>
      <c r="I451" s="24">
        <v>0.0</v>
      </c>
      <c r="J451" s="24">
        <v>1.0</v>
      </c>
      <c r="K451" s="23" t="s">
        <v>27</v>
      </c>
      <c r="L451" s="25">
        <v>40786.48515046296</v>
      </c>
      <c r="M451" s="26" t="s">
        <v>455</v>
      </c>
      <c r="N451" s="26" t="s">
        <v>1059</v>
      </c>
      <c r="O451" s="22" t="str">
        <f>HYPERLINK("https://pbs.twimg.com/profile_images/661860505280077824/64Ws0Ssm_normal.jpg","View")</f>
        <v>View</v>
      </c>
      <c r="P451" s="27"/>
    </row>
    <row r="452">
      <c r="A452" s="19">
        <v>42703.906435185185</v>
      </c>
      <c r="B452" s="20" t="str">
        <f>HYPERLINK("https://twitter.com/bsaraccini","@bsaraccini")</f>
        <v>@bsaraccini</v>
      </c>
      <c r="C452" s="21" t="s">
        <v>1060</v>
      </c>
      <c r="D452" s="21" t="s">
        <v>1061</v>
      </c>
      <c r="E452" s="22" t="str">
        <f>HYPERLINK("https://twitter.com/bsaraccini/status/803716483826257922","803716483826257922")</f>
        <v>803716483826257922</v>
      </c>
      <c r="F452" s="23" t="s">
        <v>37</v>
      </c>
      <c r="G452" s="24">
        <v>64.0</v>
      </c>
      <c r="H452" s="24">
        <v>234.0</v>
      </c>
      <c r="I452" s="24">
        <v>0.0</v>
      </c>
      <c r="J452" s="24">
        <v>0.0</v>
      </c>
      <c r="K452" s="23" t="s">
        <v>27</v>
      </c>
      <c r="L452" s="25">
        <v>40003.55363425926</v>
      </c>
      <c r="M452" s="26" t="s">
        <v>1062</v>
      </c>
      <c r="N452" s="26" t="s">
        <v>1063</v>
      </c>
      <c r="O452" s="22" t="str">
        <f>HYPERLINK("https://pbs.twimg.com/profile_images/1795111589/DSCN2942_normal.JPG","View")</f>
        <v>View</v>
      </c>
      <c r="P452" s="27"/>
    </row>
    <row r="453">
      <c r="A453" s="19">
        <v>42703.927673611106</v>
      </c>
      <c r="B453" s="20" t="str">
        <f>HYPERLINK("https://twitter.com/PCHTENERIFE","@PCHTENERIFE")</f>
        <v>@PCHTENERIFE</v>
      </c>
      <c r="C453" s="21" t="s">
        <v>1064</v>
      </c>
      <c r="D453" s="21" t="s">
        <v>1065</v>
      </c>
      <c r="E453" s="22" t="str">
        <f>HYPERLINK("https://twitter.com/PCHTENERIFE/status/803724180021768192","803724180021768192")</f>
        <v>803724180021768192</v>
      </c>
      <c r="F453" s="23" t="s">
        <v>59</v>
      </c>
      <c r="G453" s="24">
        <v>3148.0</v>
      </c>
      <c r="H453" s="24">
        <v>529.0</v>
      </c>
      <c r="I453" s="24">
        <v>0.0</v>
      </c>
      <c r="J453" s="24">
        <v>0.0</v>
      </c>
      <c r="K453" s="23" t="s">
        <v>27</v>
      </c>
      <c r="L453" s="25">
        <v>40086.77576388889</v>
      </c>
      <c r="M453" s="26" t="s">
        <v>301</v>
      </c>
      <c r="N453" s="26" t="s">
        <v>1066</v>
      </c>
      <c r="O453" s="22" t="str">
        <f>HYPERLINK("https://pbs.twimg.com/profile_images/448458865/PALMERA_normal.jpg","View")</f>
        <v>View</v>
      </c>
      <c r="P453" s="27"/>
    </row>
    <row r="454">
      <c r="A454" s="19">
        <v>42703.92800925926</v>
      </c>
      <c r="B454" s="20" t="str">
        <f>HYPERLINK("https://twitter.com/holyber","@holyber")</f>
        <v>@holyber</v>
      </c>
      <c r="C454" s="21" t="s">
        <v>45</v>
      </c>
      <c r="D454" s="21" t="s">
        <v>1055</v>
      </c>
      <c r="E454" s="22" t="str">
        <f>HYPERLINK("https://twitter.com/holyber/status/803724302738718720","803724302738718720")</f>
        <v>803724302738718720</v>
      </c>
      <c r="F454" s="23" t="s">
        <v>37</v>
      </c>
      <c r="G454" s="24">
        <v>106410.0</v>
      </c>
      <c r="H454" s="24">
        <v>94316.0</v>
      </c>
      <c r="I454" s="24">
        <v>12.0</v>
      </c>
      <c r="J454" s="24">
        <v>0.0</v>
      </c>
      <c r="K454" s="23" t="s">
        <v>27</v>
      </c>
      <c r="L454" s="25">
        <v>41144.80637731482</v>
      </c>
      <c r="M454" s="26" t="s">
        <v>46</v>
      </c>
      <c r="N454" s="26" t="s">
        <v>47</v>
      </c>
      <c r="O454" s="22" t="str">
        <f>HYPERLINK("https://pbs.twimg.com/profile_images/475644614448123904/FiCl2pX4_normal.jpeg","View")</f>
        <v>View</v>
      </c>
      <c r="P454" s="27"/>
    </row>
    <row r="455">
      <c r="A455" s="19">
        <v>42703.92962962963</v>
      </c>
      <c r="B455" s="20" t="str">
        <f>HYPERLINK("https://twitter.com/manuelcarranco","@manuelcarranco")</f>
        <v>@manuelcarranco</v>
      </c>
      <c r="C455" s="21" t="s">
        <v>274</v>
      </c>
      <c r="D455" s="21" t="s">
        <v>1067</v>
      </c>
      <c r="E455" s="22" t="str">
        <f>HYPERLINK("https://twitter.com/manuelcarranco/status/803724889509138432","803724889509138432")</f>
        <v>803724889509138432</v>
      </c>
      <c r="F455" s="23" t="s">
        <v>81</v>
      </c>
      <c r="G455" s="24">
        <v>846.0</v>
      </c>
      <c r="H455" s="24">
        <v>346.0</v>
      </c>
      <c r="I455" s="24">
        <v>0.0</v>
      </c>
      <c r="J455" s="24">
        <v>0.0</v>
      </c>
      <c r="K455" s="23" t="s">
        <v>27</v>
      </c>
      <c r="L455" s="25">
        <v>40072.69292824074</v>
      </c>
      <c r="M455" s="26" t="s">
        <v>55</v>
      </c>
      <c r="N455" s="26" t="s">
        <v>276</v>
      </c>
      <c r="O455" s="22" t="str">
        <f>HYPERLINK("https://pbs.twimg.com/profile_images/525944451177263104/jGofUCAA_normal.jpeg","View")</f>
        <v>View</v>
      </c>
      <c r="P455" s="27" t="str">
        <f>HYPERLINK("https://ctrlq.org/maps/address/#29.011444,-13.779944","Map")</f>
        <v>#ERROR!</v>
      </c>
    </row>
    <row r="456">
      <c r="A456" s="19">
        <v>42703.932604166665</v>
      </c>
      <c r="B456" s="20" t="str">
        <f>HYPERLINK("https://twitter.com/MariolaTNFGC84","@MariolaTNFGC84")</f>
        <v>@MariolaTNFGC84</v>
      </c>
      <c r="C456" s="21" t="s">
        <v>385</v>
      </c>
      <c r="D456" s="21" t="s">
        <v>1055</v>
      </c>
      <c r="E456" s="22" t="str">
        <f>HYPERLINK("https://twitter.com/MariolaTNFGC84/status/803725966031880192","803725966031880192")</f>
        <v>803725966031880192</v>
      </c>
      <c r="F456" s="23" t="s">
        <v>37</v>
      </c>
      <c r="G456" s="24">
        <v>391.0</v>
      </c>
      <c r="H456" s="24">
        <v>891.0</v>
      </c>
      <c r="I456" s="24">
        <v>12.0</v>
      </c>
      <c r="J456" s="24">
        <v>0.0</v>
      </c>
      <c r="K456" s="23" t="s">
        <v>27</v>
      </c>
      <c r="L456" s="25">
        <v>42181.55790509259</v>
      </c>
      <c r="M456" s="28"/>
      <c r="N456" s="28"/>
      <c r="O456" s="22" t="str">
        <f>HYPERLINK("https://pbs.twimg.com/profile_images/765266327804190720/3kytWWcC_normal.jpg","View")</f>
        <v>View</v>
      </c>
      <c r="P456" s="27"/>
    </row>
    <row r="457">
      <c r="A457" s="19">
        <v>42703.93543981481</v>
      </c>
      <c r="B457" s="20" t="str">
        <f>HYPERLINK("https://twitter.com/islaspromo","@islaspromo")</f>
        <v>@islaspromo</v>
      </c>
      <c r="C457" s="21" t="s">
        <v>215</v>
      </c>
      <c r="D457" s="21" t="s">
        <v>1055</v>
      </c>
      <c r="E457" s="22" t="str">
        <f>HYPERLINK("https://twitter.com/islaspromo/status/803726995561422848","803726995561422848")</f>
        <v>803726995561422848</v>
      </c>
      <c r="F457" s="23" t="s">
        <v>41</v>
      </c>
      <c r="G457" s="24">
        <v>785.0</v>
      </c>
      <c r="H457" s="24">
        <v>591.0</v>
      </c>
      <c r="I457" s="24">
        <v>12.0</v>
      </c>
      <c r="J457" s="24">
        <v>0.0</v>
      </c>
      <c r="K457" s="23" t="s">
        <v>27</v>
      </c>
      <c r="L457" s="25">
        <v>42060.74221064815</v>
      </c>
      <c r="M457" s="26" t="s">
        <v>51</v>
      </c>
      <c r="N457" s="26" t="s">
        <v>216</v>
      </c>
      <c r="O457" s="22" t="str">
        <f>HYPERLINK("https://pbs.twimg.com/profile_images/570644453866483712/dvbC2x8W_normal.jpeg","View")</f>
        <v>View</v>
      </c>
      <c r="P457" s="27"/>
    </row>
    <row r="458">
      <c r="A458" s="19">
        <v>42703.94384259259</v>
      </c>
      <c r="B458" s="20" t="str">
        <f>HYPERLINK("https://twitter.com/mysweetapplexxx","@mysweetapplexxx")</f>
        <v>@mysweetapplexxx</v>
      </c>
      <c r="C458" s="21" t="s">
        <v>1068</v>
      </c>
      <c r="D458" s="21" t="s">
        <v>1069</v>
      </c>
      <c r="E458" s="22" t="str">
        <f>HYPERLINK("https://twitter.com/mysweetapplexxx/status/803730037950283780","803730037950283780")</f>
        <v>803730037950283780</v>
      </c>
      <c r="F458" s="23" t="s">
        <v>26</v>
      </c>
      <c r="G458" s="24">
        <v>10471.0</v>
      </c>
      <c r="H458" s="24">
        <v>317.0</v>
      </c>
      <c r="I458" s="24">
        <v>1.0</v>
      </c>
      <c r="J458" s="24">
        <v>1.0</v>
      </c>
      <c r="K458" s="23" t="s">
        <v>27</v>
      </c>
      <c r="L458" s="25">
        <v>42304.18115740741</v>
      </c>
      <c r="M458" s="31" t="s">
        <v>1070</v>
      </c>
      <c r="N458" s="26" t="s">
        <v>1071</v>
      </c>
      <c r="O458" s="22" t="str">
        <f>HYPERLINK("https://pbs.twimg.com/profile_images/659070959064756224/E88uQiIO_normal.jpg","View")</f>
        <v>View</v>
      </c>
      <c r="P458" s="27"/>
    </row>
    <row r="459">
      <c r="A459" s="19">
        <v>42703.94684027778</v>
      </c>
      <c r="B459" s="20" t="str">
        <f>HYPERLINK("https://twitter.com/EliteCamBot3","@EliteCamBot3")</f>
        <v>@EliteCamBot3</v>
      </c>
      <c r="C459" s="21" t="s">
        <v>1072</v>
      </c>
      <c r="D459" s="21" t="s">
        <v>1073</v>
      </c>
      <c r="E459" s="22" t="str">
        <f>HYPERLINK("https://twitter.com/EliteCamBot3/status/803731125495439360","803731125495439360")</f>
        <v>803731125495439360</v>
      </c>
      <c r="F459" s="23" t="s">
        <v>1074</v>
      </c>
      <c r="G459" s="24">
        <v>33201.0</v>
      </c>
      <c r="H459" s="24">
        <v>20375.0</v>
      </c>
      <c r="I459" s="24">
        <v>1.0</v>
      </c>
      <c r="J459" s="24">
        <v>0.0</v>
      </c>
      <c r="K459" s="23" t="s">
        <v>27</v>
      </c>
      <c r="L459" s="25">
        <v>42330.51303240741</v>
      </c>
      <c r="M459" s="26" t="s">
        <v>1075</v>
      </c>
      <c r="N459" s="26" t="s">
        <v>1076</v>
      </c>
      <c r="O459" s="22" t="str">
        <f>HYPERLINK("https://pbs.twimg.com/profile_images/683140746891911168/TubRcDfE_normal.jpg","View")</f>
        <v>View</v>
      </c>
      <c r="P459" s="27"/>
    </row>
    <row r="460">
      <c r="A460" s="19">
        <v>42703.9477662037</v>
      </c>
      <c r="B460" s="20" t="str">
        <f>HYPERLINK("https://twitter.com/LesRandosdeCaco","@LesRandosdeCaco")</f>
        <v>@LesRandosdeCaco</v>
      </c>
      <c r="C460" s="21" t="s">
        <v>186</v>
      </c>
      <c r="D460" s="21" t="s">
        <v>1077</v>
      </c>
      <c r="E460" s="22" t="str">
        <f>HYPERLINK("https://twitter.com/LesRandosdeCaco/status/803731461631279104","803731461631279104")</f>
        <v>803731461631279104</v>
      </c>
      <c r="F460" s="23" t="s">
        <v>41</v>
      </c>
      <c r="G460" s="24">
        <v>7.0</v>
      </c>
      <c r="H460" s="24">
        <v>57.0</v>
      </c>
      <c r="I460" s="24">
        <v>0.0</v>
      </c>
      <c r="J460" s="24">
        <v>0.0</v>
      </c>
      <c r="K460" s="23" t="s">
        <v>27</v>
      </c>
      <c r="L460" s="25">
        <v>41643.68407407407</v>
      </c>
      <c r="M460" s="26" t="s">
        <v>188</v>
      </c>
      <c r="N460" s="26" t="s">
        <v>189</v>
      </c>
      <c r="O460" s="22" t="str">
        <f>HYPERLINK("https://pbs.twimg.com/profile_images/802073872866705408/wMHnHYch_normal.jpg","View")</f>
        <v>View</v>
      </c>
      <c r="P460" s="27"/>
    </row>
    <row r="461">
      <c r="A461" s="19">
        <v>42703.94909722223</v>
      </c>
      <c r="B461" s="20" t="str">
        <f>HYPERLINK("https://twitter.com/manuelcarranco","@manuelcarranco")</f>
        <v>@manuelcarranco</v>
      </c>
      <c r="C461" s="21" t="s">
        <v>274</v>
      </c>
      <c r="D461" s="21" t="s">
        <v>1078</v>
      </c>
      <c r="E461" s="22" t="str">
        <f>HYPERLINK("https://twitter.com/manuelcarranco/status/803731941983825920","803731941983825920")</f>
        <v>803731941983825920</v>
      </c>
      <c r="F461" s="23" t="s">
        <v>81</v>
      </c>
      <c r="G461" s="24">
        <v>846.0</v>
      </c>
      <c r="H461" s="24">
        <v>346.0</v>
      </c>
      <c r="I461" s="24">
        <v>0.0</v>
      </c>
      <c r="J461" s="24">
        <v>0.0</v>
      </c>
      <c r="K461" s="23" t="s">
        <v>27</v>
      </c>
      <c r="L461" s="25">
        <v>40072.69292824074</v>
      </c>
      <c r="M461" s="26" t="s">
        <v>55</v>
      </c>
      <c r="N461" s="26" t="s">
        <v>276</v>
      </c>
      <c r="O461" s="22" t="str">
        <f>HYPERLINK("https://pbs.twimg.com/profile_images/525944451177263104/jGofUCAA_normal.jpeg","View")</f>
        <v>View</v>
      </c>
      <c r="P461" s="27" t="str">
        <f>HYPERLINK("https://ctrlq.org/maps/address/#28.86155124,-13.83152167","Map")</f>
        <v>#ERROR!</v>
      </c>
    </row>
    <row r="462">
      <c r="A462" s="19">
        <v>42703.95861111111</v>
      </c>
      <c r="B462" s="20" t="str">
        <f>HYPERLINK("https://twitter.com/collectingsmile","@collectingsmile")</f>
        <v>@collectingsmile</v>
      </c>
      <c r="C462" s="21" t="s">
        <v>84</v>
      </c>
      <c r="D462" s="21" t="s">
        <v>1079</v>
      </c>
      <c r="E462" s="22" t="str">
        <f>HYPERLINK("https://twitter.com/collectingsmile/status/803735391920672769","803735391920672769")</f>
        <v>803735391920672769</v>
      </c>
      <c r="F462" s="23" t="s">
        <v>41</v>
      </c>
      <c r="G462" s="24">
        <v>1085.0</v>
      </c>
      <c r="H462" s="24">
        <v>2425.0</v>
      </c>
      <c r="I462" s="24">
        <v>0.0</v>
      </c>
      <c r="J462" s="24">
        <v>3.0</v>
      </c>
      <c r="K462" s="23" t="s">
        <v>27</v>
      </c>
      <c r="L462" s="25">
        <v>39981.71326388889</v>
      </c>
      <c r="M462" s="26" t="s">
        <v>86</v>
      </c>
      <c r="N462" s="26" t="s">
        <v>87</v>
      </c>
      <c r="O462" s="22" t="str">
        <f>HYPERLINK("https://pbs.twimg.com/profile_images/267232211/me_normal.jpg","View")</f>
        <v>View</v>
      </c>
      <c r="P462" s="27"/>
    </row>
    <row r="463">
      <c r="A463" s="19">
        <v>42703.95946759259</v>
      </c>
      <c r="B463" s="20" t="str">
        <f>HYPERLINK("https://twitter.com/JulioAl18175505","@JulioAl18175505")</f>
        <v>@JulioAl18175505</v>
      </c>
      <c r="C463" s="21" t="s">
        <v>248</v>
      </c>
      <c r="D463" s="21" t="s">
        <v>558</v>
      </c>
      <c r="E463" s="22" t="str">
        <f>HYPERLINK("https://twitter.com/JulioAl18175505/status/803735702643081216","803735702643081216")</f>
        <v>803735702643081216</v>
      </c>
      <c r="F463" s="23" t="s">
        <v>41</v>
      </c>
      <c r="G463" s="24">
        <v>3883.0</v>
      </c>
      <c r="H463" s="24">
        <v>3761.0</v>
      </c>
      <c r="I463" s="24">
        <v>36.0</v>
      </c>
      <c r="J463" s="24">
        <v>0.0</v>
      </c>
      <c r="K463" s="23" t="s">
        <v>27</v>
      </c>
      <c r="L463" s="25">
        <v>41713.45993055555</v>
      </c>
      <c r="M463" s="26" t="s">
        <v>250</v>
      </c>
      <c r="N463" s="26" t="s">
        <v>251</v>
      </c>
      <c r="O463" s="22" t="str">
        <f>HYPERLINK("https://pbs.twimg.com/profile_images/706839494851436544/7igsf91D_normal.jpg","View")</f>
        <v>View</v>
      </c>
      <c r="P463" s="27"/>
    </row>
    <row r="464">
      <c r="A464" s="19">
        <v>42703.96304398148</v>
      </c>
      <c r="B464" s="20" t="str">
        <f>HYPERLINK("https://twitter.com/TheWildSide10","@TheWildSide10")</f>
        <v>@TheWildSide10</v>
      </c>
      <c r="C464" s="21" t="s">
        <v>691</v>
      </c>
      <c r="D464" s="21" t="s">
        <v>558</v>
      </c>
      <c r="E464" s="22" t="str">
        <f>HYPERLINK("https://twitter.com/TheWildSide10/status/803736997093220352","803736997093220352")</f>
        <v>803736997093220352</v>
      </c>
      <c r="F464" s="23" t="s">
        <v>37</v>
      </c>
      <c r="G464" s="24">
        <v>412.0</v>
      </c>
      <c r="H464" s="24">
        <v>681.0</v>
      </c>
      <c r="I464" s="24">
        <v>36.0</v>
      </c>
      <c r="J464" s="24">
        <v>0.0</v>
      </c>
      <c r="K464" s="23" t="s">
        <v>27</v>
      </c>
      <c r="L464" s="25">
        <v>42266.99877314815</v>
      </c>
      <c r="M464" s="26" t="s">
        <v>692</v>
      </c>
      <c r="N464" s="26" t="s">
        <v>693</v>
      </c>
      <c r="O464" s="22" t="str">
        <f>HYPERLINK("https://pbs.twimg.com/profile_images/737393637311537152/WD0G8tgn_normal.jpg","View")</f>
        <v>View</v>
      </c>
      <c r="P464" s="27"/>
    </row>
    <row r="465">
      <c r="A465" s="19">
        <v>42703.96833333334</v>
      </c>
      <c r="B465" s="20" t="str">
        <f>HYPERLINK("https://twitter.com/GCanariaBeaches","@GCanariaBeaches")</f>
        <v>@GCanariaBeaches</v>
      </c>
      <c r="C465" s="21" t="s">
        <v>1080</v>
      </c>
      <c r="D465" s="21" t="s">
        <v>1055</v>
      </c>
      <c r="E465" s="22" t="str">
        <f>HYPERLINK("https://twitter.com/GCanariaBeaches/status/803738913185611776","803738913185611776")</f>
        <v>803738913185611776</v>
      </c>
      <c r="F465" s="23" t="s">
        <v>37</v>
      </c>
      <c r="G465" s="24">
        <v>624.0</v>
      </c>
      <c r="H465" s="24">
        <v>177.0</v>
      </c>
      <c r="I465" s="24">
        <v>12.0</v>
      </c>
      <c r="J465" s="24">
        <v>0.0</v>
      </c>
      <c r="K465" s="23" t="s">
        <v>27</v>
      </c>
      <c r="L465" s="25">
        <v>41174.90069444444</v>
      </c>
      <c r="M465" s="26" t="s">
        <v>109</v>
      </c>
      <c r="N465" s="26" t="s">
        <v>1081</v>
      </c>
      <c r="O465" s="22" t="str">
        <f>HYPERLINK("https://pbs.twimg.com/profile_images/2638609676/9cb8155ade4a2908ab347d2fa7ce8155_normal.jpeg","View")</f>
        <v>View</v>
      </c>
      <c r="P465" s="27"/>
    </row>
    <row r="466">
      <c r="A466" s="19">
        <v>42703.97598379629</v>
      </c>
      <c r="B466" s="20" t="str">
        <f>HYPERLINK("https://twitter.com/Chendley777","@Chendley777")</f>
        <v>@Chendley777</v>
      </c>
      <c r="C466" s="21" t="s">
        <v>1082</v>
      </c>
      <c r="D466" s="21" t="s">
        <v>1083</v>
      </c>
      <c r="E466" s="22" t="str">
        <f>HYPERLINK("https://twitter.com/Chendley777/status/803741687252189184","803741687252189184")</f>
        <v>803741687252189184</v>
      </c>
      <c r="F466" s="23" t="s">
        <v>26</v>
      </c>
      <c r="G466" s="24">
        <v>363.0</v>
      </c>
      <c r="H466" s="24">
        <v>373.0</v>
      </c>
      <c r="I466" s="24">
        <v>0.0</v>
      </c>
      <c r="J466" s="24">
        <v>0.0</v>
      </c>
      <c r="K466" s="23" t="s">
        <v>27</v>
      </c>
      <c r="L466" s="25">
        <v>41067.48186342593</v>
      </c>
      <c r="M466" s="26" t="s">
        <v>1084</v>
      </c>
      <c r="N466" s="26" t="s">
        <v>1085</v>
      </c>
      <c r="O466" s="22" t="str">
        <f>HYPERLINK("https://pbs.twimg.com/profile_images/798617580516818944/w-D_8Fb6_normal.jpg","View")</f>
        <v>View</v>
      </c>
      <c r="P466" s="27"/>
    </row>
    <row r="467">
      <c r="A467" s="19">
        <v>42703.980891203704</v>
      </c>
      <c r="B467" s="20" t="str">
        <f>HYPERLINK("https://twitter.com/JulioAl18175505","@JulioAl18175505")</f>
        <v>@JulioAl18175505</v>
      </c>
      <c r="C467" s="21" t="s">
        <v>248</v>
      </c>
      <c r="D467" s="21" t="s">
        <v>1055</v>
      </c>
      <c r="E467" s="22" t="str">
        <f>HYPERLINK("https://twitter.com/JulioAl18175505/status/803743464974204928","803743464974204928")</f>
        <v>803743464974204928</v>
      </c>
      <c r="F467" s="23" t="s">
        <v>41</v>
      </c>
      <c r="G467" s="24">
        <v>3883.0</v>
      </c>
      <c r="H467" s="24">
        <v>3761.0</v>
      </c>
      <c r="I467" s="24">
        <v>12.0</v>
      </c>
      <c r="J467" s="24">
        <v>0.0</v>
      </c>
      <c r="K467" s="23" t="s">
        <v>27</v>
      </c>
      <c r="L467" s="25">
        <v>41713.45993055555</v>
      </c>
      <c r="M467" s="26" t="s">
        <v>250</v>
      </c>
      <c r="N467" s="26" t="s">
        <v>251</v>
      </c>
      <c r="O467" s="22" t="str">
        <f>HYPERLINK("https://pbs.twimg.com/profile_images/706839494851436544/7igsf91D_normal.jpg","View")</f>
        <v>View</v>
      </c>
      <c r="P467" s="27"/>
    </row>
    <row r="468">
      <c r="A468" s="19">
        <v>42704.02203703704</v>
      </c>
      <c r="B468" s="20" t="str">
        <f>HYPERLINK("https://twitter.com/swisshop4uEs","@swisshop4uEs")</f>
        <v>@swisshop4uEs</v>
      </c>
      <c r="C468" s="21" t="s">
        <v>48</v>
      </c>
      <c r="D468" s="21" t="s">
        <v>1086</v>
      </c>
      <c r="E468" s="22" t="str">
        <f>HYPERLINK("https://twitter.com/swisshop4uEs/status/803758376643543040","803758376643543040")</f>
        <v>803758376643543040</v>
      </c>
      <c r="F468" s="23" t="s">
        <v>50</v>
      </c>
      <c r="G468" s="24">
        <v>455.0</v>
      </c>
      <c r="H468" s="24">
        <v>424.0</v>
      </c>
      <c r="I468" s="24">
        <v>0.0</v>
      </c>
      <c r="J468" s="24">
        <v>0.0</v>
      </c>
      <c r="K468" s="23" t="s">
        <v>27</v>
      </c>
      <c r="L468" s="25">
        <v>41468.93072916666</v>
      </c>
      <c r="M468" s="26" t="s">
        <v>51</v>
      </c>
      <c r="N468" s="26" t="s">
        <v>52</v>
      </c>
      <c r="O468" s="22" t="str">
        <f>HYPERLINK("https://pbs.twimg.com/profile_images/378800000213382003/4f562b59f92995b884d2d440f71fc5ce_normal.png","View")</f>
        <v>View</v>
      </c>
      <c r="P468" s="27"/>
    </row>
    <row r="469">
      <c r="A469" s="19">
        <v>42704.02863425926</v>
      </c>
      <c r="B469" s="20" t="str">
        <f>HYPERLINK("https://twitter.com/44Jano","@44Jano")</f>
        <v>@44Jano</v>
      </c>
      <c r="C469" s="21" t="s">
        <v>1087</v>
      </c>
      <c r="D469" s="21" t="s">
        <v>1024</v>
      </c>
      <c r="E469" s="22" t="str">
        <f>HYPERLINK("https://twitter.com/44Jano/status/803760764771332097","803760764771332097")</f>
        <v>803760764771332097</v>
      </c>
      <c r="F469" s="23" t="s">
        <v>41</v>
      </c>
      <c r="G469" s="24">
        <v>118.0</v>
      </c>
      <c r="H469" s="24">
        <v>187.0</v>
      </c>
      <c r="I469" s="24">
        <v>3.0</v>
      </c>
      <c r="J469" s="24">
        <v>0.0</v>
      </c>
      <c r="K469" s="23" t="s">
        <v>27</v>
      </c>
      <c r="L469" s="25">
        <v>41805.65614583333</v>
      </c>
      <c r="M469" s="28"/>
      <c r="N469" s="28"/>
      <c r="O469" s="22" t="str">
        <f>HYPERLINK("https://pbs.twimg.com/profile_images/801004411812253697/CvLPoPLt_normal.jpg","View")</f>
        <v>View</v>
      </c>
      <c r="P469" s="27"/>
    </row>
    <row r="470">
      <c r="A470" s="19">
        <v>42704.02877314815</v>
      </c>
      <c r="B470" s="20" t="str">
        <f>HYPERLINK("https://twitter.com/EmocionesCan","@EmocionesCan")</f>
        <v>@EmocionesCan</v>
      </c>
      <c r="C470" s="21" t="s">
        <v>39</v>
      </c>
      <c r="D470" s="21" t="s">
        <v>1055</v>
      </c>
      <c r="E470" s="22" t="str">
        <f>HYPERLINK("https://twitter.com/EmocionesCan/status/803760816373846016","803760816373846016")</f>
        <v>803760816373846016</v>
      </c>
      <c r="F470" s="23" t="s">
        <v>41</v>
      </c>
      <c r="G470" s="24">
        <v>61321.0</v>
      </c>
      <c r="H470" s="24">
        <v>3424.0</v>
      </c>
      <c r="I470" s="24">
        <v>12.0</v>
      </c>
      <c r="J470" s="24">
        <v>0.0</v>
      </c>
      <c r="K470" s="23" t="s">
        <v>27</v>
      </c>
      <c r="L470" s="25">
        <v>40776.91810185185</v>
      </c>
      <c r="M470" s="26" t="s">
        <v>42</v>
      </c>
      <c r="N470" s="26" t="s">
        <v>43</v>
      </c>
      <c r="O470" s="22" t="str">
        <f>HYPERLINK("https://pbs.twimg.com/profile_images/1508754713/Logos_Perfiles_EECC_-_Sin_borde_y_sin_texto_normal.jpg","View")</f>
        <v>View</v>
      </c>
      <c r="P470" s="27"/>
    </row>
    <row r="471">
      <c r="A471" s="19">
        <v>42704.08545138889</v>
      </c>
      <c r="B471" s="20" t="str">
        <f>HYPERLINK("https://twitter.com/swisshop4uEs","@swisshop4uEs")</f>
        <v>@swisshop4uEs</v>
      </c>
      <c r="C471" s="21" t="s">
        <v>48</v>
      </c>
      <c r="D471" s="21" t="s">
        <v>1088</v>
      </c>
      <c r="E471" s="22" t="str">
        <f>HYPERLINK("https://twitter.com/swisshop4uEs/status/803781356404801536","803781356404801536")</f>
        <v>803781356404801536</v>
      </c>
      <c r="F471" s="23" t="s">
        <v>50</v>
      </c>
      <c r="G471" s="24">
        <v>455.0</v>
      </c>
      <c r="H471" s="24">
        <v>424.0</v>
      </c>
      <c r="I471" s="24">
        <v>0.0</v>
      </c>
      <c r="J471" s="24">
        <v>0.0</v>
      </c>
      <c r="K471" s="23" t="s">
        <v>27</v>
      </c>
      <c r="L471" s="25">
        <v>41468.93072916666</v>
      </c>
      <c r="M471" s="26" t="s">
        <v>51</v>
      </c>
      <c r="N471" s="26" t="s">
        <v>52</v>
      </c>
      <c r="O471" s="22" t="str">
        <f>HYPERLINK("https://pbs.twimg.com/profile_images/378800000213382003/4f562b59f92995b884d2d440f71fc5ce_normal.png","View")</f>
        <v>View</v>
      </c>
      <c r="P471" s="27"/>
    </row>
    <row r="472">
      <c r="A472" s="19">
        <v>42704.178391203706</v>
      </c>
      <c r="B472" s="20" t="str">
        <f>HYPERLINK("https://twitter.com/TesorosCanarios","@TesorosCanarios")</f>
        <v>@TesorosCanarios</v>
      </c>
      <c r="C472" s="21" t="s">
        <v>1089</v>
      </c>
      <c r="D472" s="21" t="s">
        <v>1090</v>
      </c>
      <c r="E472" s="22" t="str">
        <f>HYPERLINK("https://twitter.com/TesorosCanarios/status/803815035965493248","803815035965493248")</f>
        <v>803815035965493248</v>
      </c>
      <c r="F472" s="23" t="s">
        <v>90</v>
      </c>
      <c r="G472" s="24">
        <v>4862.0</v>
      </c>
      <c r="H472" s="24">
        <v>5264.0</v>
      </c>
      <c r="I472" s="24">
        <v>2.0</v>
      </c>
      <c r="J472" s="24">
        <v>0.0</v>
      </c>
      <c r="K472" s="23" t="s">
        <v>27</v>
      </c>
      <c r="L472" s="25">
        <v>42175.5766087963</v>
      </c>
      <c r="M472" s="28"/>
      <c r="N472" s="26" t="s">
        <v>1091</v>
      </c>
      <c r="O472" s="22" t="str">
        <f>HYPERLINK("https://pbs.twimg.com/profile_images/736521573558018048/BDEUXtty_normal.jpg","View")</f>
        <v>View</v>
      </c>
      <c r="P472" s="27"/>
    </row>
    <row r="473">
      <c r="A473" s="19">
        <v>42704.20388888889</v>
      </c>
      <c r="B473" s="20" t="str">
        <f>HYPERLINK("https://twitter.com/DorisShades","@DorisShades")</f>
        <v>@DorisShades</v>
      </c>
      <c r="C473" s="21" t="s">
        <v>121</v>
      </c>
      <c r="D473" s="21" t="s">
        <v>1092</v>
      </c>
      <c r="E473" s="22" t="str">
        <f>HYPERLINK("https://twitter.com/DorisShades/status/803824276214321152","803824276214321152")</f>
        <v>803824276214321152</v>
      </c>
      <c r="F473" s="23" t="s">
        <v>77</v>
      </c>
      <c r="G473" s="24">
        <v>3693.0</v>
      </c>
      <c r="H473" s="24">
        <v>4432.0</v>
      </c>
      <c r="I473" s="24">
        <v>0.0</v>
      </c>
      <c r="J473" s="24">
        <v>1.0</v>
      </c>
      <c r="K473" s="23" t="s">
        <v>27</v>
      </c>
      <c r="L473" s="25">
        <v>42095.182499999995</v>
      </c>
      <c r="M473" s="26" t="s">
        <v>123</v>
      </c>
      <c r="N473" s="26" t="s">
        <v>124</v>
      </c>
      <c r="O473" s="22" t="str">
        <f>HYPERLINK("https://pbs.twimg.com/profile_images/777456052094791681/oTN7NDTr_normal.jpg","View")</f>
        <v>View</v>
      </c>
      <c r="P473" s="27"/>
    </row>
    <row r="474">
      <c r="A474" s="19">
        <v>42704.20388888889</v>
      </c>
      <c r="B474" s="20" t="str">
        <f>HYPERLINK("https://twitter.com/Doris_Blog","@Doris_Blog")</f>
        <v>@Doris_Blog</v>
      </c>
      <c r="C474" s="21" t="s">
        <v>125</v>
      </c>
      <c r="D474" s="21" t="s">
        <v>1093</v>
      </c>
      <c r="E474" s="22" t="str">
        <f>HYPERLINK("https://twitter.com/Doris_Blog/status/803824277757853696","803824277757853696")</f>
        <v>803824277757853696</v>
      </c>
      <c r="F474" s="23" t="s">
        <v>77</v>
      </c>
      <c r="G474" s="24">
        <v>2333.0</v>
      </c>
      <c r="H474" s="24">
        <v>3655.0</v>
      </c>
      <c r="I474" s="24">
        <v>0.0</v>
      </c>
      <c r="J474" s="24">
        <v>1.0</v>
      </c>
      <c r="K474" s="23" t="s">
        <v>27</v>
      </c>
      <c r="L474" s="25">
        <v>42095.21026620371</v>
      </c>
      <c r="M474" s="26" t="s">
        <v>119</v>
      </c>
      <c r="N474" s="26" t="s">
        <v>127</v>
      </c>
      <c r="O474" s="22" t="str">
        <f>HYPERLINK("https://pbs.twimg.com/profile_images/769621211911450624/O-JLlK5O_normal.jpg","View")</f>
        <v>View</v>
      </c>
      <c r="P474" s="27"/>
    </row>
    <row r="475">
      <c r="A475" s="19">
        <v>42704.20390046296</v>
      </c>
      <c r="B475" s="20" t="str">
        <f>HYPERLINK("https://twitter.com/DorisVisitsUK","@DorisVisitsUK")</f>
        <v>@DorisVisitsUK</v>
      </c>
      <c r="C475" s="21" t="s">
        <v>437</v>
      </c>
      <c r="D475" s="21" t="s">
        <v>1094</v>
      </c>
      <c r="E475" s="22" t="str">
        <f>HYPERLINK("https://twitter.com/DorisVisitsUK/status/803824279775281152","803824279775281152")</f>
        <v>803824279775281152</v>
      </c>
      <c r="F475" s="23" t="s">
        <v>77</v>
      </c>
      <c r="G475" s="24">
        <v>2647.0</v>
      </c>
      <c r="H475" s="24">
        <v>3792.0</v>
      </c>
      <c r="I475" s="24">
        <v>0.0</v>
      </c>
      <c r="J475" s="24">
        <v>1.0</v>
      </c>
      <c r="K475" s="23" t="s">
        <v>27</v>
      </c>
      <c r="L475" s="25">
        <v>42095.200590277775</v>
      </c>
      <c r="M475" s="26" t="s">
        <v>119</v>
      </c>
      <c r="N475" s="26" t="s">
        <v>439</v>
      </c>
      <c r="O475" s="22" t="str">
        <f>HYPERLINK("https://pbs.twimg.com/profile_images/777545822254825472/0-x9uu3s_normal.jpg","View")</f>
        <v>View</v>
      </c>
      <c r="P475" s="27"/>
    </row>
    <row r="476">
      <c r="A476" s="19">
        <v>42704.20391203703</v>
      </c>
      <c r="B476" s="20" t="str">
        <f>HYPERLINK("https://twitter.com/ShadesDirector","@ShadesDirector")</f>
        <v>@ShadesDirector</v>
      </c>
      <c r="C476" s="21" t="s">
        <v>444</v>
      </c>
      <c r="D476" s="21" t="s">
        <v>1095</v>
      </c>
      <c r="E476" s="22" t="str">
        <f>HYPERLINK("https://twitter.com/ShadesDirector/status/803824284443508736","803824284443508736")</f>
        <v>803824284443508736</v>
      </c>
      <c r="F476" s="23" t="s">
        <v>77</v>
      </c>
      <c r="G476" s="24">
        <v>2731.0</v>
      </c>
      <c r="H476" s="24">
        <v>3129.0</v>
      </c>
      <c r="I476" s="24">
        <v>0.0</v>
      </c>
      <c r="J476" s="24">
        <v>1.0</v>
      </c>
      <c r="K476" s="23" t="s">
        <v>27</v>
      </c>
      <c r="L476" s="25">
        <v>42231.6780787037</v>
      </c>
      <c r="M476" s="28"/>
      <c r="N476" s="26" t="s">
        <v>446</v>
      </c>
      <c r="O476" s="22" t="str">
        <f>HYPERLINK("https://pbs.twimg.com/profile_images/769622463344959489/FhJxVtM2_normal.jpg","View")</f>
        <v>View</v>
      </c>
      <c r="P476" s="27"/>
    </row>
    <row r="477">
      <c r="A477" s="19">
        <v>42704.20391203703</v>
      </c>
      <c r="B477" s="20" t="str">
        <f>HYPERLINK("https://twitter.com/DorisVisits","@DorisVisits")</f>
        <v>@DorisVisits</v>
      </c>
      <c r="C477" s="21" t="s">
        <v>132</v>
      </c>
      <c r="D477" s="21" t="s">
        <v>1096</v>
      </c>
      <c r="E477" s="22" t="str">
        <f>HYPERLINK("https://twitter.com/DorisVisits/status/803824285991190528","803824285991190528")</f>
        <v>803824285991190528</v>
      </c>
      <c r="F477" s="23" t="s">
        <v>77</v>
      </c>
      <c r="G477" s="24">
        <v>3046.0</v>
      </c>
      <c r="H477" s="24">
        <v>4501.0</v>
      </c>
      <c r="I477" s="24">
        <v>0.0</v>
      </c>
      <c r="J477" s="24">
        <v>1.0</v>
      </c>
      <c r="K477" s="23" t="s">
        <v>27</v>
      </c>
      <c r="L477" s="25">
        <v>42330.5372337963</v>
      </c>
      <c r="M477" s="26" t="s">
        <v>134</v>
      </c>
      <c r="N477" s="26" t="s">
        <v>135</v>
      </c>
      <c r="O477" s="22" t="str">
        <f>HYPERLINK("https://pbs.twimg.com/profile_images/668416648211222529/-2knYf0__normal.jpg","View")</f>
        <v>View</v>
      </c>
      <c r="P477" s="27"/>
    </row>
    <row r="478">
      <c r="A478" s="19">
        <v>42704.2496412037</v>
      </c>
      <c r="B478" s="20" t="str">
        <f t="shared" ref="B478:B481" si="56">HYPERLINK("https://twitter.com/bermaxo09","@bermaxo09")</f>
        <v>@bermaxo09</v>
      </c>
      <c r="C478" s="21" t="s">
        <v>284</v>
      </c>
      <c r="D478" s="21" t="s">
        <v>1097</v>
      </c>
      <c r="E478" s="22" t="str">
        <f>HYPERLINK("https://twitter.com/bermaxo09/status/803840858328023040","803840858328023040")</f>
        <v>803840858328023040</v>
      </c>
      <c r="F478" s="23" t="s">
        <v>37</v>
      </c>
      <c r="G478" s="24">
        <v>193.0</v>
      </c>
      <c r="H478" s="24">
        <v>196.0</v>
      </c>
      <c r="I478" s="24">
        <v>0.0</v>
      </c>
      <c r="J478" s="24">
        <v>1.0</v>
      </c>
      <c r="K478" s="23" t="s">
        <v>27</v>
      </c>
      <c r="L478" s="25">
        <v>42689.441516203704</v>
      </c>
      <c r="M478" s="26" t="s">
        <v>109</v>
      </c>
      <c r="N478" s="26" t="s">
        <v>286</v>
      </c>
      <c r="O478" s="22" t="str">
        <f t="shared" ref="O478:O481" si="57">HYPERLINK("https://pbs.twimg.com/profile_images/798476790478073856/iOD0HIRa_normal.jpg","View")</f>
        <v>View</v>
      </c>
      <c r="P478" s="27"/>
    </row>
    <row r="479">
      <c r="A479" s="19">
        <v>42704.25238425926</v>
      </c>
      <c r="B479" s="20" t="str">
        <f t="shared" si="56"/>
        <v>@bermaxo09</v>
      </c>
      <c r="C479" s="21" t="s">
        <v>284</v>
      </c>
      <c r="D479" s="21" t="s">
        <v>1098</v>
      </c>
      <c r="E479" s="22" t="str">
        <f>HYPERLINK("https://twitter.com/bermaxo09/status/803841849370804224","803841849370804224")</f>
        <v>803841849370804224</v>
      </c>
      <c r="F479" s="23" t="s">
        <v>37</v>
      </c>
      <c r="G479" s="24">
        <v>193.0</v>
      </c>
      <c r="H479" s="24">
        <v>196.0</v>
      </c>
      <c r="I479" s="24">
        <v>0.0</v>
      </c>
      <c r="J479" s="24">
        <v>1.0</v>
      </c>
      <c r="K479" s="23" t="s">
        <v>27</v>
      </c>
      <c r="L479" s="25">
        <v>42689.441516203704</v>
      </c>
      <c r="M479" s="26" t="s">
        <v>109</v>
      </c>
      <c r="N479" s="26" t="s">
        <v>286</v>
      </c>
      <c r="O479" s="22" t="str">
        <f t="shared" si="57"/>
        <v>View</v>
      </c>
      <c r="P479" s="27"/>
    </row>
    <row r="480">
      <c r="A480" s="19">
        <v>42704.26833333333</v>
      </c>
      <c r="B480" s="20" t="str">
        <f t="shared" si="56"/>
        <v>@bermaxo09</v>
      </c>
      <c r="C480" s="21" t="s">
        <v>284</v>
      </c>
      <c r="D480" s="21" t="s">
        <v>1099</v>
      </c>
      <c r="E480" s="22" t="str">
        <f>HYPERLINK("https://twitter.com/bermaxo09/status/803847630061240321","803847630061240321")</f>
        <v>803847630061240321</v>
      </c>
      <c r="F480" s="23" t="s">
        <v>37</v>
      </c>
      <c r="G480" s="24">
        <v>193.0</v>
      </c>
      <c r="H480" s="24">
        <v>196.0</v>
      </c>
      <c r="I480" s="24">
        <v>0.0</v>
      </c>
      <c r="J480" s="24">
        <v>3.0</v>
      </c>
      <c r="K480" s="23" t="s">
        <v>27</v>
      </c>
      <c r="L480" s="25">
        <v>42689.441516203704</v>
      </c>
      <c r="M480" s="26" t="s">
        <v>109</v>
      </c>
      <c r="N480" s="26" t="s">
        <v>286</v>
      </c>
      <c r="O480" s="22" t="str">
        <f t="shared" si="57"/>
        <v>View</v>
      </c>
      <c r="P480" s="27"/>
    </row>
    <row r="481">
      <c r="A481" s="19">
        <v>42704.269907407404</v>
      </c>
      <c r="B481" s="20" t="str">
        <f t="shared" si="56"/>
        <v>@bermaxo09</v>
      </c>
      <c r="C481" s="21" t="s">
        <v>284</v>
      </c>
      <c r="D481" s="21" t="s">
        <v>1100</v>
      </c>
      <c r="E481" s="22" t="str">
        <f>HYPERLINK("https://twitter.com/bermaxo09/status/803848201350643712","803848201350643712")</f>
        <v>803848201350643712</v>
      </c>
      <c r="F481" s="23" t="s">
        <v>37</v>
      </c>
      <c r="G481" s="24">
        <v>193.0</v>
      </c>
      <c r="H481" s="24">
        <v>196.0</v>
      </c>
      <c r="I481" s="24">
        <v>0.0</v>
      </c>
      <c r="J481" s="24">
        <v>2.0</v>
      </c>
      <c r="K481" s="23" t="s">
        <v>27</v>
      </c>
      <c r="L481" s="25">
        <v>42689.441516203704</v>
      </c>
      <c r="M481" s="26" t="s">
        <v>109</v>
      </c>
      <c r="N481" s="26" t="s">
        <v>286</v>
      </c>
      <c r="O481" s="22" t="str">
        <f t="shared" si="57"/>
        <v>View</v>
      </c>
      <c r="P481" s="27"/>
    </row>
    <row r="482">
      <c r="A482" s="19">
        <v>42704.28783564815</v>
      </c>
      <c r="B482" s="20" t="str">
        <f>HYPERLINK("https://twitter.com/tibaldo78","@tibaldo78")</f>
        <v>@tibaldo78</v>
      </c>
      <c r="C482" s="21" t="s">
        <v>1101</v>
      </c>
      <c r="D482" s="21" t="s">
        <v>1102</v>
      </c>
      <c r="E482" s="22" t="str">
        <f>HYPERLINK("https://twitter.com/tibaldo78/status/803854699644456960","803854699644456960")</f>
        <v>803854699644456960</v>
      </c>
      <c r="F482" s="23" t="s">
        <v>26</v>
      </c>
      <c r="G482" s="24">
        <v>45.0</v>
      </c>
      <c r="H482" s="24">
        <v>150.0</v>
      </c>
      <c r="I482" s="24">
        <v>0.0</v>
      </c>
      <c r="J482" s="24">
        <v>2.0</v>
      </c>
      <c r="K482" s="23" t="s">
        <v>27</v>
      </c>
      <c r="L482" s="25">
        <v>42023.817303240736</v>
      </c>
      <c r="M482" s="26" t="s">
        <v>1103</v>
      </c>
      <c r="N482" s="28"/>
      <c r="O482" s="22" t="str">
        <f>HYPERLINK("https://pbs.twimg.com/profile_images/805176826326818816/h29iU1nd_normal.jpg","View")</f>
        <v>View</v>
      </c>
      <c r="P482" s="27"/>
    </row>
    <row r="483">
      <c r="A483" s="19">
        <v>42704.29069444444</v>
      </c>
      <c r="B483" s="20" t="str">
        <f>HYPERLINK("https://twitter.com/_TenDive","@_TenDive")</f>
        <v>@_TenDive</v>
      </c>
      <c r="C483" s="21" t="s">
        <v>103</v>
      </c>
      <c r="D483" s="21" t="s">
        <v>1104</v>
      </c>
      <c r="E483" s="22" t="str">
        <f>HYPERLINK("https://twitter.com/_TenDive/status/803855734958096384","803855734958096384")</f>
        <v>803855734958096384</v>
      </c>
      <c r="F483" s="23" t="s">
        <v>37</v>
      </c>
      <c r="G483" s="24">
        <v>235.0</v>
      </c>
      <c r="H483" s="24">
        <v>118.0</v>
      </c>
      <c r="I483" s="24">
        <v>0.0</v>
      </c>
      <c r="J483" s="24">
        <v>1.0</v>
      </c>
      <c r="K483" s="23" t="s">
        <v>27</v>
      </c>
      <c r="L483" s="25">
        <v>41385.479999999996</v>
      </c>
      <c r="M483" s="26" t="s">
        <v>105</v>
      </c>
      <c r="N483" s="26" t="s">
        <v>106</v>
      </c>
      <c r="O483" s="22" t="str">
        <f>HYPERLINK("https://pbs.twimg.com/profile_images/694439157893107712/KkG57Zcq_normal.jpg","View")</f>
        <v>View</v>
      </c>
      <c r="P483" s="27"/>
    </row>
    <row r="484">
      <c r="A484" s="19">
        <v>42704.31247685185</v>
      </c>
      <c r="B484" s="20" t="str">
        <f>HYPERLINK("https://twitter.com/wineworldtoursp","@wineworldtoursp")</f>
        <v>@wineworldtoursp</v>
      </c>
      <c r="C484" s="21" t="s">
        <v>1105</v>
      </c>
      <c r="D484" s="21" t="s">
        <v>1106</v>
      </c>
      <c r="E484" s="22" t="str">
        <f>HYPERLINK("https://twitter.com/wineworldtoursp/status/803863626075475968","803863626075475968")</f>
        <v>803863626075475968</v>
      </c>
      <c r="F484" s="23" t="s">
        <v>41</v>
      </c>
      <c r="G484" s="24">
        <v>6138.0</v>
      </c>
      <c r="H484" s="24">
        <v>4687.0</v>
      </c>
      <c r="I484" s="24">
        <v>0.0</v>
      </c>
      <c r="J484" s="24">
        <v>0.0</v>
      </c>
      <c r="K484" s="23" t="s">
        <v>27</v>
      </c>
      <c r="L484" s="25">
        <v>41512.69069444444</v>
      </c>
      <c r="M484" s="26" t="s">
        <v>203</v>
      </c>
      <c r="N484" s="26" t="s">
        <v>1107</v>
      </c>
      <c r="O484" s="22" t="str">
        <f>HYPERLINK("https://pbs.twimg.com/profile_images/779822285364596736/EACWw1OE_normal.jpg","View")</f>
        <v>View</v>
      </c>
      <c r="P484" s="27"/>
    </row>
    <row r="485">
      <c r="A485" s="19">
        <v>42704.33148148148</v>
      </c>
      <c r="B485" s="20" t="str">
        <f>HYPERLINK("https://twitter.com/CositasCanarias","@CositasCanarias")</f>
        <v>@CositasCanarias</v>
      </c>
      <c r="C485" s="21" t="s">
        <v>1108</v>
      </c>
      <c r="D485" s="21" t="s">
        <v>976</v>
      </c>
      <c r="E485" s="22" t="str">
        <f>HYPERLINK("https://twitter.com/CositasCanarias/status/803870513185619969","803870513185619969")</f>
        <v>803870513185619969</v>
      </c>
      <c r="F485" s="23" t="s">
        <v>41</v>
      </c>
      <c r="G485" s="24">
        <v>3919.0</v>
      </c>
      <c r="H485" s="24">
        <v>3618.0</v>
      </c>
      <c r="I485" s="24">
        <v>3.0</v>
      </c>
      <c r="J485" s="24">
        <v>0.0</v>
      </c>
      <c r="K485" s="23" t="s">
        <v>27</v>
      </c>
      <c r="L485" s="25">
        <v>42379.54635416667</v>
      </c>
      <c r="M485" s="26" t="s">
        <v>1109</v>
      </c>
      <c r="N485" s="26" t="s">
        <v>1110</v>
      </c>
      <c r="O485" s="22" t="str">
        <f>HYPERLINK("https://pbs.twimg.com/profile_images/722353442321260544/juVRAeF1_normal.jpg","View")</f>
        <v>View</v>
      </c>
      <c r="P485" s="27"/>
    </row>
    <row r="486">
      <c r="A486" s="19">
        <v>42704.35326388889</v>
      </c>
      <c r="B486" s="20" t="str">
        <f>HYPERLINK("https://twitter.com/de1969","@de1969")</f>
        <v>@de1969</v>
      </c>
      <c r="C486" s="21" t="s">
        <v>701</v>
      </c>
      <c r="D486" s="21" t="s">
        <v>922</v>
      </c>
      <c r="E486" s="22" t="str">
        <f>HYPERLINK("https://twitter.com/de1969/status/803878408941932544","803878408941932544")</f>
        <v>803878408941932544</v>
      </c>
      <c r="F486" s="23" t="s">
        <v>37</v>
      </c>
      <c r="G486" s="24">
        <v>5161.0</v>
      </c>
      <c r="H486" s="24">
        <v>5644.0</v>
      </c>
      <c r="I486" s="24">
        <v>2.0</v>
      </c>
      <c r="J486" s="24">
        <v>0.0</v>
      </c>
      <c r="K486" s="23" t="s">
        <v>27</v>
      </c>
      <c r="L486" s="25">
        <v>40283.409687499996</v>
      </c>
      <c r="M486" s="26" t="s">
        <v>282</v>
      </c>
      <c r="N486" s="26" t="s">
        <v>703</v>
      </c>
      <c r="O486" s="22" t="str">
        <f>HYPERLINK("https://pbs.twimg.com/profile_images/1617162796/S4010009_normal.JPG","View")</f>
        <v>View</v>
      </c>
      <c r="P486" s="27"/>
    </row>
    <row r="487">
      <c r="A487" s="19">
        <v>42704.35416666667</v>
      </c>
      <c r="B487" s="20" t="str">
        <f>HYPERLINK("https://twitter.com/SuneHolidays","@SuneHolidays")</f>
        <v>@SuneHolidays</v>
      </c>
      <c r="C487" s="21" t="s">
        <v>62</v>
      </c>
      <c r="D487" s="21" t="s">
        <v>1111</v>
      </c>
      <c r="E487" s="22" t="str">
        <f>HYPERLINK("https://twitter.com/SuneHolidays/status/803878736865017857","803878736865017857")</f>
        <v>803878736865017857</v>
      </c>
      <c r="F487" s="23" t="s">
        <v>64</v>
      </c>
      <c r="G487" s="24">
        <v>396.0</v>
      </c>
      <c r="H487" s="24">
        <v>990.0</v>
      </c>
      <c r="I487" s="24">
        <v>1.0</v>
      </c>
      <c r="J487" s="24">
        <v>3.0</v>
      </c>
      <c r="K487" s="23" t="s">
        <v>27</v>
      </c>
      <c r="L487" s="25">
        <v>40929.92998842592</v>
      </c>
      <c r="M487" s="26" t="s">
        <v>65</v>
      </c>
      <c r="N487" s="26" t="s">
        <v>66</v>
      </c>
      <c r="O487" s="22" t="str">
        <f>HYPERLINK("https://pbs.twimg.com/profile_images/686922727480029184/9ztyb32p_normal.jpg","View")</f>
        <v>View</v>
      </c>
      <c r="P487" s="27"/>
    </row>
    <row r="488">
      <c r="A488" s="19">
        <v>42704.368483796294</v>
      </c>
      <c r="B488" s="20" t="str">
        <f>HYPERLINK("https://twitter.com/KeyserSoSo","@KeyserSoSo")</f>
        <v>@KeyserSoSo</v>
      </c>
      <c r="C488" s="21" t="s">
        <v>452</v>
      </c>
      <c r="D488" s="21" t="s">
        <v>1112</v>
      </c>
      <c r="E488" s="22" t="str">
        <f>HYPERLINK("https://twitter.com/KeyserSoSo/status/803883924250394624","803883924250394624")</f>
        <v>803883924250394624</v>
      </c>
      <c r="F488" s="23" t="s">
        <v>26</v>
      </c>
      <c r="G488" s="24">
        <v>65.0</v>
      </c>
      <c r="H488" s="24">
        <v>122.0</v>
      </c>
      <c r="I488" s="24">
        <v>1.0</v>
      </c>
      <c r="J488" s="24">
        <v>0.0</v>
      </c>
      <c r="K488" s="23" t="s">
        <v>27</v>
      </c>
      <c r="L488" s="25">
        <v>41843.658842592595</v>
      </c>
      <c r="M488" s="26" t="s">
        <v>292</v>
      </c>
      <c r="N488" s="28"/>
      <c r="O488" s="22" t="str">
        <f>HYPERLINK("https://pbs.twimg.com/profile_images/592798998773235713/aPa65SQO_normal.jpg","View")</f>
        <v>View</v>
      </c>
      <c r="P488" s="27"/>
    </row>
    <row r="489">
      <c r="A489" s="19">
        <v>42704.371620370366</v>
      </c>
      <c r="B489" s="20" t="str">
        <f>HYPERLINK("https://twitter.com/CanaryIslandsEN","@CanaryIslandsEN")</f>
        <v>@CanaryIslandsEN</v>
      </c>
      <c r="C489" s="21" t="s">
        <v>165</v>
      </c>
      <c r="D489" s="21" t="s">
        <v>1113</v>
      </c>
      <c r="E489" s="22" t="str">
        <f>HYPERLINK("https://twitter.com/CanaryIslandsEN/status/803885059484905472","803885059484905472")</f>
        <v>803885059484905472</v>
      </c>
      <c r="F489" s="23" t="s">
        <v>167</v>
      </c>
      <c r="G489" s="24">
        <v>14287.0</v>
      </c>
      <c r="H489" s="24">
        <v>1533.0</v>
      </c>
      <c r="I489" s="24">
        <v>4.0</v>
      </c>
      <c r="J489" s="24">
        <v>14.0</v>
      </c>
      <c r="K489" s="23" t="s">
        <v>27</v>
      </c>
      <c r="L489" s="25">
        <v>41264.365949074076</v>
      </c>
      <c r="M489" s="26" t="s">
        <v>168</v>
      </c>
      <c r="N489" s="26" t="s">
        <v>169</v>
      </c>
      <c r="O489" s="22" t="str">
        <f>HYPERLINK("https://pbs.twimg.com/profile_images/754960714704584704/14dQxsF8_normal.jpg","View")</f>
        <v>View</v>
      </c>
      <c r="P489" s="27"/>
    </row>
    <row r="490">
      <c r="A490" s="19">
        <v>42704.37269675926</v>
      </c>
      <c r="B490" s="20" t="str">
        <f>HYPERLINK("https://twitter.com/Salamanca_SSV","@Salamanca_SSV")</f>
        <v>@Salamanca_SSV</v>
      </c>
      <c r="C490" s="21" t="s">
        <v>170</v>
      </c>
      <c r="D490" s="21" t="s">
        <v>1055</v>
      </c>
      <c r="E490" s="22" t="str">
        <f>HYPERLINK("https://twitter.com/Salamanca_SSV/status/803885451312582657","803885451312582657")</f>
        <v>803885451312582657</v>
      </c>
      <c r="F490" s="23" t="s">
        <v>41</v>
      </c>
      <c r="G490" s="24">
        <v>7240.0</v>
      </c>
      <c r="H490" s="24">
        <v>7824.0</v>
      </c>
      <c r="I490" s="24">
        <v>12.0</v>
      </c>
      <c r="J490" s="24">
        <v>0.0</v>
      </c>
      <c r="K490" s="23" t="s">
        <v>27</v>
      </c>
      <c r="L490" s="25">
        <v>41317.78532407407</v>
      </c>
      <c r="M490" s="26" t="s">
        <v>171</v>
      </c>
      <c r="N490" s="26" t="s">
        <v>172</v>
      </c>
      <c r="O490" s="22" t="str">
        <f>HYPERLINK("https://pbs.twimg.com/profile_images/3461850627/70f1c6c744e939681691ad3a09d64375_normal.png","View")</f>
        <v>View</v>
      </c>
      <c r="P490" s="27"/>
    </row>
    <row r="491">
      <c r="A491" s="19">
        <v>42704.37366898148</v>
      </c>
      <c r="B491" s="20" t="str">
        <f>HYPERLINK("https://twitter.com/RelaxiaResorts","@RelaxiaResorts")</f>
        <v>@RelaxiaResorts</v>
      </c>
      <c r="C491" s="21" t="s">
        <v>1114</v>
      </c>
      <c r="D491" s="21" t="s">
        <v>1115</v>
      </c>
      <c r="E491" s="22" t="str">
        <f>HYPERLINK("https://twitter.com/RelaxiaResorts/status/803885803424321536","803885803424321536")</f>
        <v>803885803424321536</v>
      </c>
      <c r="F491" s="23" t="s">
        <v>64</v>
      </c>
      <c r="G491" s="24">
        <v>101.0</v>
      </c>
      <c r="H491" s="24">
        <v>221.0</v>
      </c>
      <c r="I491" s="24">
        <v>4.0</v>
      </c>
      <c r="J491" s="24">
        <v>0.0</v>
      </c>
      <c r="K491" s="23" t="s">
        <v>27</v>
      </c>
      <c r="L491" s="25">
        <v>42619.53034722222</v>
      </c>
      <c r="M491" s="26" t="s">
        <v>109</v>
      </c>
      <c r="N491" s="26" t="s">
        <v>1116</v>
      </c>
      <c r="O491" s="22" t="str">
        <f>HYPERLINK("https://pbs.twimg.com/profile_images/773127120042205184/JlU07fQy_normal.jpg","View")</f>
        <v>View</v>
      </c>
      <c r="P491" s="27"/>
    </row>
    <row r="492">
      <c r="A492" s="19">
        <v>42704.380370370374</v>
      </c>
      <c r="B492" s="20" t="str">
        <f>HYPERLINK("https://twitter.com/lapalmarss","@lapalmarss")</f>
        <v>@lapalmarss</v>
      </c>
      <c r="C492" s="21" t="s">
        <v>1117</v>
      </c>
      <c r="D492" s="21" t="s">
        <v>1118</v>
      </c>
      <c r="E492" s="22" t="str">
        <f>HYPERLINK("https://twitter.com/lapalmarss/status/803888230257033216","803888230257033216")</f>
        <v>803888230257033216</v>
      </c>
      <c r="F492" s="23" t="s">
        <v>37</v>
      </c>
      <c r="G492" s="24">
        <v>3281.0</v>
      </c>
      <c r="H492" s="24">
        <v>5002.0</v>
      </c>
      <c r="I492" s="24">
        <v>1.0</v>
      </c>
      <c r="J492" s="24">
        <v>0.0</v>
      </c>
      <c r="K492" s="23" t="s">
        <v>27</v>
      </c>
      <c r="L492" s="25">
        <v>40235.7875462963</v>
      </c>
      <c r="M492" s="26" t="s">
        <v>1119</v>
      </c>
      <c r="N492" s="26" t="s">
        <v>1120</v>
      </c>
      <c r="O492" s="22" t="str">
        <f>HYPERLINK("https://pbs.twimg.com/profile_images/620195113227132928/wpTI27qE_normal.jpg","View")</f>
        <v>View</v>
      </c>
      <c r="P492" s="27"/>
    </row>
    <row r="493">
      <c r="A493" s="19">
        <v>42704.3824537037</v>
      </c>
      <c r="B493" s="20" t="str">
        <f>HYPERLINK("https://twitter.com/paikea_nz","@paikea_nz")</f>
        <v>@paikea_nz</v>
      </c>
      <c r="C493" s="21" t="s">
        <v>149</v>
      </c>
      <c r="D493" s="21" t="s">
        <v>1121</v>
      </c>
      <c r="E493" s="22" t="str">
        <f>HYPERLINK("https://twitter.com/paikea_nz/status/803888985252753410","803888985252753410")</f>
        <v>803888985252753410</v>
      </c>
      <c r="F493" s="23" t="s">
        <v>37</v>
      </c>
      <c r="G493" s="24">
        <v>427.0</v>
      </c>
      <c r="H493" s="24">
        <v>1679.0</v>
      </c>
      <c r="I493" s="24">
        <v>0.0</v>
      </c>
      <c r="J493" s="24">
        <v>1.0</v>
      </c>
      <c r="K493" s="23" t="s">
        <v>27</v>
      </c>
      <c r="L493" s="25">
        <v>39998.64734953704</v>
      </c>
      <c r="M493" s="26" t="s">
        <v>151</v>
      </c>
      <c r="N493" s="26" t="s">
        <v>152</v>
      </c>
      <c r="O493" s="22" t="str">
        <f>HYPERLINK("https://pbs.twimg.com/profile_images/528647616423157760/LFpSUGJa_normal.jpeg","View")</f>
        <v>View</v>
      </c>
      <c r="P493" s="27"/>
    </row>
    <row r="494">
      <c r="A494" s="19">
        <v>42704.38392361111</v>
      </c>
      <c r="B494" s="20" t="str">
        <f>HYPERLINK("https://twitter.com/vlorarodriguez","@vlorarodriguez")</f>
        <v>@vlorarodriguez</v>
      </c>
      <c r="C494" s="21" t="s">
        <v>1122</v>
      </c>
      <c r="D494" s="21" t="s">
        <v>1123</v>
      </c>
      <c r="E494" s="22" t="str">
        <f>HYPERLINK("https://twitter.com/vlorarodriguez/status/803889520773103616","803889520773103616")</f>
        <v>803889520773103616</v>
      </c>
      <c r="F494" s="23" t="s">
        <v>37</v>
      </c>
      <c r="G494" s="24">
        <v>190.0</v>
      </c>
      <c r="H494" s="24">
        <v>140.0</v>
      </c>
      <c r="I494" s="24">
        <v>0.0</v>
      </c>
      <c r="J494" s="24">
        <v>0.0</v>
      </c>
      <c r="K494" s="23" t="s">
        <v>27</v>
      </c>
      <c r="L494" s="25">
        <v>40452.767696759256</v>
      </c>
      <c r="M494" s="26" t="s">
        <v>1124</v>
      </c>
      <c r="N494" s="26" t="s">
        <v>1125</v>
      </c>
      <c r="O494" s="22" t="str">
        <f>HYPERLINK("https://pbs.twimg.com/profile_images/1214051285/Copia_de_CIMG3674_normal.JPG","View")</f>
        <v>View</v>
      </c>
      <c r="P494" s="27"/>
    </row>
    <row r="495">
      <c r="A495" s="19">
        <v>42704.38564814815</v>
      </c>
      <c r="B495" s="20" t="str">
        <f>HYPERLINK("https://twitter.com/CompsToday","@CompsToday")</f>
        <v>@CompsToday</v>
      </c>
      <c r="C495" s="21" t="s">
        <v>1126</v>
      </c>
      <c r="D495" s="21" t="s">
        <v>1127</v>
      </c>
      <c r="E495" s="22" t="str">
        <f>HYPERLINK("https://twitter.com/CompsToday/status/803890144600358912","803890144600358912")</f>
        <v>803890144600358912</v>
      </c>
      <c r="F495" s="23" t="s">
        <v>401</v>
      </c>
      <c r="G495" s="24">
        <v>446.0</v>
      </c>
      <c r="H495" s="24">
        <v>58.0</v>
      </c>
      <c r="I495" s="24">
        <v>0.0</v>
      </c>
      <c r="J495" s="24">
        <v>0.0</v>
      </c>
      <c r="K495" s="23" t="s">
        <v>27</v>
      </c>
      <c r="L495" s="25">
        <v>40962.391238425924</v>
      </c>
      <c r="M495" s="26" t="s">
        <v>353</v>
      </c>
      <c r="N495" s="26" t="s">
        <v>1128</v>
      </c>
      <c r="O495" s="22" t="str">
        <f>HYPERLINK("https://pbs.twimg.com/profile_images/1847782966/ct-fb-thumb_normal.png","View")</f>
        <v>View</v>
      </c>
      <c r="P495" s="27"/>
    </row>
    <row r="496">
      <c r="A496" s="19">
        <v>42704.38899305556</v>
      </c>
      <c r="B496" s="20" t="str">
        <f>HYPERLINK("https://twitter.com/CanaryIslandsEN","@CanaryIslandsEN")</f>
        <v>@CanaryIslandsEN</v>
      </c>
      <c r="C496" s="21" t="s">
        <v>165</v>
      </c>
      <c r="D496" s="21" t="s">
        <v>1129</v>
      </c>
      <c r="E496" s="22" t="str">
        <f>HYPERLINK("https://twitter.com/CanaryIslandsEN/status/803891357588869121","803891357588869121")</f>
        <v>803891357588869121</v>
      </c>
      <c r="F496" s="23" t="s">
        <v>167</v>
      </c>
      <c r="G496" s="24">
        <v>14287.0</v>
      </c>
      <c r="H496" s="24">
        <v>1533.0</v>
      </c>
      <c r="I496" s="24">
        <v>0.0</v>
      </c>
      <c r="J496" s="24">
        <v>7.0</v>
      </c>
      <c r="K496" s="23" t="s">
        <v>27</v>
      </c>
      <c r="L496" s="25">
        <v>41264.365949074076</v>
      </c>
      <c r="M496" s="26" t="s">
        <v>168</v>
      </c>
      <c r="N496" s="26" t="s">
        <v>169</v>
      </c>
      <c r="O496" s="22" t="str">
        <f>HYPERLINK("https://pbs.twimg.com/profile_images/754960714704584704/14dQxsF8_normal.jpg","View")</f>
        <v>View</v>
      </c>
      <c r="P496" s="27"/>
    </row>
    <row r="497">
      <c r="A497" s="19">
        <v>42704.38927083333</v>
      </c>
      <c r="B497" s="20" t="str">
        <f>HYPERLINK("https://twitter.com/enduriaholidays","@enduriaholidays")</f>
        <v>@enduriaholidays</v>
      </c>
      <c r="C497" s="21" t="s">
        <v>173</v>
      </c>
      <c r="D497" s="21" t="s">
        <v>1130</v>
      </c>
      <c r="E497" s="22" t="str">
        <f>HYPERLINK("https://twitter.com/enduriaholidays/status/803891458008895488","803891458008895488")</f>
        <v>803891458008895488</v>
      </c>
      <c r="F497" s="23" t="s">
        <v>69</v>
      </c>
      <c r="G497" s="24">
        <v>319.0</v>
      </c>
      <c r="H497" s="24">
        <v>313.0</v>
      </c>
      <c r="I497" s="24">
        <v>0.0</v>
      </c>
      <c r="J497" s="24">
        <v>0.0</v>
      </c>
      <c r="K497" s="23" t="s">
        <v>27</v>
      </c>
      <c r="L497" s="25">
        <v>42489.5252662037</v>
      </c>
      <c r="M497" s="28"/>
      <c r="N497" s="28"/>
      <c r="O497" s="22" t="str">
        <f>HYPERLINK("https://pbs.twimg.com/profile_images/726026649356128258/xCSaP1IW_normal.jpg","View")</f>
        <v>View</v>
      </c>
      <c r="P497" s="27"/>
    </row>
    <row r="498">
      <c r="A498" s="19">
        <v>42704.39048611111</v>
      </c>
      <c r="B498" s="20" t="str">
        <f>HYPERLINK("https://twitter.com/TurismoLaGomera","@TurismoLaGomera")</f>
        <v>@TurismoLaGomera</v>
      </c>
      <c r="C498" s="32" t="s">
        <v>1131</v>
      </c>
      <c r="D498" s="21" t="s">
        <v>1132</v>
      </c>
      <c r="E498" s="22" t="str">
        <f>HYPERLINK("https://twitter.com/TurismoLaGomera/status/803891898805092352","803891898805092352")</f>
        <v>803891898805092352</v>
      </c>
      <c r="F498" s="23" t="s">
        <v>41</v>
      </c>
      <c r="G498" s="24">
        <v>1618.0</v>
      </c>
      <c r="H498" s="24">
        <v>435.0</v>
      </c>
      <c r="I498" s="24">
        <v>2.0</v>
      </c>
      <c r="J498" s="24">
        <v>0.0</v>
      </c>
      <c r="K498" s="23" t="s">
        <v>27</v>
      </c>
      <c r="L498" s="25">
        <v>40975.708032407405</v>
      </c>
      <c r="M498" s="28"/>
      <c r="N498" s="28"/>
      <c r="O498" s="22" t="str">
        <f>HYPERLINK("https://pbs.twimg.com/profile_images/1879561609/Captura_de_pantalla_2012-03-07_a_las_17.05.04_normal.png","View")</f>
        <v>View</v>
      </c>
      <c r="P498" s="27"/>
    </row>
    <row r="499">
      <c r="A499" s="19">
        <v>42704.39314814815</v>
      </c>
      <c r="B499" s="20" t="str">
        <f>HYPERLINK("https://twitter.com/LpaVisit","@LpaVisit")</f>
        <v>@LpaVisit</v>
      </c>
      <c r="C499" s="21" t="s">
        <v>141</v>
      </c>
      <c r="D499" s="21" t="s">
        <v>1055</v>
      </c>
      <c r="E499" s="22" t="str">
        <f>HYPERLINK("https://twitter.com/LpaVisit/status/803892863604051968","803892863604051968")</f>
        <v>803892863604051968</v>
      </c>
      <c r="F499" s="23" t="s">
        <v>37</v>
      </c>
      <c r="G499" s="24">
        <v>9640.0</v>
      </c>
      <c r="H499" s="24">
        <v>554.0</v>
      </c>
      <c r="I499" s="24">
        <v>12.0</v>
      </c>
      <c r="J499" s="24">
        <v>0.0</v>
      </c>
      <c r="K499" s="23" t="s">
        <v>27</v>
      </c>
      <c r="L499" s="25">
        <v>40866.561064814814</v>
      </c>
      <c r="M499" s="26" t="s">
        <v>109</v>
      </c>
      <c r="N499" s="26" t="s">
        <v>142</v>
      </c>
      <c r="O499" s="22" t="str">
        <f>HYPERLINK("https://pbs.twimg.com/profile_images/656385242819907584/6_e-4aUc_normal.jpg","View")</f>
        <v>View</v>
      </c>
      <c r="P499" s="27"/>
    </row>
    <row r="500">
      <c r="A500" s="19">
        <v>42704.39418981482</v>
      </c>
      <c r="B500" s="20" t="str">
        <f>HYPERLINK("https://twitter.com/IamHappyHiker","@IamHappyHiker")</f>
        <v>@IamHappyHiker</v>
      </c>
      <c r="C500" s="21" t="s">
        <v>1133</v>
      </c>
      <c r="D500" s="21" t="s">
        <v>1134</v>
      </c>
      <c r="E500" s="22" t="str">
        <f>HYPERLINK("https://twitter.com/IamHappyHiker/status/803893239052898304","803893239052898304")</f>
        <v>803893239052898304</v>
      </c>
      <c r="F500" s="23" t="s">
        <v>90</v>
      </c>
      <c r="G500" s="24">
        <v>779.0</v>
      </c>
      <c r="H500" s="24">
        <v>650.0</v>
      </c>
      <c r="I500" s="24">
        <v>2.0</v>
      </c>
      <c r="J500" s="24">
        <v>2.0</v>
      </c>
      <c r="K500" s="23" t="s">
        <v>27</v>
      </c>
      <c r="L500" s="25">
        <v>40692.7915162037</v>
      </c>
      <c r="M500" s="26" t="s">
        <v>1135</v>
      </c>
      <c r="N500" s="26" t="s">
        <v>1136</v>
      </c>
      <c r="O500" s="22" t="str">
        <f>HYPERLINK("https://pbs.twimg.com/profile_images/1506725851/Facebook_pic_under_800kb_normal.jpg","View")</f>
        <v>View</v>
      </c>
      <c r="P500" s="27"/>
    </row>
    <row r="501">
      <c r="A501" s="19">
        <v>42704.39502314814</v>
      </c>
      <c r="B501" s="20" t="str">
        <f>HYPERLINK("https://twitter.com/bh_oceano","@bh_oceano")</f>
        <v>@bh_oceano</v>
      </c>
      <c r="C501" s="21" t="s">
        <v>303</v>
      </c>
      <c r="D501" s="21" t="s">
        <v>1137</v>
      </c>
      <c r="E501" s="22" t="str">
        <f>HYPERLINK("https://twitter.com/bh_oceano/status/803893540250144768","803893540250144768")</f>
        <v>803893540250144768</v>
      </c>
      <c r="F501" s="23" t="s">
        <v>37</v>
      </c>
      <c r="G501" s="24">
        <v>1134.0</v>
      </c>
      <c r="H501" s="24">
        <v>264.0</v>
      </c>
      <c r="I501" s="24">
        <v>1.0</v>
      </c>
      <c r="J501" s="24">
        <v>1.0</v>
      </c>
      <c r="K501" s="23" t="s">
        <v>27</v>
      </c>
      <c r="L501" s="25">
        <v>42478.44100694444</v>
      </c>
      <c r="M501" s="26" t="s">
        <v>305</v>
      </c>
      <c r="N501" s="26" t="s">
        <v>306</v>
      </c>
      <c r="O501" s="22" t="str">
        <f>HYPERLINK("https://pbs.twimg.com/profile_images/794101918943604736/NxlDydce_normal.jpg","View")</f>
        <v>View</v>
      </c>
      <c r="P501" s="27"/>
    </row>
    <row r="502">
      <c r="A502" s="19">
        <v>42704.39820601852</v>
      </c>
      <c r="B502" s="20" t="str">
        <f>HYPERLINK("https://twitter.com/JuanyGar63","@JuanyGar63")</f>
        <v>@JuanyGar63</v>
      </c>
      <c r="C502" s="21" t="s">
        <v>1138</v>
      </c>
      <c r="D502" s="21" t="s">
        <v>1055</v>
      </c>
      <c r="E502" s="22" t="str">
        <f>HYPERLINK("https://twitter.com/JuanyGar63/status/803894694098964480","803894694098964480")</f>
        <v>803894694098964480</v>
      </c>
      <c r="F502" s="23" t="s">
        <v>41</v>
      </c>
      <c r="G502" s="24">
        <v>8371.0</v>
      </c>
      <c r="H502" s="24">
        <v>3001.0</v>
      </c>
      <c r="I502" s="24">
        <v>12.0</v>
      </c>
      <c r="J502" s="24">
        <v>0.0</v>
      </c>
      <c r="K502" s="23" t="s">
        <v>27</v>
      </c>
      <c r="L502" s="25">
        <v>41257.35255787037</v>
      </c>
      <c r="M502" s="26" t="s">
        <v>1139</v>
      </c>
      <c r="N502" s="26" t="s">
        <v>1140</v>
      </c>
      <c r="O502" s="22" t="str">
        <f>HYPERLINK("https://pbs.twimg.com/profile_images/801521170327617540/CKo1RnBp_normal.jpg","View")</f>
        <v>View</v>
      </c>
      <c r="P502" s="27"/>
    </row>
    <row r="503">
      <c r="A503" s="19">
        <v>42704.40541666667</v>
      </c>
      <c r="B503" s="20" t="str">
        <f>HYPERLINK("https://twitter.com/My_World4travel","@My_World4travel")</f>
        <v>@My_World4travel</v>
      </c>
      <c r="C503" s="21" t="s">
        <v>1141</v>
      </c>
      <c r="D503" s="21" t="s">
        <v>1142</v>
      </c>
      <c r="E503" s="22" t="str">
        <f>HYPERLINK("https://twitter.com/My_World4travel/status/803897307062222848","803897307062222848")</f>
        <v>803897307062222848</v>
      </c>
      <c r="F503" s="23" t="s">
        <v>41</v>
      </c>
      <c r="G503" s="24">
        <v>0.0</v>
      </c>
      <c r="H503" s="24">
        <v>4.0</v>
      </c>
      <c r="I503" s="24">
        <v>0.0</v>
      </c>
      <c r="J503" s="24">
        <v>0.0</v>
      </c>
      <c r="K503" s="23" t="s">
        <v>27</v>
      </c>
      <c r="L503" s="25">
        <v>40684.41690972222</v>
      </c>
      <c r="M503" s="28"/>
      <c r="N503" s="26" t="s">
        <v>1143</v>
      </c>
      <c r="O503" s="22" t="str">
        <f>HYPERLINK("https://pbs.twimg.com/profile_images/803898376676933633/N58_zDyC_normal.jpg","View")</f>
        <v>View</v>
      </c>
      <c r="P503" s="27"/>
    </row>
    <row r="504">
      <c r="A504" s="19">
        <v>42704.40917824074</v>
      </c>
      <c r="B504" s="20" t="str">
        <f>HYPERLINK("https://twitter.com/ElenaMuvie","@ElenaMuvie")</f>
        <v>@ElenaMuvie</v>
      </c>
      <c r="C504" s="21" t="s">
        <v>1144</v>
      </c>
      <c r="D504" s="21" t="s">
        <v>1145</v>
      </c>
      <c r="E504" s="22" t="str">
        <f>HYPERLINK("https://twitter.com/ElenaMuvie/status/803898668793348099","803898668793348099")</f>
        <v>803898668793348099</v>
      </c>
      <c r="F504" s="23" t="s">
        <v>37</v>
      </c>
      <c r="G504" s="24">
        <v>280.0</v>
      </c>
      <c r="H504" s="24">
        <v>285.0</v>
      </c>
      <c r="I504" s="24">
        <v>0.0</v>
      </c>
      <c r="J504" s="24">
        <v>1.0</v>
      </c>
      <c r="K504" s="23" t="s">
        <v>27</v>
      </c>
      <c r="L504" s="25">
        <v>41100.0080787037</v>
      </c>
      <c r="M504" s="26" t="s">
        <v>1146</v>
      </c>
      <c r="N504" s="26" t="s">
        <v>1147</v>
      </c>
      <c r="O504" s="22" t="str">
        <f>HYPERLINK("https://pbs.twimg.com/profile_images/659235369053986816/gmp1-og6_normal.jpg","View")</f>
        <v>View</v>
      </c>
      <c r="P504" s="27"/>
    </row>
    <row r="505">
      <c r="A505" s="19">
        <v>42704.4103125</v>
      </c>
      <c r="B505" s="20" t="str">
        <f>HYPERLINK("https://twitter.com/15Fuerteventura","@15Fuerteventura")</f>
        <v>@15Fuerteventura</v>
      </c>
      <c r="C505" s="21" t="s">
        <v>1148</v>
      </c>
      <c r="D505" s="21" t="s">
        <v>1115</v>
      </c>
      <c r="E505" s="22" t="str">
        <f>HYPERLINK("https://twitter.com/15Fuerteventura/status/803899083878502408","803899083878502408")</f>
        <v>803899083878502408</v>
      </c>
      <c r="F505" s="23" t="s">
        <v>26</v>
      </c>
      <c r="G505" s="24">
        <v>473.0</v>
      </c>
      <c r="H505" s="24">
        <v>272.0</v>
      </c>
      <c r="I505" s="24">
        <v>4.0</v>
      </c>
      <c r="J505" s="24">
        <v>0.0</v>
      </c>
      <c r="K505" s="23" t="s">
        <v>27</v>
      </c>
      <c r="L505" s="25">
        <v>40742.81895833333</v>
      </c>
      <c r="M505" s="26" t="s">
        <v>1149</v>
      </c>
      <c r="N505" s="26" t="s">
        <v>1150</v>
      </c>
      <c r="O505" s="22" t="str">
        <f>HYPERLINK("https://pbs.twimg.com/profile_images/1450740632/15_brand_pic_normal.jpg","View")</f>
        <v>View</v>
      </c>
      <c r="P505" s="27"/>
    </row>
    <row r="506">
      <c r="A506" s="19">
        <v>42704.41666666667</v>
      </c>
      <c r="B506" s="20" t="str">
        <f>HYPERLINK("https://twitter.com/OutsmartOOH","@OutsmartOOH")</f>
        <v>@OutsmartOOH</v>
      </c>
      <c r="C506" s="21" t="s">
        <v>1151</v>
      </c>
      <c r="D506" s="21" t="s">
        <v>1152</v>
      </c>
      <c r="E506" s="22" t="str">
        <f>HYPERLINK("https://twitter.com/OutsmartOOH/status/803901383523045376","803901383523045376")</f>
        <v>803901383523045376</v>
      </c>
      <c r="F506" s="23" t="s">
        <v>167</v>
      </c>
      <c r="G506" s="24">
        <v>5458.0</v>
      </c>
      <c r="H506" s="24">
        <v>697.0</v>
      </c>
      <c r="I506" s="24">
        <v>0.0</v>
      </c>
      <c r="J506" s="24">
        <v>2.0</v>
      </c>
      <c r="K506" s="23" t="s">
        <v>27</v>
      </c>
      <c r="L506" s="25">
        <v>40561.46277777778</v>
      </c>
      <c r="M506" s="28"/>
      <c r="N506" s="26" t="s">
        <v>1153</v>
      </c>
      <c r="O506" s="22" t="str">
        <f>HYPERLINK("https://pbs.twimg.com/profile_images/735094821459660800/qtA_WWsJ_normal.jpg","View")</f>
        <v>View</v>
      </c>
      <c r="P506" s="27"/>
    </row>
    <row r="507">
      <c r="A507" s="19">
        <v>42704.417222222226</v>
      </c>
      <c r="B507" s="20" t="str">
        <f>HYPERLINK("https://twitter.com/GoToGate12","@GoToGate12")</f>
        <v>@GoToGate12</v>
      </c>
      <c r="C507" s="21" t="s">
        <v>1154</v>
      </c>
      <c r="D507" s="21" t="s">
        <v>1115</v>
      </c>
      <c r="E507" s="22" t="str">
        <f>HYPERLINK("https://twitter.com/GoToGate12/status/803901584501514240","803901584501514240")</f>
        <v>803901584501514240</v>
      </c>
      <c r="F507" s="23" t="s">
        <v>26</v>
      </c>
      <c r="G507" s="24">
        <v>167.0</v>
      </c>
      <c r="H507" s="24">
        <v>182.0</v>
      </c>
      <c r="I507" s="24">
        <v>4.0</v>
      </c>
      <c r="J507" s="24">
        <v>0.0</v>
      </c>
      <c r="K507" s="23" t="s">
        <v>27</v>
      </c>
      <c r="L507" s="25">
        <v>41682.430439814816</v>
      </c>
      <c r="M507" s="28"/>
      <c r="N507" s="26" t="s">
        <v>1155</v>
      </c>
      <c r="O507" s="22" t="str">
        <f>HYPERLINK("https://pbs.twimg.com/profile_images/791921509547728896/fPLoe7xx_normal.jpg","View")</f>
        <v>View</v>
      </c>
      <c r="P507" s="27"/>
    </row>
    <row r="508">
      <c r="A508" s="19">
        <v>42704.417858796296</v>
      </c>
      <c r="B508" s="20" t="str">
        <f>HYPERLINK("https://twitter.com/swisshop4uEs","@swisshop4uEs")</f>
        <v>@swisshop4uEs</v>
      </c>
      <c r="C508" s="21" t="s">
        <v>48</v>
      </c>
      <c r="D508" s="21" t="s">
        <v>1156</v>
      </c>
      <c r="E508" s="22" t="str">
        <f>HYPERLINK("https://twitter.com/swisshop4uEs/status/803901814919852032","803901814919852032")</f>
        <v>803901814919852032</v>
      </c>
      <c r="F508" s="23" t="s">
        <v>50</v>
      </c>
      <c r="G508" s="24">
        <v>455.0</v>
      </c>
      <c r="H508" s="24">
        <v>424.0</v>
      </c>
      <c r="I508" s="24">
        <v>0.0</v>
      </c>
      <c r="J508" s="24">
        <v>0.0</v>
      </c>
      <c r="K508" s="23" t="s">
        <v>27</v>
      </c>
      <c r="L508" s="25">
        <v>41468.93072916666</v>
      </c>
      <c r="M508" s="26" t="s">
        <v>51</v>
      </c>
      <c r="N508" s="26" t="s">
        <v>52</v>
      </c>
      <c r="O508" s="22" t="str">
        <f>HYPERLINK("https://pbs.twimg.com/profile_images/378800000213382003/4f562b59f92995b884d2d440f71fc5ce_normal.png","View")</f>
        <v>View</v>
      </c>
      <c r="P508" s="27"/>
    </row>
    <row r="509">
      <c r="A509" s="19">
        <v>42704.41913194444</v>
      </c>
      <c r="B509" s="20" t="str">
        <f>HYPERLINK("https://twitter.com/BulaQuo","@BulaQuo")</f>
        <v>@BulaQuo</v>
      </c>
      <c r="C509" s="21" t="s">
        <v>1157</v>
      </c>
      <c r="D509" s="21" t="s">
        <v>1158</v>
      </c>
      <c r="E509" s="22" t="str">
        <f>HYPERLINK("https://twitter.com/BulaQuo/status/803902276603617280","803902276603617280")</f>
        <v>803902276603617280</v>
      </c>
      <c r="F509" s="23" t="s">
        <v>77</v>
      </c>
      <c r="G509" s="24">
        <v>1790.0</v>
      </c>
      <c r="H509" s="24">
        <v>1991.0</v>
      </c>
      <c r="I509" s="24">
        <v>0.0</v>
      </c>
      <c r="J509" s="24">
        <v>0.0</v>
      </c>
      <c r="K509" s="23" t="s">
        <v>27</v>
      </c>
      <c r="L509" s="25">
        <v>41015.418287037035</v>
      </c>
      <c r="M509" s="26" t="s">
        <v>1159</v>
      </c>
      <c r="N509" s="26" t="s">
        <v>1160</v>
      </c>
      <c r="O509" s="22" t="str">
        <f>HYPERLINK("https://pbs.twimg.com/profile_images/652397579418910721/FOCz2BMO_normal.jpg","View")</f>
        <v>View</v>
      </c>
      <c r="P509" s="27"/>
    </row>
    <row r="510">
      <c r="A510" s="19">
        <v>42704.41915509259</v>
      </c>
      <c r="B510" s="20" t="str">
        <f>HYPERLINK("https://twitter.com/BulaQuoMovieUSA","@BulaQuoMovieUSA")</f>
        <v>@BulaQuoMovieUSA</v>
      </c>
      <c r="C510" s="21" t="s">
        <v>1161</v>
      </c>
      <c r="D510" s="21" t="s">
        <v>1162</v>
      </c>
      <c r="E510" s="22" t="str">
        <f>HYPERLINK("https://twitter.com/BulaQuoMovieUSA/status/803902285772374016","803902285772374016")</f>
        <v>803902285772374016</v>
      </c>
      <c r="F510" s="23" t="s">
        <v>77</v>
      </c>
      <c r="G510" s="24">
        <v>1468.0</v>
      </c>
      <c r="H510" s="24">
        <v>2770.0</v>
      </c>
      <c r="I510" s="24">
        <v>0.0</v>
      </c>
      <c r="J510" s="24">
        <v>0.0</v>
      </c>
      <c r="K510" s="23" t="s">
        <v>27</v>
      </c>
      <c r="L510" s="25">
        <v>42230.372094907405</v>
      </c>
      <c r="M510" s="26" t="s">
        <v>1163</v>
      </c>
      <c r="N510" s="26" t="s">
        <v>1164</v>
      </c>
      <c r="O510" s="22" t="str">
        <f>HYPERLINK("https://pbs.twimg.com/profile_images/655396294127652864/ez4zcU7V_normal.jpg","View")</f>
        <v>View</v>
      </c>
      <c r="P510" s="27"/>
    </row>
    <row r="511">
      <c r="A511" s="19">
        <v>42704.41918981481</v>
      </c>
      <c r="B511" s="20" t="str">
        <f>HYPERLINK("https://twitter.com/ComposerShades","@ComposerShades")</f>
        <v>@ComposerShades</v>
      </c>
      <c r="C511" s="21" t="s">
        <v>128</v>
      </c>
      <c r="D511" s="21" t="s">
        <v>1165</v>
      </c>
      <c r="E511" s="22" t="str">
        <f>HYPERLINK("https://twitter.com/ComposerShades/status/803902299844255744","803902299844255744")</f>
        <v>803902299844255744</v>
      </c>
      <c r="F511" s="23" t="s">
        <v>77</v>
      </c>
      <c r="G511" s="24">
        <v>1827.0</v>
      </c>
      <c r="H511" s="24">
        <v>3691.0</v>
      </c>
      <c r="I511" s="24">
        <v>0.0</v>
      </c>
      <c r="J511" s="24">
        <v>0.0</v>
      </c>
      <c r="K511" s="23" t="s">
        <v>27</v>
      </c>
      <c r="L511" s="25">
        <v>42209.46724537037</v>
      </c>
      <c r="M511" s="26" t="s">
        <v>130</v>
      </c>
      <c r="N511" s="26" t="s">
        <v>131</v>
      </c>
      <c r="O511" s="22" t="str">
        <f>HYPERLINK("https://pbs.twimg.com/profile_images/783382917640781824/AqM_zAOY_normal.jpg","View")</f>
        <v>View</v>
      </c>
      <c r="P511" s="27"/>
    </row>
    <row r="512">
      <c r="A512" s="19">
        <v>42704.419224537036</v>
      </c>
      <c r="B512" s="20" t="str">
        <f>HYPERLINK("https://twitter.com/Doris_Blog","@Doris_Blog")</f>
        <v>@Doris_Blog</v>
      </c>
      <c r="C512" s="21" t="s">
        <v>125</v>
      </c>
      <c r="D512" s="21" t="s">
        <v>1166</v>
      </c>
      <c r="E512" s="22" t="str">
        <f>HYPERLINK("https://twitter.com/Doris_Blog/status/803902311265370112","803902311265370112")</f>
        <v>803902311265370112</v>
      </c>
      <c r="F512" s="23" t="s">
        <v>77</v>
      </c>
      <c r="G512" s="24">
        <v>2333.0</v>
      </c>
      <c r="H512" s="24">
        <v>3655.0</v>
      </c>
      <c r="I512" s="24">
        <v>0.0</v>
      </c>
      <c r="J512" s="24">
        <v>0.0</v>
      </c>
      <c r="K512" s="23" t="s">
        <v>27</v>
      </c>
      <c r="L512" s="25">
        <v>42095.21026620371</v>
      </c>
      <c r="M512" s="26" t="s">
        <v>119</v>
      </c>
      <c r="N512" s="26" t="s">
        <v>127</v>
      </c>
      <c r="O512" s="22" t="str">
        <f>HYPERLINK("https://pbs.twimg.com/profile_images/769621211911450624/O-JLlK5O_normal.jpg","View")</f>
        <v>View</v>
      </c>
      <c r="P512" s="27"/>
    </row>
    <row r="513">
      <c r="A513" s="19">
        <v>42704.41925925926</v>
      </c>
      <c r="B513" s="20" t="str">
        <f>HYPERLINK("https://twitter.com/DorisShades","@DorisShades")</f>
        <v>@DorisShades</v>
      </c>
      <c r="C513" s="21" t="s">
        <v>121</v>
      </c>
      <c r="D513" s="21" t="s">
        <v>1167</v>
      </c>
      <c r="E513" s="22" t="str">
        <f>HYPERLINK("https://twitter.com/DorisShades/status/803902323370102784","803902323370102784")</f>
        <v>803902323370102784</v>
      </c>
      <c r="F513" s="23" t="s">
        <v>77</v>
      </c>
      <c r="G513" s="24">
        <v>3693.0</v>
      </c>
      <c r="H513" s="24">
        <v>4432.0</v>
      </c>
      <c r="I513" s="24">
        <v>0.0</v>
      </c>
      <c r="J513" s="24">
        <v>0.0</v>
      </c>
      <c r="K513" s="23" t="s">
        <v>27</v>
      </c>
      <c r="L513" s="25">
        <v>42095.182499999995</v>
      </c>
      <c r="M513" s="26" t="s">
        <v>123</v>
      </c>
      <c r="N513" s="26" t="s">
        <v>124</v>
      </c>
      <c r="O513" s="22" t="str">
        <f>HYPERLINK("https://pbs.twimg.com/profile_images/777456052094791681/oTN7NDTr_normal.jpg","View")</f>
        <v>View</v>
      </c>
      <c r="P513" s="27"/>
    </row>
    <row r="514">
      <c r="A514" s="19">
        <v>42704.41928240741</v>
      </c>
      <c r="B514" s="20" t="str">
        <f>HYPERLINK("https://twitter.com/DorisVisits","@DorisVisits")</f>
        <v>@DorisVisits</v>
      </c>
      <c r="C514" s="21" t="s">
        <v>132</v>
      </c>
      <c r="D514" s="21" t="s">
        <v>1168</v>
      </c>
      <c r="E514" s="22" t="str">
        <f>HYPERLINK("https://twitter.com/DorisVisits/status/803902333239357440","803902333239357440")</f>
        <v>803902333239357440</v>
      </c>
      <c r="F514" s="23" t="s">
        <v>77</v>
      </c>
      <c r="G514" s="24">
        <v>3046.0</v>
      </c>
      <c r="H514" s="24">
        <v>4501.0</v>
      </c>
      <c r="I514" s="24">
        <v>0.0</v>
      </c>
      <c r="J514" s="24">
        <v>2.0</v>
      </c>
      <c r="K514" s="23" t="s">
        <v>27</v>
      </c>
      <c r="L514" s="25">
        <v>42330.5372337963</v>
      </c>
      <c r="M514" s="26" t="s">
        <v>134</v>
      </c>
      <c r="N514" s="26" t="s">
        <v>135</v>
      </c>
      <c r="O514" s="22" t="str">
        <f>HYPERLINK("https://pbs.twimg.com/profile_images/668416648211222529/-2knYf0__normal.jpg","View")</f>
        <v>View</v>
      </c>
      <c r="P514" s="27"/>
    </row>
    <row r="515">
      <c r="A515" s="19">
        <v>42704.41930555555</v>
      </c>
      <c r="B515" s="20" t="str">
        <f>HYPERLINK("https://twitter.com/DorisVisitsUK","@DorisVisitsUK")</f>
        <v>@DorisVisitsUK</v>
      </c>
      <c r="C515" s="21" t="s">
        <v>437</v>
      </c>
      <c r="D515" s="21" t="s">
        <v>1169</v>
      </c>
      <c r="E515" s="22" t="str">
        <f>HYPERLINK("https://twitter.com/DorisVisitsUK/status/803902341481111553","803902341481111553")</f>
        <v>803902341481111553</v>
      </c>
      <c r="F515" s="23" t="s">
        <v>77</v>
      </c>
      <c r="G515" s="24">
        <v>2647.0</v>
      </c>
      <c r="H515" s="24">
        <v>3792.0</v>
      </c>
      <c r="I515" s="24">
        <v>0.0</v>
      </c>
      <c r="J515" s="24">
        <v>0.0</v>
      </c>
      <c r="K515" s="23" t="s">
        <v>27</v>
      </c>
      <c r="L515" s="25">
        <v>42095.200590277775</v>
      </c>
      <c r="M515" s="26" t="s">
        <v>119</v>
      </c>
      <c r="N515" s="26" t="s">
        <v>439</v>
      </c>
      <c r="O515" s="22" t="str">
        <f>HYPERLINK("https://pbs.twimg.com/profile_images/777545822254825472/0-x9uu3s_normal.jpg","View")</f>
        <v>View</v>
      </c>
      <c r="P515" s="27"/>
    </row>
    <row r="516">
      <c r="A516" s="19">
        <v>42704.41935185185</v>
      </c>
      <c r="B516" s="20" t="str">
        <f>HYPERLINK("https://twitter.com/FilmCheatGuide","@FilmCheatGuide")</f>
        <v>@FilmCheatGuide</v>
      </c>
      <c r="C516" s="21" t="s">
        <v>1170</v>
      </c>
      <c r="D516" s="21" t="s">
        <v>1171</v>
      </c>
      <c r="E516" s="22" t="str">
        <f>HYPERLINK("https://twitter.com/FilmCheatGuide/status/803902358539345923","803902358539345923")</f>
        <v>803902358539345923</v>
      </c>
      <c r="F516" s="23" t="s">
        <v>77</v>
      </c>
      <c r="G516" s="24">
        <v>2511.0</v>
      </c>
      <c r="H516" s="24">
        <v>4490.0</v>
      </c>
      <c r="I516" s="24">
        <v>0.0</v>
      </c>
      <c r="J516" s="24">
        <v>1.0</v>
      </c>
      <c r="K516" s="23" t="s">
        <v>27</v>
      </c>
      <c r="L516" s="25">
        <v>42235.48841435185</v>
      </c>
      <c r="M516" s="26" t="s">
        <v>1172</v>
      </c>
      <c r="N516" s="26" t="s">
        <v>1173</v>
      </c>
      <c r="O516" s="22" t="str">
        <f>HYPERLINK("https://pbs.twimg.com/profile_images/633973215384223745/lkA98fRS_normal.jpg","View")</f>
        <v>View</v>
      </c>
      <c r="P516" s="27"/>
    </row>
    <row r="517">
      <c r="A517" s="19">
        <v>42704.41939814815</v>
      </c>
      <c r="B517" s="20" t="str">
        <f>HYPERLINK("https://twitter.com/Freightmovie","@Freightmovie")</f>
        <v>@Freightmovie</v>
      </c>
      <c r="C517" s="21" t="s">
        <v>1174</v>
      </c>
      <c r="D517" s="21" t="s">
        <v>1175</v>
      </c>
      <c r="E517" s="22" t="str">
        <f>HYPERLINK("https://twitter.com/Freightmovie/status/803902374725251073","803902374725251073")</f>
        <v>803902374725251073</v>
      </c>
      <c r="F517" s="23" t="s">
        <v>77</v>
      </c>
      <c r="G517" s="24">
        <v>692.0</v>
      </c>
      <c r="H517" s="24">
        <v>779.0</v>
      </c>
      <c r="I517" s="24">
        <v>1.0</v>
      </c>
      <c r="J517" s="24">
        <v>1.0</v>
      </c>
      <c r="K517" s="23" t="s">
        <v>27</v>
      </c>
      <c r="L517" s="25">
        <v>42230.3499537037</v>
      </c>
      <c r="M517" s="26" t="s">
        <v>1176</v>
      </c>
      <c r="N517" s="26" t="s">
        <v>1177</v>
      </c>
      <c r="O517" s="22" t="str">
        <f>HYPERLINK("https://pbs.twimg.com/profile_images/635723237780013056/Gk_5eJ-F_normal.jpg","View")</f>
        <v>View</v>
      </c>
      <c r="P517" s="27"/>
    </row>
    <row r="518">
      <c r="A518" s="19">
        <v>42704.419432870374</v>
      </c>
      <c r="B518" s="20" t="str">
        <f>HYPERLINK("https://twitter.com/GuestActorShade","@GuestActorShade")</f>
        <v>@GuestActorShade</v>
      </c>
      <c r="C518" s="21" t="s">
        <v>441</v>
      </c>
      <c r="D518" s="21" t="s">
        <v>1178</v>
      </c>
      <c r="E518" s="22" t="str">
        <f>HYPERLINK("https://twitter.com/GuestActorShade/status/803902385991127044","803902385991127044")</f>
        <v>803902385991127044</v>
      </c>
      <c r="F518" s="23" t="s">
        <v>77</v>
      </c>
      <c r="G518" s="24">
        <v>739.0</v>
      </c>
      <c r="H518" s="24">
        <v>2374.0</v>
      </c>
      <c r="I518" s="24">
        <v>0.0</v>
      </c>
      <c r="J518" s="24">
        <v>0.0</v>
      </c>
      <c r="K518" s="23" t="s">
        <v>27</v>
      </c>
      <c r="L518" s="25">
        <v>42215.31605324074</v>
      </c>
      <c r="M518" s="26" t="s">
        <v>130</v>
      </c>
      <c r="N518" s="26" t="s">
        <v>443</v>
      </c>
      <c r="O518" s="22" t="str">
        <f>HYPERLINK("https://pbs.twimg.com/profile_images/777552444800765952/Vo7e7swC_normal.jpg","View")</f>
        <v>View</v>
      </c>
      <c r="P518" s="27"/>
    </row>
    <row r="519">
      <c r="A519" s="19">
        <v>42704.41945601851</v>
      </c>
      <c r="B519" s="20" t="str">
        <f>HYPERLINK("https://twitter.com/Shades_Of_Bad_","@Shades_Of_Bad_")</f>
        <v>@Shades_Of_Bad_</v>
      </c>
      <c r="C519" s="21" t="s">
        <v>117</v>
      </c>
      <c r="D519" s="21" t="s">
        <v>1179</v>
      </c>
      <c r="E519" s="22" t="str">
        <f>HYPERLINK("https://twitter.com/Shades_Of_Bad_/status/803902393826111488","803902393826111488")</f>
        <v>803902393826111488</v>
      </c>
      <c r="F519" s="23" t="s">
        <v>77</v>
      </c>
      <c r="G519" s="24">
        <v>3899.0</v>
      </c>
      <c r="H519" s="24">
        <v>4395.0</v>
      </c>
      <c r="I519" s="24">
        <v>0.0</v>
      </c>
      <c r="J519" s="24">
        <v>0.0</v>
      </c>
      <c r="K519" s="23" t="s">
        <v>27</v>
      </c>
      <c r="L519" s="25">
        <v>42095.20612268518</v>
      </c>
      <c r="M519" s="26" t="s">
        <v>119</v>
      </c>
      <c r="N519" s="26" t="s">
        <v>120</v>
      </c>
      <c r="O519" s="22" t="str">
        <f>HYPERLINK("https://pbs.twimg.com/profile_images/605126470994903041/ANadzfFp_normal.jpg","View")</f>
        <v>View</v>
      </c>
      <c r="P519" s="27"/>
    </row>
    <row r="520">
      <c r="A520" s="19">
        <v>42704.41949074074</v>
      </c>
      <c r="B520" s="20" t="str">
        <f>HYPERLINK("https://twitter.com/ShadesDirector","@ShadesDirector")</f>
        <v>@ShadesDirector</v>
      </c>
      <c r="C520" s="21" t="s">
        <v>444</v>
      </c>
      <c r="D520" s="21" t="s">
        <v>1180</v>
      </c>
      <c r="E520" s="22" t="str">
        <f>HYPERLINK("https://twitter.com/ShadesDirector/status/803902406077595648","803902406077595648")</f>
        <v>803902406077595648</v>
      </c>
      <c r="F520" s="23" t="s">
        <v>77</v>
      </c>
      <c r="G520" s="24">
        <v>2731.0</v>
      </c>
      <c r="H520" s="24">
        <v>3129.0</v>
      </c>
      <c r="I520" s="24">
        <v>0.0</v>
      </c>
      <c r="J520" s="24">
        <v>0.0</v>
      </c>
      <c r="K520" s="23" t="s">
        <v>27</v>
      </c>
      <c r="L520" s="25">
        <v>42231.6780787037</v>
      </c>
      <c r="M520" s="28"/>
      <c r="N520" s="26" t="s">
        <v>446</v>
      </c>
      <c r="O520" s="22" t="str">
        <f>HYPERLINK("https://pbs.twimg.com/profile_images/769622463344959489/FhJxVtM2_normal.jpg","View")</f>
        <v>View</v>
      </c>
      <c r="P520" s="27"/>
    </row>
    <row r="521">
      <c r="A521" s="19">
        <v>42704.419537037036</v>
      </c>
      <c r="B521" s="20" t="str">
        <f>HYPERLINK("https://twitter.com/My_World4travel","@My_World4travel")</f>
        <v>@My_World4travel</v>
      </c>
      <c r="C521" s="21" t="s">
        <v>1141</v>
      </c>
      <c r="D521" s="21" t="s">
        <v>1181</v>
      </c>
      <c r="E521" s="22" t="str">
        <f>HYPERLINK("https://twitter.com/My_World4travel/status/803902422653562880","803902422653562880")</f>
        <v>803902422653562880</v>
      </c>
      <c r="F521" s="23" t="s">
        <v>41</v>
      </c>
      <c r="G521" s="24">
        <v>0.0</v>
      </c>
      <c r="H521" s="24">
        <v>4.0</v>
      </c>
      <c r="I521" s="24">
        <v>0.0</v>
      </c>
      <c r="J521" s="24">
        <v>1.0</v>
      </c>
      <c r="K521" s="23" t="s">
        <v>27</v>
      </c>
      <c r="L521" s="25">
        <v>40684.41690972222</v>
      </c>
      <c r="M521" s="28"/>
      <c r="N521" s="26" t="s">
        <v>1143</v>
      </c>
      <c r="O521" s="22" t="str">
        <f>HYPERLINK("https://pbs.twimg.com/profile_images/803898376676933633/N58_zDyC_normal.jpg","View")</f>
        <v>View</v>
      </c>
      <c r="P521" s="27"/>
    </row>
    <row r="522">
      <c r="A522" s="19">
        <v>42704.42</v>
      </c>
      <c r="B522" s="20" t="str">
        <f>HYPERLINK("https://twitter.com/johnmacleod19","@johnmacleod19")</f>
        <v>@johnmacleod19</v>
      </c>
      <c r="C522" s="21" t="s">
        <v>1182</v>
      </c>
      <c r="D522" s="21" t="s">
        <v>1183</v>
      </c>
      <c r="E522" s="22" t="str">
        <f>HYPERLINK("https://twitter.com/johnmacleod19/status/803902591872724993","803902591872724993")</f>
        <v>803902591872724993</v>
      </c>
      <c r="F522" s="23" t="s">
        <v>37</v>
      </c>
      <c r="G522" s="24">
        <v>8219.0</v>
      </c>
      <c r="H522" s="24">
        <v>8766.0</v>
      </c>
      <c r="I522" s="24">
        <v>1.0</v>
      </c>
      <c r="J522" s="24">
        <v>0.0</v>
      </c>
      <c r="K522" s="23" t="s">
        <v>27</v>
      </c>
      <c r="L522" s="25">
        <v>41166.029074074075</v>
      </c>
      <c r="M522" s="26" t="s">
        <v>1184</v>
      </c>
      <c r="N522" s="26" t="s">
        <v>1185</v>
      </c>
      <c r="O522" s="22" t="str">
        <f>HYPERLINK("https://pbs.twimg.com/profile_images/796444732129820672/NbXbDSv4_normal.jpg","View")</f>
        <v>View</v>
      </c>
      <c r="P522" s="27"/>
    </row>
    <row r="523">
      <c r="A523" s="19">
        <v>42704.42605324074</v>
      </c>
      <c r="B523" s="20" t="str">
        <f>HYPERLINK("https://twitter.com/ShopAfortunadas","@ShopAfortunadas")</f>
        <v>@ShopAfortunadas</v>
      </c>
      <c r="C523" s="21" t="s">
        <v>143</v>
      </c>
      <c r="D523" s="21" t="s">
        <v>1186</v>
      </c>
      <c r="E523" s="22" t="str">
        <f>HYPERLINK("https://twitter.com/ShopAfortunadas/status/803904787142103040","803904787142103040")</f>
        <v>803904787142103040</v>
      </c>
      <c r="F523" s="23" t="s">
        <v>81</v>
      </c>
      <c r="G523" s="24">
        <v>187.0</v>
      </c>
      <c r="H523" s="24">
        <v>240.0</v>
      </c>
      <c r="I523" s="24">
        <v>0.0</v>
      </c>
      <c r="J523" s="24">
        <v>1.0</v>
      </c>
      <c r="K523" s="23" t="s">
        <v>27</v>
      </c>
      <c r="L523" s="25">
        <v>41772.625543981485</v>
      </c>
      <c r="M523" s="26" t="s">
        <v>42</v>
      </c>
      <c r="N523" s="26" t="s">
        <v>145</v>
      </c>
      <c r="O523" s="22" t="str">
        <f>HYPERLINK("https://pbs.twimg.com/profile_images/679251177305972736/xtBJP7kS_normal.jpg","View")</f>
        <v>View</v>
      </c>
      <c r="P523" s="27"/>
    </row>
    <row r="524">
      <c r="A524" s="19">
        <v>42704.426666666666</v>
      </c>
      <c r="B524" s="20" t="str">
        <f>HYPERLINK("https://twitter.com/ebook_travel","@ebook_travel")</f>
        <v>@ebook_travel</v>
      </c>
      <c r="C524" s="21" t="s">
        <v>290</v>
      </c>
      <c r="D524" s="21" t="s">
        <v>1187</v>
      </c>
      <c r="E524" s="22" t="str">
        <f>HYPERLINK("https://twitter.com/ebook_travel/status/803905009222111232","803905009222111232")</f>
        <v>803905009222111232</v>
      </c>
      <c r="F524" s="23" t="s">
        <v>401</v>
      </c>
      <c r="G524" s="24">
        <v>10366.0</v>
      </c>
      <c r="H524" s="24">
        <v>6407.0</v>
      </c>
      <c r="I524" s="24">
        <v>0.0</v>
      </c>
      <c r="J524" s="24">
        <v>1.0</v>
      </c>
      <c r="K524" s="23" t="s">
        <v>27</v>
      </c>
      <c r="L524" s="25">
        <v>40307.68127314815</v>
      </c>
      <c r="M524" s="26" t="s">
        <v>292</v>
      </c>
      <c r="N524" s="26" t="s">
        <v>293</v>
      </c>
      <c r="O524" s="22" t="str">
        <f>HYPERLINK("https://pbs.twimg.com/profile_images/506732081079013377/VmrRkhPe_normal.jpeg","View")</f>
        <v>View</v>
      </c>
      <c r="P524" s="27"/>
    </row>
    <row r="525">
      <c r="A525" s="19">
        <v>42704.43747685185</v>
      </c>
      <c r="B525" s="20" t="str">
        <f>HYPERLINK("https://twitter.com/travelsupport7","@travelsupport7")</f>
        <v>@travelsupport7</v>
      </c>
      <c r="C525" s="21" t="s">
        <v>357</v>
      </c>
      <c r="D525" s="21" t="s">
        <v>1188</v>
      </c>
      <c r="E525" s="22" t="str">
        <f>HYPERLINK("https://twitter.com/travelsupport7/status/803908925460516864","803908925460516864")</f>
        <v>803908925460516864</v>
      </c>
      <c r="F525" s="23" t="s">
        <v>26</v>
      </c>
      <c r="G525" s="24">
        <v>423.0</v>
      </c>
      <c r="H525" s="24">
        <v>355.0</v>
      </c>
      <c r="I525" s="24">
        <v>0.0</v>
      </c>
      <c r="J525" s="24">
        <v>1.0</v>
      </c>
      <c r="K525" s="23" t="s">
        <v>27</v>
      </c>
      <c r="L525" s="25">
        <v>42155.61892361111</v>
      </c>
      <c r="M525" s="26" t="s">
        <v>359</v>
      </c>
      <c r="N525" s="26" t="s">
        <v>360</v>
      </c>
      <c r="O525" s="22" t="str">
        <f>HYPERLINK("https://pbs.twimg.com/profile_images/739756655391481857/1iOj5jcg_normal.jpg","View")</f>
        <v>View</v>
      </c>
      <c r="P525" s="27"/>
    </row>
    <row r="526">
      <c r="A526" s="19">
        <v>42704.43807870371</v>
      </c>
      <c r="B526" s="20" t="str">
        <f>HYPERLINK("https://twitter.com/LanzMarathon","@LanzMarathon")</f>
        <v>@LanzMarathon</v>
      </c>
      <c r="C526" s="21" t="s">
        <v>1189</v>
      </c>
      <c r="D526" s="21" t="s">
        <v>1190</v>
      </c>
      <c r="E526" s="22" t="str">
        <f>HYPERLINK("https://twitter.com/LanzMarathon/status/803909144155684864","803909144155684864")</f>
        <v>803909144155684864</v>
      </c>
      <c r="F526" s="23" t="s">
        <v>26</v>
      </c>
      <c r="G526" s="24">
        <v>2574.0</v>
      </c>
      <c r="H526" s="24">
        <v>1518.0</v>
      </c>
      <c r="I526" s="24">
        <v>3.0</v>
      </c>
      <c r="J526" s="24">
        <v>9.0</v>
      </c>
      <c r="K526" s="23" t="s">
        <v>27</v>
      </c>
      <c r="L526" s="25">
        <v>40822.45189814815</v>
      </c>
      <c r="M526" s="26" t="s">
        <v>33</v>
      </c>
      <c r="N526" s="26" t="s">
        <v>1191</v>
      </c>
      <c r="O526" s="22" t="str">
        <f>HYPERLINK("https://pbs.twimg.com/profile_images/499159000076648449/QOv5P43Q_normal.png","View")</f>
        <v>View</v>
      </c>
      <c r="P526" s="27"/>
    </row>
    <row r="527">
      <c r="A527" s="19">
        <v>42704.44144675926</v>
      </c>
      <c r="B527" s="20" t="str">
        <f>HYPERLINK("https://twitter.com/Sunbonoo","@Sunbonoo")</f>
        <v>@Sunbonoo</v>
      </c>
      <c r="C527" s="21" t="s">
        <v>1192</v>
      </c>
      <c r="D527" s="21" t="s">
        <v>1193</v>
      </c>
      <c r="E527" s="22" t="str">
        <f>HYPERLINK("https://twitter.com/Sunbonoo/status/803910364832428032","803910364832428032")</f>
        <v>803910364832428032</v>
      </c>
      <c r="F527" s="23" t="s">
        <v>37</v>
      </c>
      <c r="G527" s="24">
        <v>625.0</v>
      </c>
      <c r="H527" s="24">
        <v>1109.0</v>
      </c>
      <c r="I527" s="24">
        <v>0.0</v>
      </c>
      <c r="J527" s="24">
        <v>3.0</v>
      </c>
      <c r="K527" s="23" t="s">
        <v>27</v>
      </c>
      <c r="L527" s="25">
        <v>41013.81855324074</v>
      </c>
      <c r="M527" s="26" t="s">
        <v>1194</v>
      </c>
      <c r="N527" s="26" t="s">
        <v>1195</v>
      </c>
      <c r="O527" s="22" t="str">
        <f>HYPERLINK("https://pbs.twimg.com/profile_images/2120421138/logo_normal.jpg","View")</f>
        <v>View</v>
      </c>
      <c r="P527" s="27"/>
    </row>
    <row r="528">
      <c r="A528" s="19">
        <v>42704.44615740741</v>
      </c>
      <c r="B528" s="20" t="str">
        <f>HYPERLINK("https://twitter.com/UCAmIIWAAL","@UCAmIIWAAL")</f>
        <v>@UCAmIIWAAL</v>
      </c>
      <c r="C528" s="21" t="s">
        <v>1196</v>
      </c>
      <c r="D528" s="21" t="s">
        <v>1197</v>
      </c>
      <c r="E528" s="22" t="str">
        <f>HYPERLINK("https://twitter.com/UCAmIIWAAL/status/803912073608568832","803912073608568832")</f>
        <v>803912073608568832</v>
      </c>
      <c r="F528" s="23" t="s">
        <v>41</v>
      </c>
      <c r="G528" s="24">
        <v>72.0</v>
      </c>
      <c r="H528" s="24">
        <v>13.0</v>
      </c>
      <c r="I528" s="24">
        <v>1.0</v>
      </c>
      <c r="J528" s="24">
        <v>0.0</v>
      </c>
      <c r="K528" s="23" t="s">
        <v>27</v>
      </c>
      <c r="L528" s="25">
        <v>40895.47292824074</v>
      </c>
      <c r="M528" s="28"/>
      <c r="N528" s="26" t="s">
        <v>1198</v>
      </c>
      <c r="O528" s="22" t="str">
        <f>HYPERLINK("https://pbs.twimg.com/profile_images/713310925701427200/i_WxL0Us_normal.jpg","View")</f>
        <v>View</v>
      </c>
      <c r="P528" s="27"/>
    </row>
    <row r="529">
      <c r="A529" s="19">
        <v>42704.44677083333</v>
      </c>
      <c r="B529" s="20" t="str">
        <f>HYPERLINK("https://twitter.com/jubileejase","@jubileejase")</f>
        <v>@jubileejase</v>
      </c>
      <c r="C529" s="21" t="s">
        <v>1199</v>
      </c>
      <c r="D529" s="21" t="s">
        <v>1200</v>
      </c>
      <c r="E529" s="22" t="str">
        <f>HYPERLINK("https://twitter.com/jubileejase/status/803912294438752256","803912294438752256")</f>
        <v>803912294438752256</v>
      </c>
      <c r="F529" s="23" t="s">
        <v>41</v>
      </c>
      <c r="G529" s="24">
        <v>44.0</v>
      </c>
      <c r="H529" s="24">
        <v>314.0</v>
      </c>
      <c r="I529" s="24">
        <v>2.0</v>
      </c>
      <c r="J529" s="24">
        <v>0.0</v>
      </c>
      <c r="K529" s="23" t="s">
        <v>27</v>
      </c>
      <c r="L529" s="25">
        <v>40213.19590277778</v>
      </c>
      <c r="M529" s="26" t="s">
        <v>1201</v>
      </c>
      <c r="N529" s="26" t="s">
        <v>1202</v>
      </c>
      <c r="O529" s="22" t="str">
        <f>HYPERLINK("https://pbs.twimg.com/profile_images/755957416328589312/lGUt4SYA_normal.jpg","View")</f>
        <v>View</v>
      </c>
      <c r="P529" s="27"/>
    </row>
    <row r="530">
      <c r="A530" s="19">
        <v>42704.45028935185</v>
      </c>
      <c r="B530" s="20" t="str">
        <f>HYPERLINK("https://twitter.com/UCAmIIWAAL","@UCAmIIWAAL")</f>
        <v>@UCAmIIWAAL</v>
      </c>
      <c r="C530" s="21" t="s">
        <v>1196</v>
      </c>
      <c r="D530" s="21" t="s">
        <v>1203</v>
      </c>
      <c r="E530" s="22" t="str">
        <f>HYPERLINK("https://twitter.com/UCAmIIWAAL/status/803913569708494848","803913569708494848")</f>
        <v>803913569708494848</v>
      </c>
      <c r="F530" s="23" t="s">
        <v>41</v>
      </c>
      <c r="G530" s="24">
        <v>72.0</v>
      </c>
      <c r="H530" s="24">
        <v>13.0</v>
      </c>
      <c r="I530" s="24">
        <v>1.0</v>
      </c>
      <c r="J530" s="24">
        <v>3.0</v>
      </c>
      <c r="K530" s="23" t="s">
        <v>27</v>
      </c>
      <c r="L530" s="25">
        <v>40895.47292824074</v>
      </c>
      <c r="M530" s="28"/>
      <c r="N530" s="26" t="s">
        <v>1198</v>
      </c>
      <c r="O530" s="22" t="str">
        <f>HYPERLINK("https://pbs.twimg.com/profile_images/713310925701427200/i_WxL0Us_normal.jpg","View")</f>
        <v>View</v>
      </c>
      <c r="P530" s="27"/>
    </row>
    <row r="531">
      <c r="A531" s="19">
        <v>42704.45212962963</v>
      </c>
      <c r="B531" s="20" t="str">
        <f>HYPERLINK("https://twitter.com/AlexBramwellGC","@AlexBramwellGC")</f>
        <v>@AlexBramwellGC</v>
      </c>
      <c r="C531" s="21" t="s">
        <v>475</v>
      </c>
      <c r="D531" s="21" t="s">
        <v>1204</v>
      </c>
      <c r="E531" s="22" t="str">
        <f>HYPERLINK("https://twitter.com/AlexBramwellGC/status/803914234979618816","803914234979618816")</f>
        <v>803914234979618816</v>
      </c>
      <c r="F531" s="23" t="s">
        <v>167</v>
      </c>
      <c r="G531" s="24">
        <v>4023.0</v>
      </c>
      <c r="H531" s="24">
        <v>2573.0</v>
      </c>
      <c r="I531" s="24">
        <v>1.0</v>
      </c>
      <c r="J531" s="24">
        <v>2.0</v>
      </c>
      <c r="K531" s="23" t="s">
        <v>27</v>
      </c>
      <c r="L531" s="25">
        <v>40233.01298611111</v>
      </c>
      <c r="M531" s="26" t="s">
        <v>477</v>
      </c>
      <c r="N531" s="26" t="s">
        <v>478</v>
      </c>
      <c r="O531" s="22" t="str">
        <f>HYPERLINK("https://pbs.twimg.com/profile_images/657142929920794624/Z8UQpOEp_normal.jpg","View")</f>
        <v>View</v>
      </c>
      <c r="P531" s="27"/>
    </row>
    <row r="532">
      <c r="A532" s="19">
        <v>42704.45324074074</v>
      </c>
      <c r="B532" s="20" t="str">
        <f>HYPERLINK("https://twitter.com/AineDempsey","@AineDempsey")</f>
        <v>@AineDempsey</v>
      </c>
      <c r="C532" s="21" t="s">
        <v>1205</v>
      </c>
      <c r="D532" s="21" t="s">
        <v>1206</v>
      </c>
      <c r="E532" s="22" t="str">
        <f>HYPERLINK("https://twitter.com/AineDempsey/status/803914639880896512","803914639880896512")</f>
        <v>803914639880896512</v>
      </c>
      <c r="F532" s="23" t="s">
        <v>26</v>
      </c>
      <c r="G532" s="24">
        <v>1134.0</v>
      </c>
      <c r="H532" s="24">
        <v>2031.0</v>
      </c>
      <c r="I532" s="24">
        <v>0.0</v>
      </c>
      <c r="J532" s="24">
        <v>3.0</v>
      </c>
      <c r="K532" s="23" t="s">
        <v>27</v>
      </c>
      <c r="L532" s="25">
        <v>40036.03545138889</v>
      </c>
      <c r="M532" s="26" t="s">
        <v>1207</v>
      </c>
      <c r="N532" s="26" t="s">
        <v>1208</v>
      </c>
      <c r="O532" s="22" t="str">
        <f>HYPERLINK("https://pbs.twimg.com/profile_images/758043605919526912/bnjLT_0I_normal.jpg","View")</f>
        <v>View</v>
      </c>
      <c r="P532" s="27"/>
    </row>
    <row r="533">
      <c r="A533" s="19">
        <v>42704.45400462963</v>
      </c>
      <c r="B533" s="20" t="str">
        <f>HYPERLINK("https://twitter.com/AbuTF_telde","@AbuTF_telde")</f>
        <v>@AbuTF_telde</v>
      </c>
      <c r="C533" s="21" t="s">
        <v>1209</v>
      </c>
      <c r="D533" s="21" t="s">
        <v>983</v>
      </c>
      <c r="E533" s="22" t="str">
        <f>HYPERLINK("https://twitter.com/AbuTF_telde/status/803914914838577152","803914914838577152")</f>
        <v>803914914838577152</v>
      </c>
      <c r="F533" s="23" t="s">
        <v>41</v>
      </c>
      <c r="G533" s="24">
        <v>155.0</v>
      </c>
      <c r="H533" s="24">
        <v>316.0</v>
      </c>
      <c r="I533" s="24">
        <v>190.0</v>
      </c>
      <c r="J533" s="24">
        <v>0.0</v>
      </c>
      <c r="K533" s="23" t="s">
        <v>27</v>
      </c>
      <c r="L533" s="25">
        <v>41579.426666666666</v>
      </c>
      <c r="M533" s="26" t="s">
        <v>1210</v>
      </c>
      <c r="N533" s="26" t="s">
        <v>1211</v>
      </c>
      <c r="O533" s="22" t="str">
        <f>HYPERLINK("https://pbs.twimg.com/profile_images/666188641602043904/W_gPkXeG_normal.jpg","View")</f>
        <v>View</v>
      </c>
      <c r="P533" s="27"/>
    </row>
    <row r="534">
      <c r="A534" s="19">
        <v>42704.45616898148</v>
      </c>
      <c r="B534" s="20" t="str">
        <f>HYPERLINK("https://twitter.com/Dy____","@Dy____")</f>
        <v>@Dy____</v>
      </c>
      <c r="C534" s="21" t="s">
        <v>1212</v>
      </c>
      <c r="D534" s="21" t="s">
        <v>1213</v>
      </c>
      <c r="E534" s="22" t="str">
        <f>HYPERLINK("https://twitter.com/Dy____/status/803915701559894016","803915701559894016")</f>
        <v>803915701559894016</v>
      </c>
      <c r="F534" s="23" t="s">
        <v>41</v>
      </c>
      <c r="G534" s="24">
        <v>45.0</v>
      </c>
      <c r="H534" s="24">
        <v>124.0</v>
      </c>
      <c r="I534" s="24">
        <v>1.0</v>
      </c>
      <c r="J534" s="24">
        <v>0.0</v>
      </c>
      <c r="K534" s="23" t="s">
        <v>27</v>
      </c>
      <c r="L534" s="25">
        <v>40785.745104166665</v>
      </c>
      <c r="M534" s="28"/>
      <c r="N534" s="28"/>
      <c r="O534" s="22" t="str">
        <f>HYPERLINK("https://pbs.twimg.com/profile_images/1547306345/image_normal.jpg","View")</f>
        <v>View</v>
      </c>
      <c r="P534" s="27"/>
    </row>
    <row r="535">
      <c r="A535" s="19">
        <v>42704.45835648148</v>
      </c>
      <c r="B535" s="20" t="str">
        <f>HYPERLINK("https://twitter.com/Monaco_Beach","@Monaco_Beach")</f>
        <v>@Monaco_Beach</v>
      </c>
      <c r="C535" s="21" t="s">
        <v>1214</v>
      </c>
      <c r="D535" s="21" t="s">
        <v>1215</v>
      </c>
      <c r="E535" s="22" t="str">
        <f>HYPERLINK("https://twitter.com/Monaco_Beach/status/803916492035211264","803916492035211264")</f>
        <v>803916492035211264</v>
      </c>
      <c r="F535" s="23" t="s">
        <v>37</v>
      </c>
      <c r="G535" s="24">
        <v>1547.0</v>
      </c>
      <c r="H535" s="24">
        <v>4971.0</v>
      </c>
      <c r="I535" s="24">
        <v>0.0</v>
      </c>
      <c r="J535" s="24">
        <v>2.0</v>
      </c>
      <c r="K535" s="23" t="s">
        <v>27</v>
      </c>
      <c r="L535" s="25">
        <v>40576.529699074075</v>
      </c>
      <c r="M535" s="26" t="s">
        <v>1216</v>
      </c>
      <c r="N535" s="26" t="s">
        <v>1217</v>
      </c>
      <c r="O535" s="22" t="str">
        <f>HYPERLINK("https://pbs.twimg.com/profile_images/757231951577219073/RHd31C5i_normal.jpg","View")</f>
        <v>View</v>
      </c>
      <c r="P535" s="27"/>
    </row>
    <row r="536">
      <c r="A536" s="19">
        <v>42704.460185185184</v>
      </c>
      <c r="B536" s="20" t="str">
        <f>HYPERLINK("https://twitter.com/BodegaPenitente","@BodegaPenitente")</f>
        <v>@BodegaPenitente</v>
      </c>
      <c r="C536" s="21" t="s">
        <v>1218</v>
      </c>
      <c r="D536" s="21" t="s">
        <v>1219</v>
      </c>
      <c r="E536" s="22" t="str">
        <f>HYPERLINK("https://twitter.com/BodegaPenitente/status/803917154693292032","803917154693292032")</f>
        <v>803917154693292032</v>
      </c>
      <c r="F536" s="23" t="s">
        <v>59</v>
      </c>
      <c r="G536" s="24">
        <v>408.0</v>
      </c>
      <c r="H536" s="24">
        <v>106.0</v>
      </c>
      <c r="I536" s="24">
        <v>0.0</v>
      </c>
      <c r="J536" s="24">
        <v>1.0</v>
      </c>
      <c r="K536" s="23" t="s">
        <v>27</v>
      </c>
      <c r="L536" s="25">
        <v>40764.47072916667</v>
      </c>
      <c r="M536" s="26" t="s">
        <v>1220</v>
      </c>
      <c r="N536" s="26" t="s">
        <v>1221</v>
      </c>
      <c r="O536" s="22" t="str">
        <f>HYPERLINK("https://pbs.twimg.com/profile_images/1486122850/logo_el_penitente_fondo_burdeos_normal.jpg","View")</f>
        <v>View</v>
      </c>
      <c r="P536" s="27"/>
    </row>
    <row r="537">
      <c r="A537" s="19">
        <v>42704.46277777778</v>
      </c>
      <c r="B537" s="20" t="str">
        <f>HYPERLINK("https://twitter.com/SiamDrago","@SiamDrago")</f>
        <v>@SiamDrago</v>
      </c>
      <c r="C537" s="21" t="s">
        <v>1222</v>
      </c>
      <c r="D537" s="21" t="s">
        <v>1223</v>
      </c>
      <c r="E537" s="22" t="str">
        <f>HYPERLINK("https://twitter.com/SiamDrago/status/803918093454020608","803918093454020608")</f>
        <v>803918093454020608</v>
      </c>
      <c r="F537" s="23" t="s">
        <v>37</v>
      </c>
      <c r="G537" s="24">
        <v>42.0</v>
      </c>
      <c r="H537" s="24">
        <v>182.0</v>
      </c>
      <c r="I537" s="24">
        <v>0.0</v>
      </c>
      <c r="J537" s="24">
        <v>0.0</v>
      </c>
      <c r="K537" s="23" t="s">
        <v>27</v>
      </c>
      <c r="L537" s="25">
        <v>42440.423159722224</v>
      </c>
      <c r="M537" s="26" t="s">
        <v>1224</v>
      </c>
      <c r="N537" s="26" t="s">
        <v>1225</v>
      </c>
      <c r="O537" s="22" t="str">
        <f>HYPERLINK("https://pbs.twimg.com/profile_images/708234097152421888/js-q__EL_normal.jpg","View")</f>
        <v>View</v>
      </c>
      <c r="P537" s="27"/>
    </row>
    <row r="538">
      <c r="A538" s="19">
        <v>42704.47571759259</v>
      </c>
      <c r="B538" s="20" t="str">
        <f>HYPERLINK("https://twitter.com/betom_p","@betom_p")</f>
        <v>@betom_p</v>
      </c>
      <c r="C538" s="21" t="s">
        <v>1226</v>
      </c>
      <c r="D538" s="21" t="s">
        <v>1227</v>
      </c>
      <c r="E538" s="22" t="str">
        <f>HYPERLINK("https://twitter.com/betom_p/status/803922782400561152","803922782400561152")</f>
        <v>803922782400561152</v>
      </c>
      <c r="F538" s="23" t="s">
        <v>81</v>
      </c>
      <c r="G538" s="24">
        <v>85.0</v>
      </c>
      <c r="H538" s="24">
        <v>185.0</v>
      </c>
      <c r="I538" s="24">
        <v>0.0</v>
      </c>
      <c r="J538" s="24">
        <v>0.0</v>
      </c>
      <c r="K538" s="23" t="s">
        <v>27</v>
      </c>
      <c r="L538" s="25">
        <v>40198.97699074074</v>
      </c>
      <c r="M538" s="26" t="s">
        <v>51</v>
      </c>
      <c r="N538" s="26" t="s">
        <v>1228</v>
      </c>
      <c r="O538" s="22" t="str">
        <f>HYPERLINK("https://pbs.twimg.com/profile_images/666297990370476032/HlkY6dw5_normal.png","View")</f>
        <v>View</v>
      </c>
      <c r="P538" s="27"/>
    </row>
    <row r="539">
      <c r="A539" s="19">
        <v>42704.4795949074</v>
      </c>
      <c r="B539" s="20" t="str">
        <f>HYPERLINK("https://twitter.com/jozef_simo","@jozef_simo")</f>
        <v>@jozef_simo</v>
      </c>
      <c r="C539" s="21" t="s">
        <v>1229</v>
      </c>
      <c r="D539" s="21" t="s">
        <v>1230</v>
      </c>
      <c r="E539" s="22" t="str">
        <f>HYPERLINK("https://twitter.com/jozef_simo/status/803924187526074368","803924187526074368")</f>
        <v>803924187526074368</v>
      </c>
      <c r="F539" s="23" t="s">
        <v>26</v>
      </c>
      <c r="G539" s="24">
        <v>255.0</v>
      </c>
      <c r="H539" s="24">
        <v>151.0</v>
      </c>
      <c r="I539" s="24">
        <v>4.0</v>
      </c>
      <c r="J539" s="24">
        <v>11.0</v>
      </c>
      <c r="K539" s="23" t="s">
        <v>27</v>
      </c>
      <c r="L539" s="25">
        <v>40824.76136574074</v>
      </c>
      <c r="M539" s="26" t="s">
        <v>1231</v>
      </c>
      <c r="N539" s="26" t="s">
        <v>1232</v>
      </c>
      <c r="O539" s="22" t="str">
        <f>HYPERLINK("https://pbs.twimg.com/profile_images/729214262405693443/gT7ejtgO_normal.jpg","View")</f>
        <v>View</v>
      </c>
      <c r="P539" s="27"/>
    </row>
    <row r="540">
      <c r="A540" s="19">
        <v>42704.47960648148</v>
      </c>
      <c r="B540" s="20" t="str">
        <f>HYPERLINK("https://twitter.com/DunasHoteles","@DunasHoteles")</f>
        <v>@DunasHoteles</v>
      </c>
      <c r="C540" s="21" t="s">
        <v>1233</v>
      </c>
      <c r="D540" s="21" t="s">
        <v>1234</v>
      </c>
      <c r="E540" s="22" t="str">
        <f>HYPERLINK("https://twitter.com/DunasHoteles/status/803924194060804096","803924194060804096")</f>
        <v>803924194060804096</v>
      </c>
      <c r="F540" s="23" t="s">
        <v>401</v>
      </c>
      <c r="G540" s="24">
        <v>2603.0</v>
      </c>
      <c r="H540" s="24">
        <v>2117.0</v>
      </c>
      <c r="I540" s="24">
        <v>2.0</v>
      </c>
      <c r="J540" s="24">
        <v>6.0</v>
      </c>
      <c r="K540" s="23" t="s">
        <v>27</v>
      </c>
      <c r="L540" s="25">
        <v>39769.46932870371</v>
      </c>
      <c r="M540" s="26" t="s">
        <v>109</v>
      </c>
      <c r="N540" s="26" t="s">
        <v>1235</v>
      </c>
      <c r="O540" s="22" t="str">
        <f>HYPERLINK("https://pbs.twimg.com/profile_images/461470205227454465/4u4KGofw_normal.jpeg","View")</f>
        <v>View</v>
      </c>
      <c r="P540" s="27"/>
    </row>
    <row r="541">
      <c r="A541" s="19">
        <v>42704.483923611115</v>
      </c>
      <c r="B541" s="20" t="str">
        <f>HYPERLINK("https://twitter.com/DaQuteTravel","@DaQuteTravel")</f>
        <v>@DaQuteTravel</v>
      </c>
      <c r="C541" s="21" t="s">
        <v>1236</v>
      </c>
      <c r="D541" s="21" t="s">
        <v>1055</v>
      </c>
      <c r="E541" s="22" t="str">
        <f>HYPERLINK("https://twitter.com/DaQuteTravel/status/803925757881909248","803925757881909248")</f>
        <v>803925757881909248</v>
      </c>
      <c r="F541" s="23" t="s">
        <v>41</v>
      </c>
      <c r="G541" s="24">
        <v>209.0</v>
      </c>
      <c r="H541" s="24">
        <v>151.0</v>
      </c>
      <c r="I541" s="24">
        <v>12.0</v>
      </c>
      <c r="J541" s="24">
        <v>0.0</v>
      </c>
      <c r="K541" s="23" t="s">
        <v>27</v>
      </c>
      <c r="L541" s="25">
        <v>41987.59945601852</v>
      </c>
      <c r="M541" s="26" t="s">
        <v>510</v>
      </c>
      <c r="N541" s="26" t="s">
        <v>1237</v>
      </c>
      <c r="O541" s="22" t="str">
        <f>HYPERLINK("https://pbs.twimg.com/profile_images/544142152201408513/Uu6dGgSu_normal.jpeg","View")</f>
        <v>View</v>
      </c>
      <c r="P541" s="27"/>
    </row>
    <row r="542">
      <c r="A542" s="19">
        <v>42704.48502314815</v>
      </c>
      <c r="B542" s="20" t="str">
        <f>HYPERLINK("https://twitter.com/icelollySupport","@icelollySupport")</f>
        <v>@icelollySupport</v>
      </c>
      <c r="C542" s="21" t="s">
        <v>1238</v>
      </c>
      <c r="D542" s="21" t="s">
        <v>1115</v>
      </c>
      <c r="E542" s="22" t="str">
        <f>HYPERLINK("https://twitter.com/icelollySupport/status/803926157548720128","803926157548720128")</f>
        <v>803926157548720128</v>
      </c>
      <c r="F542" s="23" t="s">
        <v>37</v>
      </c>
      <c r="G542" s="24">
        <v>206.0</v>
      </c>
      <c r="H542" s="24">
        <v>504.0</v>
      </c>
      <c r="I542" s="24">
        <v>4.0</v>
      </c>
      <c r="J542" s="24">
        <v>0.0</v>
      </c>
      <c r="K542" s="23" t="s">
        <v>27</v>
      </c>
      <c r="L542" s="25">
        <v>42383.44430555556</v>
      </c>
      <c r="M542" s="26" t="s">
        <v>1176</v>
      </c>
      <c r="N542" s="26" t="s">
        <v>1239</v>
      </c>
      <c r="O542" s="22" t="str">
        <f>HYPERLINK("https://pbs.twimg.com/profile_images/760849350985678849/nhuC4QJW_normal.jpg","View")</f>
        <v>View</v>
      </c>
      <c r="P542" s="27"/>
    </row>
    <row r="543">
      <c r="A543" s="19">
        <v>42704.48958333333</v>
      </c>
      <c r="B543" s="20" t="str">
        <f>HYPERLINK("https://twitter.com/RakheeV","@RakheeV")</f>
        <v>@RakheeV</v>
      </c>
      <c r="C543" s="21" t="s">
        <v>1240</v>
      </c>
      <c r="D543" s="21" t="s">
        <v>1241</v>
      </c>
      <c r="E543" s="22" t="str">
        <f>HYPERLINK("https://twitter.com/RakheeV/status/803927807709495297","803927807709495297")</f>
        <v>803927807709495297</v>
      </c>
      <c r="F543" s="23" t="s">
        <v>81</v>
      </c>
      <c r="G543" s="24">
        <v>1489.0</v>
      </c>
      <c r="H543" s="24">
        <v>2605.0</v>
      </c>
      <c r="I543" s="24">
        <v>0.0</v>
      </c>
      <c r="J543" s="24">
        <v>3.0</v>
      </c>
      <c r="K543" s="23" t="s">
        <v>27</v>
      </c>
      <c r="L543" s="25">
        <v>40921.93</v>
      </c>
      <c r="M543" s="26" t="s">
        <v>1172</v>
      </c>
      <c r="N543" s="26" t="s">
        <v>1242</v>
      </c>
      <c r="O543" s="22" t="str">
        <f>HYPERLINK("https://pbs.twimg.com/profile_images/742026136801161217/evJgSUlG_normal.jpg","View")</f>
        <v>View</v>
      </c>
      <c r="P543" s="27" t="str">
        <f>HYPERLINK("https://ctrlq.org/maps/address/#28.02374891,-16.69831738","Map")</f>
        <v>#ERROR!</v>
      </c>
    </row>
    <row r="544">
      <c r="A544" s="19">
        <v>42704.49185185185</v>
      </c>
      <c r="B544" s="20" t="str">
        <f>HYPERLINK("https://twitter.com/sergon2000","@sergon2000")</f>
        <v>@sergon2000</v>
      </c>
      <c r="C544" s="21" t="s">
        <v>157</v>
      </c>
      <c r="D544" s="21" t="s">
        <v>1243</v>
      </c>
      <c r="E544" s="22" t="str">
        <f>HYPERLINK("https://twitter.com/sergon2000/status/803928632708263936","803928632708263936")</f>
        <v>803928632708263936</v>
      </c>
      <c r="F544" s="23" t="s">
        <v>69</v>
      </c>
      <c r="G544" s="24">
        <v>123.0</v>
      </c>
      <c r="H544" s="24">
        <v>191.0</v>
      </c>
      <c r="I544" s="24">
        <v>0.0</v>
      </c>
      <c r="J544" s="24">
        <v>1.0</v>
      </c>
      <c r="K544" s="23" t="s">
        <v>27</v>
      </c>
      <c r="L544" s="25">
        <v>40350.56459490741</v>
      </c>
      <c r="M544" s="26" t="s">
        <v>159</v>
      </c>
      <c r="N544" s="26" t="s">
        <v>160</v>
      </c>
      <c r="O544" s="22" t="str">
        <f>HYPERLINK("https://pbs.twimg.com/profile_images/1519010345/yo_normal.jpg","View")</f>
        <v>View</v>
      </c>
      <c r="P544" s="27"/>
    </row>
    <row r="545">
      <c r="A545" s="19">
        <v>42704.51974537037</v>
      </c>
      <c r="B545" s="20" t="str">
        <f>HYPERLINK("https://twitter.com/airports_hotels","@airports_hotels")</f>
        <v>@airports_hotels</v>
      </c>
      <c r="C545" s="21" t="s">
        <v>683</v>
      </c>
      <c r="D545" s="21" t="s">
        <v>1244</v>
      </c>
      <c r="E545" s="22" t="str">
        <f>HYPERLINK("https://twitter.com/airports_hotels/status/803938739470954496","803938739470954496")</f>
        <v>803938739470954496</v>
      </c>
      <c r="F545" s="23" t="s">
        <v>37</v>
      </c>
      <c r="G545" s="24">
        <v>293.0</v>
      </c>
      <c r="H545" s="24">
        <v>0.0</v>
      </c>
      <c r="I545" s="24">
        <v>0.0</v>
      </c>
      <c r="J545" s="24">
        <v>0.0</v>
      </c>
      <c r="K545" s="23" t="s">
        <v>27</v>
      </c>
      <c r="L545" s="25">
        <v>42488.49555555556</v>
      </c>
      <c r="M545" s="26" t="s">
        <v>685</v>
      </c>
      <c r="N545" s="26" t="s">
        <v>686</v>
      </c>
      <c r="O545" s="22" t="str">
        <f>HYPERLINK("https://pbs.twimg.com/profile_images/789169766342627332/b_eAAMe7_normal.jpg","View")</f>
        <v>View</v>
      </c>
      <c r="P545" s="27"/>
    </row>
    <row r="546">
      <c r="A546" s="19">
        <v>42704.52013888889</v>
      </c>
      <c r="B546" s="20" t="str">
        <f>HYPERLINK("https://twitter.com/TwiTenerifeGolf","@TwiTenerifeGolf")</f>
        <v>@TwiTenerifeGolf</v>
      </c>
      <c r="C546" s="21" t="s">
        <v>879</v>
      </c>
      <c r="D546" s="21" t="s">
        <v>1245</v>
      </c>
      <c r="E546" s="22" t="str">
        <f>HYPERLINK("https://twitter.com/TwiTenerifeGolf/status/803938882312138754","803938882312138754")</f>
        <v>803938882312138754</v>
      </c>
      <c r="F546" s="23" t="s">
        <v>41</v>
      </c>
      <c r="G546" s="24">
        <v>1879.0</v>
      </c>
      <c r="H546" s="24">
        <v>937.0</v>
      </c>
      <c r="I546" s="24">
        <v>0.0</v>
      </c>
      <c r="J546" s="24">
        <v>1.0</v>
      </c>
      <c r="K546" s="23" t="s">
        <v>27</v>
      </c>
      <c r="L546" s="25">
        <v>41724.79984953704</v>
      </c>
      <c r="M546" s="26" t="s">
        <v>282</v>
      </c>
      <c r="N546" s="26" t="s">
        <v>881</v>
      </c>
      <c r="O546" s="22" t="str">
        <f>HYPERLINK("https://pbs.twimg.com/profile_images/723156330673000448/xa2FT8Re_normal.jpg","View")</f>
        <v>View</v>
      </c>
      <c r="P546" s="27"/>
    </row>
    <row r="547">
      <c r="A547" s="19">
        <v>42704.54028935185</v>
      </c>
      <c r="B547" s="20" t="str">
        <f>HYPERLINK("https://twitter.com/1986_adry","@1986_adry")</f>
        <v>@1986_adry</v>
      </c>
      <c r="C547" s="21" t="s">
        <v>1246</v>
      </c>
      <c r="D547" s="21" t="s">
        <v>1247</v>
      </c>
      <c r="E547" s="22" t="str">
        <f>HYPERLINK("https://twitter.com/1986_adry/status/803946181919461376","803946181919461376")</f>
        <v>803946181919461376</v>
      </c>
      <c r="F547" s="23" t="s">
        <v>26</v>
      </c>
      <c r="G547" s="24">
        <v>88.0</v>
      </c>
      <c r="H547" s="24">
        <v>109.0</v>
      </c>
      <c r="I547" s="24">
        <v>2.0</v>
      </c>
      <c r="J547" s="24">
        <v>0.0</v>
      </c>
      <c r="K547" s="23" t="s">
        <v>27</v>
      </c>
      <c r="L547" s="25">
        <v>41901.019837962966</v>
      </c>
      <c r="M547" s="28"/>
      <c r="N547" s="26" t="s">
        <v>1248</v>
      </c>
      <c r="O547" s="22" t="str">
        <f>HYPERLINK("https://pbs.twimg.com/profile_images/781760438786818048/3JVaYbLQ_normal.jpg","View")</f>
        <v>View</v>
      </c>
      <c r="P547" s="27"/>
    </row>
    <row r="548">
      <c r="A548" s="19">
        <v>42704.54344907407</v>
      </c>
      <c r="B548" s="20" t="str">
        <f>HYPERLINK("https://twitter.com/auto_reisen","@auto_reisen")</f>
        <v>@auto_reisen</v>
      </c>
      <c r="C548" s="21" t="s">
        <v>479</v>
      </c>
      <c r="D548" s="21" t="s">
        <v>1249</v>
      </c>
      <c r="E548" s="22" t="str">
        <f>HYPERLINK("https://twitter.com/auto_reisen/status/803947328851865601","803947328851865601")</f>
        <v>803947328851865601</v>
      </c>
      <c r="F548" s="23" t="s">
        <v>37</v>
      </c>
      <c r="G548" s="24">
        <v>64.0</v>
      </c>
      <c r="H548" s="24">
        <v>12.0</v>
      </c>
      <c r="I548" s="24">
        <v>0.0</v>
      </c>
      <c r="J548" s="24">
        <v>0.0</v>
      </c>
      <c r="K548" s="23" t="s">
        <v>27</v>
      </c>
      <c r="L548" s="25">
        <v>40229.94081018519</v>
      </c>
      <c r="M548" s="26" t="s">
        <v>305</v>
      </c>
      <c r="N548" s="26" t="s">
        <v>481</v>
      </c>
      <c r="O548" s="22" t="str">
        <f>HYPERLINK("https://pbs.twimg.com/profile_images/753537830752845824/CAcHgdYu_normal.jpg","View")</f>
        <v>View</v>
      </c>
      <c r="P548" s="27"/>
    </row>
    <row r="549">
      <c r="A549" s="19">
        <v>42704.54620370371</v>
      </c>
      <c r="B549" s="20" t="str">
        <f>HYPERLINK("https://twitter.com/Selhso","@Selhso")</f>
        <v>@Selhso</v>
      </c>
      <c r="C549" s="21" t="s">
        <v>194</v>
      </c>
      <c r="D549" s="21" t="s">
        <v>1250</v>
      </c>
      <c r="E549" s="22" t="str">
        <f>HYPERLINK("https://twitter.com/Selhso/status/803948327654060032","803948327654060032")</f>
        <v>803948327654060032</v>
      </c>
      <c r="F549" s="23" t="s">
        <v>37</v>
      </c>
      <c r="G549" s="24">
        <v>1615.0</v>
      </c>
      <c r="H549" s="24">
        <v>1661.0</v>
      </c>
      <c r="I549" s="24">
        <v>2.0</v>
      </c>
      <c r="J549" s="24">
        <v>2.0</v>
      </c>
      <c r="K549" s="23" t="s">
        <v>27</v>
      </c>
      <c r="L549" s="25">
        <v>40372.68681712963</v>
      </c>
      <c r="M549" s="26" t="s">
        <v>196</v>
      </c>
      <c r="N549" s="26" t="s">
        <v>109</v>
      </c>
      <c r="O549" s="22" t="str">
        <f>HYPERLINK("https://pbs.twimg.com/profile_images/800845512836579328/cKh_5hB2_normal.jpg","View")</f>
        <v>View</v>
      </c>
      <c r="P549" s="27"/>
    </row>
    <row r="550">
      <c r="A550" s="19">
        <v>42704.54840277778</v>
      </c>
      <c r="B550" s="20" t="str">
        <f>HYPERLINK("https://twitter.com/24_psycho","@24_psycho")</f>
        <v>@24_psycho</v>
      </c>
      <c r="C550" s="21" t="s">
        <v>1251</v>
      </c>
      <c r="D550" s="21" t="s">
        <v>1252</v>
      </c>
      <c r="E550" s="22" t="str">
        <f>HYPERLINK("https://twitter.com/24_psycho/status/803949122847932417","803949122847932417")</f>
        <v>803949122847932417</v>
      </c>
      <c r="F550" s="23" t="s">
        <v>37</v>
      </c>
      <c r="G550" s="24">
        <v>58.0</v>
      </c>
      <c r="H550" s="24">
        <v>39.0</v>
      </c>
      <c r="I550" s="24">
        <v>1.0</v>
      </c>
      <c r="J550" s="24">
        <v>2.0</v>
      </c>
      <c r="K550" s="23" t="s">
        <v>27</v>
      </c>
      <c r="L550" s="25">
        <v>42062.97457175926</v>
      </c>
      <c r="M550" s="26" t="s">
        <v>1253</v>
      </c>
      <c r="N550" s="26" t="s">
        <v>1254</v>
      </c>
      <c r="O550" s="22" t="str">
        <f>HYPERLINK("https://pbs.twimg.com/profile_images/571504276954820608/15DiRfl4_normal.jpeg","View")</f>
        <v>View</v>
      </c>
      <c r="P550" s="27"/>
    </row>
    <row r="551">
      <c r="A551" s="19">
        <v>42704.55596064815</v>
      </c>
      <c r="B551" s="20" t="str">
        <f>HYPERLINK("https://twitter.com/whoisdae","@whoisdae")</f>
        <v>@whoisdae</v>
      </c>
      <c r="C551" s="21" t="s">
        <v>1255</v>
      </c>
      <c r="D551" s="21" t="s">
        <v>1256</v>
      </c>
      <c r="E551" s="22" t="str">
        <f>HYPERLINK("https://twitter.com/whoisdae/status/803951861279625216","803951861279625216")</f>
        <v>803951861279625216</v>
      </c>
      <c r="F551" s="23" t="s">
        <v>26</v>
      </c>
      <c r="G551" s="24">
        <v>5337.0</v>
      </c>
      <c r="H551" s="24">
        <v>602.0</v>
      </c>
      <c r="I551" s="24">
        <v>1.0</v>
      </c>
      <c r="J551" s="24">
        <v>0.0</v>
      </c>
      <c r="K551" s="23" t="s">
        <v>27</v>
      </c>
      <c r="L551" s="25">
        <v>40677.71368055556</v>
      </c>
      <c r="M551" s="26" t="s">
        <v>1257</v>
      </c>
      <c r="N551" s="26" t="s">
        <v>1258</v>
      </c>
      <c r="O551" s="22" t="str">
        <f>HYPERLINK("https://pbs.twimg.com/profile_images/761545907280150528/xB6bqJx6_normal.jpg","View")</f>
        <v>View</v>
      </c>
      <c r="P551" s="27"/>
    </row>
    <row r="552">
      <c r="A552" s="19">
        <v>42704.55625</v>
      </c>
      <c r="B552" s="20" t="str">
        <f>HYPERLINK("https://twitter.com/BritSchoolGC","@BritSchoolGC")</f>
        <v>@BritSchoolGC</v>
      </c>
      <c r="C552" s="21" t="s">
        <v>1259</v>
      </c>
      <c r="D552" s="21" t="s">
        <v>1132</v>
      </c>
      <c r="E552" s="22" t="str">
        <f>HYPERLINK("https://twitter.com/BritSchoolGC/status/803951967840194560","803951967840194560")</f>
        <v>803951967840194560</v>
      </c>
      <c r="F552" s="23" t="s">
        <v>167</v>
      </c>
      <c r="G552" s="24">
        <v>99.0</v>
      </c>
      <c r="H552" s="24">
        <v>150.0</v>
      </c>
      <c r="I552" s="24">
        <v>2.0</v>
      </c>
      <c r="J552" s="24">
        <v>0.0</v>
      </c>
      <c r="K552" s="23" t="s">
        <v>27</v>
      </c>
      <c r="L552" s="25">
        <v>42538.46364583333</v>
      </c>
      <c r="M552" s="26" t="s">
        <v>332</v>
      </c>
      <c r="N552" s="26" t="s">
        <v>1260</v>
      </c>
      <c r="O552" s="22" t="str">
        <f>HYPERLINK("https://pbs.twimg.com/profile_images/743747412934549504/0IyF4J14_normal.jpg","View")</f>
        <v>View</v>
      </c>
      <c r="P552" s="27"/>
    </row>
    <row r="553">
      <c r="A553" s="19">
        <v>42704.56002314815</v>
      </c>
      <c r="B553" s="20" t="str">
        <f>HYPERLINK("https://twitter.com/rossylsd","@rossylsd")</f>
        <v>@rossylsd</v>
      </c>
      <c r="C553" s="21" t="s">
        <v>1261</v>
      </c>
      <c r="D553" s="21" t="s">
        <v>1262</v>
      </c>
      <c r="E553" s="22" t="str">
        <f>HYPERLINK("https://twitter.com/rossylsd/status/803953333438447616","803953333438447616")</f>
        <v>803953333438447616</v>
      </c>
      <c r="F553" s="23" t="s">
        <v>81</v>
      </c>
      <c r="G553" s="24">
        <v>127.0</v>
      </c>
      <c r="H553" s="24">
        <v>150.0</v>
      </c>
      <c r="I553" s="24">
        <v>0.0</v>
      </c>
      <c r="J553" s="24">
        <v>0.0</v>
      </c>
      <c r="K553" s="23" t="s">
        <v>27</v>
      </c>
      <c r="L553" s="25">
        <v>41971.11047453704</v>
      </c>
      <c r="M553" s="26" t="s">
        <v>1263</v>
      </c>
      <c r="N553" s="26" t="s">
        <v>1264</v>
      </c>
      <c r="O553" s="22" t="str">
        <f>HYPERLINK("https://pbs.twimg.com/profile_images/538167745058455552/QkUXCdoQ_normal.jpeg","View")</f>
        <v>View</v>
      </c>
      <c r="P553" s="27" t="str">
        <f>HYPERLINK("https://ctrlq.org/maps/address/#28.87274357,-13.82116003","Map")</f>
        <v>#ERROR!</v>
      </c>
    </row>
    <row r="554">
      <c r="A554" s="19">
        <v>42704.560057870374</v>
      </c>
      <c r="B554" s="20" t="str">
        <f>HYPERLINK("https://twitter.com/DaQuteTravel","@DaQuteTravel")</f>
        <v>@DaQuteTravel</v>
      </c>
      <c r="C554" s="21" t="s">
        <v>1236</v>
      </c>
      <c r="D554" s="21" t="s">
        <v>1265</v>
      </c>
      <c r="E554" s="22" t="str">
        <f>HYPERLINK("https://twitter.com/DaQuteTravel/status/803953349179670528","803953349179670528")</f>
        <v>803953349179670528</v>
      </c>
      <c r="F554" s="23" t="s">
        <v>41</v>
      </c>
      <c r="G554" s="24">
        <v>209.0</v>
      </c>
      <c r="H554" s="24">
        <v>151.0</v>
      </c>
      <c r="I554" s="24">
        <v>1.0</v>
      </c>
      <c r="J554" s="24">
        <v>4.0</v>
      </c>
      <c r="K554" s="23" t="s">
        <v>27</v>
      </c>
      <c r="L554" s="25">
        <v>41987.59945601852</v>
      </c>
      <c r="M554" s="26" t="s">
        <v>510</v>
      </c>
      <c r="N554" s="26" t="s">
        <v>1237</v>
      </c>
      <c r="O554" s="22" t="str">
        <f>HYPERLINK("https://pbs.twimg.com/profile_images/544142152201408513/Uu6dGgSu_normal.jpeg","View")</f>
        <v>View</v>
      </c>
      <c r="P554" s="27"/>
    </row>
    <row r="555">
      <c r="A555" s="19">
        <v>42704.56041666667</v>
      </c>
      <c r="B555" s="20" t="str">
        <f>HYPERLINK("https://twitter.com/erikabotelho","@erikabotelho")</f>
        <v>@erikabotelho</v>
      </c>
      <c r="C555" s="21" t="s">
        <v>1266</v>
      </c>
      <c r="D555" s="21" t="s">
        <v>1267</v>
      </c>
      <c r="E555" s="22" t="str">
        <f>HYPERLINK("https://twitter.com/erikabotelho/status/803953476267114496","803953476267114496")</f>
        <v>803953476267114496</v>
      </c>
      <c r="F555" s="23" t="s">
        <v>1268</v>
      </c>
      <c r="G555" s="24">
        <v>325.0</v>
      </c>
      <c r="H555" s="24">
        <v>646.0</v>
      </c>
      <c r="I555" s="24">
        <v>4.0</v>
      </c>
      <c r="J555" s="24">
        <v>0.0</v>
      </c>
      <c r="K555" s="23" t="s">
        <v>27</v>
      </c>
      <c r="L555" s="25">
        <v>39435.81010416667</v>
      </c>
      <c r="M555" s="26" t="s">
        <v>1269</v>
      </c>
      <c r="N555" s="26" t="s">
        <v>1270</v>
      </c>
      <c r="O555" s="22" t="str">
        <f>HYPERLINK("https://pbs.twimg.com/profile_images/747889748593651713/FoAKWdyA_normal.jpg","View")</f>
        <v>View</v>
      </c>
      <c r="P555" s="27"/>
    </row>
    <row r="556">
      <c r="A556" s="19">
        <v>42704.56082175926</v>
      </c>
      <c r="B556" s="20" t="str">
        <f>HYPERLINK("https://twitter.com/rossylsd","@rossylsd")</f>
        <v>@rossylsd</v>
      </c>
      <c r="C556" s="21" t="s">
        <v>1261</v>
      </c>
      <c r="D556" s="21" t="s">
        <v>1271</v>
      </c>
      <c r="E556" s="22" t="str">
        <f>HYPERLINK("https://twitter.com/rossylsd/status/803953623336124416","803953623336124416")</f>
        <v>803953623336124416</v>
      </c>
      <c r="F556" s="23" t="s">
        <v>81</v>
      </c>
      <c r="G556" s="24">
        <v>127.0</v>
      </c>
      <c r="H556" s="24">
        <v>150.0</v>
      </c>
      <c r="I556" s="24">
        <v>0.0</v>
      </c>
      <c r="J556" s="24">
        <v>0.0</v>
      </c>
      <c r="K556" s="23" t="s">
        <v>27</v>
      </c>
      <c r="L556" s="25">
        <v>41971.11047453704</v>
      </c>
      <c r="M556" s="26" t="s">
        <v>1263</v>
      </c>
      <c r="N556" s="26" t="s">
        <v>1264</v>
      </c>
      <c r="O556" s="22" t="str">
        <f>HYPERLINK("https://pbs.twimg.com/profile_images/538167745058455552/QkUXCdoQ_normal.jpeg","View")</f>
        <v>View</v>
      </c>
      <c r="P556" s="27"/>
    </row>
    <row r="557">
      <c r="A557" s="19">
        <v>42704.566516203704</v>
      </c>
      <c r="B557" s="20" t="str">
        <f>HYPERLINK("https://twitter.com/diveniki","@diveniki")</f>
        <v>@diveniki</v>
      </c>
      <c r="C557" s="21" t="s">
        <v>773</v>
      </c>
      <c r="D557" s="21" t="s">
        <v>1272</v>
      </c>
      <c r="E557" s="22" t="str">
        <f>HYPERLINK("https://twitter.com/diveniki/status/803955688468807680","803955688468807680")</f>
        <v>803955688468807680</v>
      </c>
      <c r="F557" s="23" t="s">
        <v>41</v>
      </c>
      <c r="G557" s="24">
        <v>65.0</v>
      </c>
      <c r="H557" s="24">
        <v>461.0</v>
      </c>
      <c r="I557" s="24">
        <v>0.0</v>
      </c>
      <c r="J557" s="24">
        <v>2.0</v>
      </c>
      <c r="K557" s="23" t="s">
        <v>27</v>
      </c>
      <c r="L557" s="25">
        <v>40571.69461805555</v>
      </c>
      <c r="M557" s="28"/>
      <c r="N557" s="26" t="s">
        <v>775</v>
      </c>
      <c r="O557" s="22" t="str">
        <f>HYPERLINK("https://pbs.twimg.com/profile_images/764390664142454785/QRDRzILj_normal.jpg","View")</f>
        <v>View</v>
      </c>
      <c r="P557" s="27"/>
    </row>
    <row r="558">
      <c r="A558" s="19">
        <v>42704.58371527778</v>
      </c>
      <c r="B558" s="20" t="str">
        <f>HYPERLINK("https://twitter.com/Johnalanpick","@Johnalanpick")</f>
        <v>@Johnalanpick</v>
      </c>
      <c r="C558" s="21" t="s">
        <v>30</v>
      </c>
      <c r="D558" s="21" t="s">
        <v>31</v>
      </c>
      <c r="E558" s="22" t="str">
        <f>HYPERLINK("https://twitter.com/Johnalanpick/status/803961920906620930","803961920906620930")</f>
        <v>803961920906620930</v>
      </c>
      <c r="F558" s="23" t="s">
        <v>32</v>
      </c>
      <c r="G558" s="24">
        <v>1309.0</v>
      </c>
      <c r="H558" s="24">
        <v>1417.0</v>
      </c>
      <c r="I558" s="24">
        <v>0.0</v>
      </c>
      <c r="J558" s="24">
        <v>0.0</v>
      </c>
      <c r="K558" s="23" t="s">
        <v>27</v>
      </c>
      <c r="L558" s="25">
        <v>39949.55190972222</v>
      </c>
      <c r="M558" s="26" t="s">
        <v>33</v>
      </c>
      <c r="N558" s="26" t="s">
        <v>34</v>
      </c>
      <c r="O558" s="22" t="str">
        <f>HYPERLINK("https://pbs.twimg.com/profile_images/721987658449305600/1WmSYuM-_normal.jpg","View")</f>
        <v>View</v>
      </c>
      <c r="P558" s="27"/>
    </row>
    <row r="559">
      <c r="A559" s="19">
        <v>42704.585011574076</v>
      </c>
      <c r="B559" s="20" t="str">
        <f>HYPERLINK("https://twitter.com/LuxuryCanarias","@LuxuryCanarias")</f>
        <v>@LuxuryCanarias</v>
      </c>
      <c r="C559" s="21" t="s">
        <v>1273</v>
      </c>
      <c r="D559" s="21" t="s">
        <v>1274</v>
      </c>
      <c r="E559" s="22" t="str">
        <f>HYPERLINK("https://twitter.com/LuxuryCanarias/status/803962391520284672","803962391520284672")</f>
        <v>803962391520284672</v>
      </c>
      <c r="F559" s="23" t="s">
        <v>401</v>
      </c>
      <c r="G559" s="24">
        <v>264.0</v>
      </c>
      <c r="H559" s="24">
        <v>923.0</v>
      </c>
      <c r="I559" s="24">
        <v>0.0</v>
      </c>
      <c r="J559" s="24">
        <v>0.0</v>
      </c>
      <c r="K559" s="23" t="s">
        <v>27</v>
      </c>
      <c r="L559" s="25">
        <v>42380.85506944444</v>
      </c>
      <c r="M559" s="28"/>
      <c r="N559" s="26" t="s">
        <v>1275</v>
      </c>
      <c r="O559" s="22" t="str">
        <f>HYPERLINK("https://pbs.twimg.com/profile_images/731824986965594112/1_vJDvBr_normal.jpg","View")</f>
        <v>View</v>
      </c>
      <c r="P559" s="27"/>
    </row>
    <row r="560">
      <c r="A560" s="19">
        <v>42704.587118055555</v>
      </c>
      <c r="B560" s="20" t="str">
        <f>HYPERLINK("https://twitter.com/jackiejcollins","@jackiejcollins")</f>
        <v>@jackiejcollins</v>
      </c>
      <c r="C560" s="21" t="s">
        <v>1276</v>
      </c>
      <c r="D560" s="21" t="s">
        <v>1277</v>
      </c>
      <c r="E560" s="22" t="str">
        <f>HYPERLINK("https://twitter.com/jackiejcollins/status/803963155944767488","803963155944767488")</f>
        <v>803963155944767488</v>
      </c>
      <c r="F560" s="23" t="s">
        <v>64</v>
      </c>
      <c r="G560" s="24">
        <v>181743.0</v>
      </c>
      <c r="H560" s="24">
        <v>412.0</v>
      </c>
      <c r="I560" s="24">
        <v>1.0</v>
      </c>
      <c r="J560" s="24">
        <v>0.0</v>
      </c>
      <c r="K560" s="23" t="s">
        <v>27</v>
      </c>
      <c r="L560" s="25">
        <v>39909.88684027777</v>
      </c>
      <c r="M560" s="26" t="s">
        <v>1278</v>
      </c>
      <c r="N560" s="26" t="s">
        <v>1279</v>
      </c>
      <c r="O560" s="22" t="str">
        <f>HYPERLINK("https://pbs.twimg.com/profile_images/651994770932236288/b0IycVz9_normal.jpg","View")</f>
        <v>View</v>
      </c>
      <c r="P560" s="27"/>
    </row>
    <row r="561">
      <c r="A561" s="19">
        <v>42704.6222337963</v>
      </c>
      <c r="B561" s="20" t="str">
        <f>HYPERLINK("https://twitter.com/auto_reisen","@auto_reisen")</f>
        <v>@auto_reisen</v>
      </c>
      <c r="C561" s="21" t="s">
        <v>479</v>
      </c>
      <c r="D561" s="21" t="s">
        <v>1280</v>
      </c>
      <c r="E561" s="22" t="str">
        <f>HYPERLINK("https://twitter.com/auto_reisen/status/803975879739244546","803975879739244546")</f>
        <v>803975879739244546</v>
      </c>
      <c r="F561" s="23" t="s">
        <v>37</v>
      </c>
      <c r="G561" s="24">
        <v>64.0</v>
      </c>
      <c r="H561" s="24">
        <v>12.0</v>
      </c>
      <c r="I561" s="24">
        <v>0.0</v>
      </c>
      <c r="J561" s="24">
        <v>0.0</v>
      </c>
      <c r="K561" s="23" t="s">
        <v>27</v>
      </c>
      <c r="L561" s="25">
        <v>40229.94081018519</v>
      </c>
      <c r="M561" s="26" t="s">
        <v>305</v>
      </c>
      <c r="N561" s="26" t="s">
        <v>481</v>
      </c>
      <c r="O561" s="22" t="str">
        <f>HYPERLINK("https://pbs.twimg.com/profile_images/753537830752845824/CAcHgdYu_normal.jpg","View")</f>
        <v>View</v>
      </c>
      <c r="P561" s="27"/>
    </row>
    <row r="562">
      <c r="A562" s="19">
        <v>42704.63195601852</v>
      </c>
      <c r="B562" s="20" t="str">
        <f>HYPERLINK("https://twitter.com/teatenerife","@teatenerife")</f>
        <v>@teatenerife</v>
      </c>
      <c r="C562" s="21" t="s">
        <v>1281</v>
      </c>
      <c r="D562" s="21" t="s">
        <v>1267</v>
      </c>
      <c r="E562" s="22" t="str">
        <f>HYPERLINK("https://twitter.com/teatenerife/status/803979401050411008","803979401050411008")</f>
        <v>803979401050411008</v>
      </c>
      <c r="F562" s="23" t="s">
        <v>41</v>
      </c>
      <c r="G562" s="24">
        <v>9589.0</v>
      </c>
      <c r="H562" s="24">
        <v>2647.0</v>
      </c>
      <c r="I562" s="24">
        <v>4.0</v>
      </c>
      <c r="J562" s="24">
        <v>0.0</v>
      </c>
      <c r="K562" s="23" t="s">
        <v>27</v>
      </c>
      <c r="L562" s="25">
        <v>41046.44650462963</v>
      </c>
      <c r="M562" s="26" t="s">
        <v>1282</v>
      </c>
      <c r="N562" s="26" t="s">
        <v>1283</v>
      </c>
      <c r="O562" s="22" t="str">
        <f>HYPERLINK("https://pbs.twimg.com/profile_images/2225814755/TEA_normal.jpg","View")</f>
        <v>View</v>
      </c>
      <c r="P562" s="27"/>
    </row>
    <row r="563">
      <c r="A563" s="19">
        <v>42704.63253472222</v>
      </c>
      <c r="B563" s="20" t="str">
        <f>HYPERLINK("https://twitter.com/araphant","@araphant")</f>
        <v>@araphant</v>
      </c>
      <c r="C563" s="21" t="s">
        <v>1284</v>
      </c>
      <c r="D563" s="21" t="s">
        <v>1267</v>
      </c>
      <c r="E563" s="22" t="str">
        <f>HYPERLINK("https://twitter.com/araphant/status/803979611612872704","803979611612872704")</f>
        <v>803979611612872704</v>
      </c>
      <c r="F563" s="23" t="s">
        <v>37</v>
      </c>
      <c r="G563" s="24">
        <v>562.0</v>
      </c>
      <c r="H563" s="24">
        <v>961.0</v>
      </c>
      <c r="I563" s="24">
        <v>4.0</v>
      </c>
      <c r="J563" s="24">
        <v>0.0</v>
      </c>
      <c r="K563" s="23" t="s">
        <v>27</v>
      </c>
      <c r="L563" s="25">
        <v>39921.49517361111</v>
      </c>
      <c r="M563" s="26" t="s">
        <v>1285</v>
      </c>
      <c r="N563" s="26" t="s">
        <v>1286</v>
      </c>
      <c r="O563" s="22" t="str">
        <f>HYPERLINK("https://pbs.twimg.com/profile_images/766456983880859648/oybOBjZB_normal.jpg","View")</f>
        <v>View</v>
      </c>
      <c r="P563" s="27"/>
    </row>
    <row r="564">
      <c r="A564" s="19">
        <v>42704.63825231481</v>
      </c>
      <c r="B564" s="20" t="str">
        <f>HYPERLINK("https://twitter.com/coworkinthesun","@coworkinthesun")</f>
        <v>@coworkinthesun</v>
      </c>
      <c r="C564" s="21" t="s">
        <v>1287</v>
      </c>
      <c r="D564" s="21" t="s">
        <v>1288</v>
      </c>
      <c r="E564" s="22" t="str">
        <f>HYPERLINK("https://twitter.com/coworkinthesun/status/803981686027485184","803981686027485184")</f>
        <v>803981686027485184</v>
      </c>
      <c r="F564" s="23" t="s">
        <v>167</v>
      </c>
      <c r="G564" s="24">
        <v>90.0</v>
      </c>
      <c r="H564" s="24">
        <v>20.0</v>
      </c>
      <c r="I564" s="24">
        <v>0.0</v>
      </c>
      <c r="J564" s="24">
        <v>2.0</v>
      </c>
      <c r="K564" s="23" t="s">
        <v>27</v>
      </c>
      <c r="L564" s="25">
        <v>42429.598541666666</v>
      </c>
      <c r="M564" s="26" t="s">
        <v>1289</v>
      </c>
      <c r="N564" s="26" t="s">
        <v>1290</v>
      </c>
      <c r="O564" s="22" t="str">
        <f>HYPERLINK("https://pbs.twimg.com/profile_images/704311778809778176/2XMcOhJ7_normal.jpg","View")</f>
        <v>View</v>
      </c>
      <c r="P564" s="27"/>
    </row>
    <row r="565">
      <c r="A565" s="19">
        <v>42704.64100694444</v>
      </c>
      <c r="B565" s="20" t="str">
        <f>HYPERLINK("https://twitter.com/valerych","@valerych")</f>
        <v>@valerych</v>
      </c>
      <c r="C565" s="21" t="s">
        <v>1291</v>
      </c>
      <c r="D565" s="21" t="s">
        <v>25</v>
      </c>
      <c r="E565" s="22" t="str">
        <f>HYPERLINK("https://twitter.com/valerych/status/803982681486880774","803982681486880774")</f>
        <v>803982681486880774</v>
      </c>
      <c r="F565" s="23" t="s">
        <v>37</v>
      </c>
      <c r="G565" s="24">
        <v>19.0</v>
      </c>
      <c r="H565" s="24">
        <v>100.0</v>
      </c>
      <c r="I565" s="24">
        <v>71.0</v>
      </c>
      <c r="J565" s="24">
        <v>0.0</v>
      </c>
      <c r="K565" s="23" t="s">
        <v>27</v>
      </c>
      <c r="L565" s="25">
        <v>39990.97982638889</v>
      </c>
      <c r="M565" s="26" t="s">
        <v>1292</v>
      </c>
      <c r="N565" s="28"/>
      <c r="O565" s="22" t="str">
        <f>HYPERLINK("https://pbs.twimg.com/profile_images/1254933072/aacopia_normal.jpg","View")</f>
        <v>View</v>
      </c>
      <c r="P565" s="27"/>
    </row>
    <row r="566">
      <c r="A566" s="19">
        <v>42704.64273148148</v>
      </c>
      <c r="B566" s="20" t="str">
        <f>HYPERLINK("https://twitter.com/bermaxo09","@bermaxo09")</f>
        <v>@bermaxo09</v>
      </c>
      <c r="C566" s="21" t="s">
        <v>284</v>
      </c>
      <c r="D566" s="21" t="s">
        <v>1293</v>
      </c>
      <c r="E566" s="22" t="str">
        <f>HYPERLINK("https://twitter.com/bermaxo09/status/803983308950540288","803983308950540288")</f>
        <v>803983308950540288</v>
      </c>
      <c r="F566" s="23" t="s">
        <v>41</v>
      </c>
      <c r="G566" s="24">
        <v>193.0</v>
      </c>
      <c r="H566" s="24">
        <v>196.0</v>
      </c>
      <c r="I566" s="24">
        <v>0.0</v>
      </c>
      <c r="J566" s="24">
        <v>2.0</v>
      </c>
      <c r="K566" s="23" t="s">
        <v>27</v>
      </c>
      <c r="L566" s="25">
        <v>42689.441516203704</v>
      </c>
      <c r="M566" s="26" t="s">
        <v>109</v>
      </c>
      <c r="N566" s="26" t="s">
        <v>286</v>
      </c>
      <c r="O566" s="22" t="str">
        <f>HYPERLINK("https://pbs.twimg.com/profile_images/798476790478073856/iOD0HIRa_normal.jpg","View")</f>
        <v>View</v>
      </c>
      <c r="P566" s="27"/>
    </row>
    <row r="567">
      <c r="A567" s="19">
        <v>42704.65738425926</v>
      </c>
      <c r="B567" s="20" t="str">
        <f>HYPERLINK("https://twitter.com/MatthewHirtes","@MatthewHirtes")</f>
        <v>@MatthewHirtes</v>
      </c>
      <c r="C567" s="21" t="s">
        <v>1294</v>
      </c>
      <c r="D567" s="21" t="s">
        <v>1295</v>
      </c>
      <c r="E567" s="22" t="str">
        <f>HYPERLINK("https://twitter.com/MatthewHirtes/status/803988616582139904","803988616582139904")</f>
        <v>803988616582139904</v>
      </c>
      <c r="F567" s="23" t="s">
        <v>37</v>
      </c>
      <c r="G567" s="24">
        <v>4048.0</v>
      </c>
      <c r="H567" s="24">
        <v>1734.0</v>
      </c>
      <c r="I567" s="24">
        <v>1.0</v>
      </c>
      <c r="J567" s="24">
        <v>1.0</v>
      </c>
      <c r="K567" s="23" t="s">
        <v>27</v>
      </c>
      <c r="L567" s="25">
        <v>39896.476319444446</v>
      </c>
      <c r="M567" s="26" t="s">
        <v>109</v>
      </c>
      <c r="N567" s="26" t="s">
        <v>1296</v>
      </c>
      <c r="O567" s="22" t="str">
        <f>HYPERLINK("https://pbs.twimg.com/profile_images/2882758712/12b371fa0215f5747eecc910e918ee79_normal.jpeg","View")</f>
        <v>View</v>
      </c>
      <c r="P567" s="27"/>
    </row>
    <row r="568">
      <c r="A568" s="19">
        <v>42704.66295138889</v>
      </c>
      <c r="B568" s="20" t="str">
        <f>HYPERLINK("https://twitter.com/tweetaholiday","@tweetaholiday")</f>
        <v>@tweetaholiday</v>
      </c>
      <c r="C568" s="21" t="s">
        <v>1297</v>
      </c>
      <c r="D568" s="21" t="s">
        <v>1298</v>
      </c>
      <c r="E568" s="22" t="str">
        <f>HYPERLINK("https://twitter.com/tweetaholiday/status/803990633371357184","803990633371357184")</f>
        <v>803990633371357184</v>
      </c>
      <c r="F568" s="23" t="s">
        <v>26</v>
      </c>
      <c r="G568" s="24">
        <v>209.0</v>
      </c>
      <c r="H568" s="24">
        <v>789.0</v>
      </c>
      <c r="I568" s="24">
        <v>2.0</v>
      </c>
      <c r="J568" s="24">
        <v>0.0</v>
      </c>
      <c r="K568" s="23" t="s">
        <v>27</v>
      </c>
      <c r="L568" s="25">
        <v>42685.68184027778</v>
      </c>
      <c r="M568" s="26" t="s">
        <v>305</v>
      </c>
      <c r="N568" s="26" t="s">
        <v>1299</v>
      </c>
      <c r="O568" s="22" t="str">
        <f>HYPERLINK("https://pbs.twimg.com/profile_images/799341755804033025/FbQRfPnR_normal.jpg","View")</f>
        <v>View</v>
      </c>
      <c r="P568" s="27"/>
    </row>
    <row r="569">
      <c r="A569" s="19">
        <v>42704.66431712963</v>
      </c>
      <c r="B569" s="20" t="str">
        <f t="shared" ref="B569:B570" si="58">HYPERLINK("https://twitter.com/islaspromo","@islaspromo")</f>
        <v>@islaspromo</v>
      </c>
      <c r="C569" s="21" t="s">
        <v>215</v>
      </c>
      <c r="D569" s="21" t="s">
        <v>1300</v>
      </c>
      <c r="E569" s="22" t="str">
        <f>HYPERLINK("https://twitter.com/islaspromo/status/803991128370462720","803991128370462720")</f>
        <v>803991128370462720</v>
      </c>
      <c r="F569" s="23" t="s">
        <v>37</v>
      </c>
      <c r="G569" s="24">
        <v>785.0</v>
      </c>
      <c r="H569" s="24">
        <v>591.0</v>
      </c>
      <c r="I569" s="24">
        <v>1.0</v>
      </c>
      <c r="J569" s="24">
        <v>0.0</v>
      </c>
      <c r="K569" s="23" t="s">
        <v>27</v>
      </c>
      <c r="L569" s="25">
        <v>42060.74221064815</v>
      </c>
      <c r="M569" s="26" t="s">
        <v>51</v>
      </c>
      <c r="N569" s="26" t="s">
        <v>216</v>
      </c>
      <c r="O569" s="22" t="str">
        <f t="shared" ref="O569:O570" si="59">HYPERLINK("https://pbs.twimg.com/profile_images/570644453866483712/dvbC2x8W_normal.jpeg","View")</f>
        <v>View</v>
      </c>
      <c r="P569" s="27"/>
    </row>
    <row r="570">
      <c r="A570" s="19">
        <v>42704.664618055554</v>
      </c>
      <c r="B570" s="20" t="str">
        <f t="shared" si="58"/>
        <v>@islaspromo</v>
      </c>
      <c r="C570" s="21" t="s">
        <v>215</v>
      </c>
      <c r="D570" s="21" t="s">
        <v>1301</v>
      </c>
      <c r="E570" s="22" t="str">
        <f>HYPERLINK("https://twitter.com/islaspromo/status/803991238013751296","803991238013751296")</f>
        <v>803991238013751296</v>
      </c>
      <c r="F570" s="23" t="s">
        <v>37</v>
      </c>
      <c r="G570" s="24">
        <v>785.0</v>
      </c>
      <c r="H570" s="24">
        <v>591.0</v>
      </c>
      <c r="I570" s="24">
        <v>2.0</v>
      </c>
      <c r="J570" s="24">
        <v>0.0</v>
      </c>
      <c r="K570" s="23" t="s">
        <v>27</v>
      </c>
      <c r="L570" s="25">
        <v>42060.74221064815</v>
      </c>
      <c r="M570" s="26" t="s">
        <v>51</v>
      </c>
      <c r="N570" s="26" t="s">
        <v>216</v>
      </c>
      <c r="O570" s="22" t="str">
        <f t="shared" si="59"/>
        <v>View</v>
      </c>
      <c r="P570" s="27"/>
    </row>
    <row r="571">
      <c r="A571" s="19">
        <v>42704.66572916666</v>
      </c>
      <c r="B571" s="20" t="str">
        <f>HYPERLINK("https://twitter.com/NoeDiepaQ","@NoeDiepaQ")</f>
        <v>@NoeDiepaQ</v>
      </c>
      <c r="C571" s="21" t="s">
        <v>1302</v>
      </c>
      <c r="D571" s="21" t="s">
        <v>983</v>
      </c>
      <c r="E571" s="22" t="str">
        <f>HYPERLINK("https://twitter.com/NoeDiepaQ/status/803991642550235137","803991642550235137")</f>
        <v>803991642550235137</v>
      </c>
      <c r="F571" s="23" t="s">
        <v>26</v>
      </c>
      <c r="G571" s="24">
        <v>460.0</v>
      </c>
      <c r="H571" s="24">
        <v>374.0</v>
      </c>
      <c r="I571" s="24">
        <v>190.0</v>
      </c>
      <c r="J571" s="24">
        <v>0.0</v>
      </c>
      <c r="K571" s="23" t="s">
        <v>27</v>
      </c>
      <c r="L571" s="25">
        <v>40741.67790509259</v>
      </c>
      <c r="M571" s="26" t="s">
        <v>1303</v>
      </c>
      <c r="N571" s="26" t="s">
        <v>1304</v>
      </c>
      <c r="O571" s="22" t="str">
        <f>HYPERLINK("https://pbs.twimg.com/profile_images/800725582866681857/SbvHps_z_normal.jpg","View")</f>
        <v>View</v>
      </c>
      <c r="P571" s="27"/>
    </row>
    <row r="572">
      <c r="A572" s="19">
        <v>42704.672800925924</v>
      </c>
      <c r="B572" s="20" t="str">
        <f>HYPERLINK("https://twitter.com/HernanGmez","@HernanGmez")</f>
        <v>@HernanGmez</v>
      </c>
      <c r="C572" s="21" t="s">
        <v>1305</v>
      </c>
      <c r="D572" s="21" t="s">
        <v>1267</v>
      </c>
      <c r="E572" s="22" t="str">
        <f>HYPERLINK("https://twitter.com/HernanGmez/status/803994204011720704","803994204011720704")</f>
        <v>803994204011720704</v>
      </c>
      <c r="F572" s="23" t="s">
        <v>26</v>
      </c>
      <c r="G572" s="24">
        <v>64.0</v>
      </c>
      <c r="H572" s="24">
        <v>166.0</v>
      </c>
      <c r="I572" s="24">
        <v>4.0</v>
      </c>
      <c r="J572" s="24">
        <v>0.0</v>
      </c>
      <c r="K572" s="23" t="s">
        <v>27</v>
      </c>
      <c r="L572" s="25">
        <v>40781.780173611114</v>
      </c>
      <c r="M572" s="26" t="s">
        <v>282</v>
      </c>
      <c r="N572" s="26" t="s">
        <v>1306</v>
      </c>
      <c r="O572" s="22" t="str">
        <f>HYPERLINK("https://pbs.twimg.com/profile_images/768523075612766213/y8n89gbd_normal.jpg","View")</f>
        <v>View</v>
      </c>
      <c r="P572" s="27"/>
    </row>
    <row r="573">
      <c r="A573" s="19">
        <v>42704.67653935185</v>
      </c>
      <c r="B573" s="20" t="str">
        <f>HYPERLINK("https://twitter.com/bermaxo09","@bermaxo09")</f>
        <v>@bermaxo09</v>
      </c>
      <c r="C573" s="21" t="s">
        <v>284</v>
      </c>
      <c r="D573" s="21" t="s">
        <v>1307</v>
      </c>
      <c r="E573" s="22" t="str">
        <f>HYPERLINK("https://twitter.com/bermaxo09/status/803995558117523456","803995558117523456")</f>
        <v>803995558117523456</v>
      </c>
      <c r="F573" s="23" t="s">
        <v>37</v>
      </c>
      <c r="G573" s="24">
        <v>193.0</v>
      </c>
      <c r="H573" s="24">
        <v>196.0</v>
      </c>
      <c r="I573" s="24">
        <v>1.0</v>
      </c>
      <c r="J573" s="24">
        <v>1.0</v>
      </c>
      <c r="K573" s="23" t="s">
        <v>27</v>
      </c>
      <c r="L573" s="25">
        <v>42689.441516203704</v>
      </c>
      <c r="M573" s="26" t="s">
        <v>109</v>
      </c>
      <c r="N573" s="26" t="s">
        <v>286</v>
      </c>
      <c r="O573" s="22" t="str">
        <f>HYPERLINK("https://pbs.twimg.com/profile_images/798476790478073856/iOD0HIRa_normal.jpg","View")</f>
        <v>View</v>
      </c>
      <c r="P573" s="27"/>
    </row>
    <row r="574">
      <c r="A574" s="19">
        <v>42704.67697916667</v>
      </c>
      <c r="B574" s="20" t="str">
        <f>HYPERLINK("https://twitter.com/CanaryIslandsEN","@CanaryIslandsEN")</f>
        <v>@CanaryIslandsEN</v>
      </c>
      <c r="C574" s="21" t="s">
        <v>165</v>
      </c>
      <c r="D574" s="21" t="s">
        <v>1308</v>
      </c>
      <c r="E574" s="22" t="str">
        <f>HYPERLINK("https://twitter.com/CanaryIslandsEN/status/803995718323146756","803995718323146756")</f>
        <v>803995718323146756</v>
      </c>
      <c r="F574" s="23" t="s">
        <v>41</v>
      </c>
      <c r="G574" s="24">
        <v>14287.0</v>
      </c>
      <c r="H574" s="24">
        <v>1533.0</v>
      </c>
      <c r="I574" s="24">
        <v>0.0</v>
      </c>
      <c r="J574" s="24">
        <v>0.0</v>
      </c>
      <c r="K574" s="23" t="s">
        <v>27</v>
      </c>
      <c r="L574" s="25">
        <v>41264.365949074076</v>
      </c>
      <c r="M574" s="26" t="s">
        <v>168</v>
      </c>
      <c r="N574" s="26" t="s">
        <v>169</v>
      </c>
      <c r="O574" s="22" t="str">
        <f>HYPERLINK("https://pbs.twimg.com/profile_images/754960714704584704/14dQxsF8_normal.jpg","View")</f>
        <v>View</v>
      </c>
      <c r="P574" s="27"/>
    </row>
    <row r="575">
      <c r="A575" s="19">
        <v>42704.67747685185</v>
      </c>
      <c r="B575" s="20" t="str">
        <f>HYPERLINK("https://twitter.com/enduriaholidays","@enduriaholidays")</f>
        <v>@enduriaholidays</v>
      </c>
      <c r="C575" s="21" t="s">
        <v>173</v>
      </c>
      <c r="D575" s="21" t="s">
        <v>1309</v>
      </c>
      <c r="E575" s="22" t="str">
        <f>HYPERLINK("https://twitter.com/enduriaholidays/status/803995899403845633","803995899403845633")</f>
        <v>803995899403845633</v>
      </c>
      <c r="F575" s="23" t="s">
        <v>69</v>
      </c>
      <c r="G575" s="24">
        <v>319.0</v>
      </c>
      <c r="H575" s="24">
        <v>313.0</v>
      </c>
      <c r="I575" s="24">
        <v>0.0</v>
      </c>
      <c r="J575" s="24">
        <v>0.0</v>
      </c>
      <c r="K575" s="23" t="s">
        <v>27</v>
      </c>
      <c r="L575" s="25">
        <v>42489.5252662037</v>
      </c>
      <c r="M575" s="28"/>
      <c r="N575" s="28"/>
      <c r="O575" s="22" t="str">
        <f>HYPERLINK("https://pbs.twimg.com/profile_images/726026649356128258/xCSaP1IW_normal.jpg","View")</f>
        <v>View</v>
      </c>
      <c r="P575" s="27"/>
    </row>
    <row r="576">
      <c r="A576" s="19">
        <v>42704.678564814814</v>
      </c>
      <c r="B576" s="20" t="str">
        <f t="shared" ref="B576:B579" si="60">HYPERLINK("https://twitter.com/bermaxo09","@bermaxo09")</f>
        <v>@bermaxo09</v>
      </c>
      <c r="C576" s="21" t="s">
        <v>284</v>
      </c>
      <c r="D576" s="21" t="s">
        <v>1310</v>
      </c>
      <c r="E576" s="22" t="str">
        <f>HYPERLINK("https://twitter.com/bermaxo09/status/803996294918373376","803996294918373376")</f>
        <v>803996294918373376</v>
      </c>
      <c r="F576" s="23" t="s">
        <v>37</v>
      </c>
      <c r="G576" s="24">
        <v>193.0</v>
      </c>
      <c r="H576" s="24">
        <v>196.0</v>
      </c>
      <c r="I576" s="24">
        <v>1.0</v>
      </c>
      <c r="J576" s="24">
        <v>2.0</v>
      </c>
      <c r="K576" s="23" t="s">
        <v>27</v>
      </c>
      <c r="L576" s="25">
        <v>42689.441516203704</v>
      </c>
      <c r="M576" s="26" t="s">
        <v>109</v>
      </c>
      <c r="N576" s="26" t="s">
        <v>286</v>
      </c>
      <c r="O576" s="22" t="str">
        <f t="shared" ref="O576:O579" si="61">HYPERLINK("https://pbs.twimg.com/profile_images/798476790478073856/iOD0HIRa_normal.jpg","View")</f>
        <v>View</v>
      </c>
      <c r="P576" s="27"/>
    </row>
    <row r="577">
      <c r="A577" s="19">
        <v>42704.68006944444</v>
      </c>
      <c r="B577" s="20" t="str">
        <f t="shared" si="60"/>
        <v>@bermaxo09</v>
      </c>
      <c r="C577" s="21" t="s">
        <v>284</v>
      </c>
      <c r="D577" s="21" t="s">
        <v>1311</v>
      </c>
      <c r="E577" s="22" t="str">
        <f>HYPERLINK("https://twitter.com/bermaxo09/status/803996838630137857","803996838630137857")</f>
        <v>803996838630137857</v>
      </c>
      <c r="F577" s="23" t="s">
        <v>37</v>
      </c>
      <c r="G577" s="24">
        <v>193.0</v>
      </c>
      <c r="H577" s="24">
        <v>196.0</v>
      </c>
      <c r="I577" s="24">
        <v>1.0</v>
      </c>
      <c r="J577" s="24">
        <v>2.0</v>
      </c>
      <c r="K577" s="23" t="s">
        <v>27</v>
      </c>
      <c r="L577" s="25">
        <v>42689.441516203704</v>
      </c>
      <c r="M577" s="26" t="s">
        <v>109</v>
      </c>
      <c r="N577" s="26" t="s">
        <v>286</v>
      </c>
      <c r="O577" s="22" t="str">
        <f t="shared" si="61"/>
        <v>View</v>
      </c>
      <c r="P577" s="27"/>
    </row>
    <row r="578">
      <c r="A578" s="19">
        <v>42704.68194444444</v>
      </c>
      <c r="B578" s="20" t="str">
        <f t="shared" si="60"/>
        <v>@bermaxo09</v>
      </c>
      <c r="C578" s="21" t="s">
        <v>284</v>
      </c>
      <c r="D578" s="21" t="s">
        <v>1312</v>
      </c>
      <c r="E578" s="22" t="str">
        <f>HYPERLINK("https://twitter.com/bermaxo09/status/803997517193089024","803997517193089024")</f>
        <v>803997517193089024</v>
      </c>
      <c r="F578" s="23" t="s">
        <v>37</v>
      </c>
      <c r="G578" s="24">
        <v>193.0</v>
      </c>
      <c r="H578" s="24">
        <v>196.0</v>
      </c>
      <c r="I578" s="24">
        <v>1.0</v>
      </c>
      <c r="J578" s="24">
        <v>1.0</v>
      </c>
      <c r="K578" s="23" t="s">
        <v>27</v>
      </c>
      <c r="L578" s="25">
        <v>42689.441516203704</v>
      </c>
      <c r="M578" s="26" t="s">
        <v>109</v>
      </c>
      <c r="N578" s="26" t="s">
        <v>286</v>
      </c>
      <c r="O578" s="22" t="str">
        <f t="shared" si="61"/>
        <v>View</v>
      </c>
      <c r="P578" s="27"/>
    </row>
    <row r="579">
      <c r="A579" s="19">
        <v>42704.68373842593</v>
      </c>
      <c r="B579" s="20" t="str">
        <f t="shared" si="60"/>
        <v>@bermaxo09</v>
      </c>
      <c r="C579" s="21" t="s">
        <v>284</v>
      </c>
      <c r="D579" s="21" t="s">
        <v>1313</v>
      </c>
      <c r="E579" s="22" t="str">
        <f>HYPERLINK("https://twitter.com/bermaxo09/status/803998168274923520","803998168274923520")</f>
        <v>803998168274923520</v>
      </c>
      <c r="F579" s="23" t="s">
        <v>37</v>
      </c>
      <c r="G579" s="24">
        <v>193.0</v>
      </c>
      <c r="H579" s="24">
        <v>196.0</v>
      </c>
      <c r="I579" s="24">
        <v>2.0</v>
      </c>
      <c r="J579" s="24">
        <v>5.0</v>
      </c>
      <c r="K579" s="23" t="s">
        <v>27</v>
      </c>
      <c r="L579" s="25">
        <v>42689.441516203704</v>
      </c>
      <c r="M579" s="26" t="s">
        <v>109</v>
      </c>
      <c r="N579" s="26" t="s">
        <v>286</v>
      </c>
      <c r="O579" s="22" t="str">
        <f t="shared" si="61"/>
        <v>View</v>
      </c>
      <c r="P579" s="27"/>
    </row>
    <row r="580">
      <c r="A580" s="19">
        <v>42704.69952546296</v>
      </c>
      <c r="B580" s="20" t="str">
        <f>HYPERLINK("https://twitter.com/IamHappyHiker","@IamHappyHiker")</f>
        <v>@IamHappyHiker</v>
      </c>
      <c r="C580" s="21" t="s">
        <v>1133</v>
      </c>
      <c r="D580" s="21" t="s">
        <v>1200</v>
      </c>
      <c r="E580" s="22" t="str">
        <f>HYPERLINK("https://twitter.com/IamHappyHiker/status/804003889817198592","804003889817198592")</f>
        <v>804003889817198592</v>
      </c>
      <c r="F580" s="23" t="s">
        <v>90</v>
      </c>
      <c r="G580" s="24">
        <v>779.0</v>
      </c>
      <c r="H580" s="24">
        <v>650.0</v>
      </c>
      <c r="I580" s="24">
        <v>2.0</v>
      </c>
      <c r="J580" s="24">
        <v>0.0</v>
      </c>
      <c r="K580" s="23" t="s">
        <v>27</v>
      </c>
      <c r="L580" s="25">
        <v>40692.7915162037</v>
      </c>
      <c r="M580" s="26" t="s">
        <v>1135</v>
      </c>
      <c r="N580" s="26" t="s">
        <v>1136</v>
      </c>
      <c r="O580" s="22" t="str">
        <f>HYPERLINK("https://pbs.twimg.com/profile_images/1506725851/Facebook_pic_under_800kb_normal.jpg","View")</f>
        <v>View</v>
      </c>
      <c r="P580" s="27"/>
    </row>
    <row r="581">
      <c r="A581" s="19">
        <v>42704.71796296297</v>
      </c>
      <c r="B581" s="20" t="str">
        <f>HYPERLINK("https://twitter.com/TheCanaryNews","@TheCanaryNews")</f>
        <v>@TheCanaryNews</v>
      </c>
      <c r="C581" s="21" t="s">
        <v>1314</v>
      </c>
      <c r="D581" s="21" t="s">
        <v>1315</v>
      </c>
      <c r="E581" s="22" t="str">
        <f>HYPERLINK("https://twitter.com/TheCanaryNews/status/804010570097770497","804010570097770497")</f>
        <v>804010570097770497</v>
      </c>
      <c r="F581" s="23" t="s">
        <v>689</v>
      </c>
      <c r="G581" s="24">
        <v>1523.0</v>
      </c>
      <c r="H581" s="24">
        <v>1439.0</v>
      </c>
      <c r="I581" s="24">
        <v>0.0</v>
      </c>
      <c r="J581" s="24">
        <v>0.0</v>
      </c>
      <c r="K581" s="23" t="s">
        <v>27</v>
      </c>
      <c r="L581" s="25">
        <v>40520.84924768518</v>
      </c>
      <c r="M581" s="26" t="s">
        <v>109</v>
      </c>
      <c r="N581" s="26" t="s">
        <v>1316</v>
      </c>
      <c r="O581" s="22" t="str">
        <f>HYPERLINK("https://pbs.twimg.com/profile_images/422427750876463104/qmjyKloM_normal.png","View")</f>
        <v>View</v>
      </c>
      <c r="P581" s="27"/>
    </row>
    <row r="582">
      <c r="A582" s="19">
        <v>42704.72960648148</v>
      </c>
      <c r="B582" s="20" t="str">
        <f>HYPERLINK("https://twitter.com/manuelcarranco","@manuelcarranco")</f>
        <v>@manuelcarranco</v>
      </c>
      <c r="C582" s="21" t="s">
        <v>274</v>
      </c>
      <c r="D582" s="21" t="s">
        <v>1317</v>
      </c>
      <c r="E582" s="22" t="str">
        <f>HYPERLINK("https://twitter.com/manuelcarranco/status/804014789974294528","804014789974294528")</f>
        <v>804014789974294528</v>
      </c>
      <c r="F582" s="23" t="s">
        <v>81</v>
      </c>
      <c r="G582" s="24">
        <v>846.0</v>
      </c>
      <c r="H582" s="24">
        <v>346.0</v>
      </c>
      <c r="I582" s="24">
        <v>0.0</v>
      </c>
      <c r="J582" s="24">
        <v>0.0</v>
      </c>
      <c r="K582" s="23" t="s">
        <v>27</v>
      </c>
      <c r="L582" s="25">
        <v>40072.69292824074</v>
      </c>
      <c r="M582" s="26" t="s">
        <v>55</v>
      </c>
      <c r="N582" s="26" t="s">
        <v>276</v>
      </c>
      <c r="O582" s="22" t="str">
        <f>HYPERLINK("https://pbs.twimg.com/profile_images/525944451177263104/jGofUCAA_normal.jpeg","View")</f>
        <v>View</v>
      </c>
      <c r="P582" s="27" t="str">
        <f>HYPERLINK("https://ctrlq.org/maps/address/#28.89141333,-13.87531167","Map")</f>
        <v>#ERROR!</v>
      </c>
    </row>
    <row r="583">
      <c r="A583" s="19">
        <v>42704.74493055556</v>
      </c>
      <c r="B583" s="20" t="str">
        <f>HYPERLINK("https://twitter.com/gp_riccardi","@gp_riccardi")</f>
        <v>@gp_riccardi</v>
      </c>
      <c r="C583" s="21" t="s">
        <v>1318</v>
      </c>
      <c r="D583" s="21" t="s">
        <v>1319</v>
      </c>
      <c r="E583" s="22" t="str">
        <f>HYPERLINK("https://twitter.com/gp_riccardi/status/804020343153291265","804020343153291265")</f>
        <v>804020343153291265</v>
      </c>
      <c r="F583" s="23" t="s">
        <v>37</v>
      </c>
      <c r="G583" s="24">
        <v>320.0</v>
      </c>
      <c r="H583" s="24">
        <v>241.0</v>
      </c>
      <c r="I583" s="24">
        <v>0.0</v>
      </c>
      <c r="J583" s="24">
        <v>1.0</v>
      </c>
      <c r="K583" s="23" t="s">
        <v>27</v>
      </c>
      <c r="L583" s="25">
        <v>41305.89166666666</v>
      </c>
      <c r="M583" s="26" t="s">
        <v>1320</v>
      </c>
      <c r="N583" s="26" t="s">
        <v>1321</v>
      </c>
      <c r="O583" s="22" t="str">
        <f>HYPERLINK("https://pbs.twimg.com/profile_images/589084104337055744/-e8CU0iA_normal.jpg","View")</f>
        <v>View</v>
      </c>
      <c r="P583" s="27"/>
    </row>
    <row r="584">
      <c r="A584" s="19">
        <v>42704.755520833336</v>
      </c>
      <c r="B584" s="20" t="str">
        <f>HYPERLINK("https://twitter.com/KarlosAlipio","@KarlosAlipio")</f>
        <v>@KarlosAlipio</v>
      </c>
      <c r="C584" s="21" t="s">
        <v>1322</v>
      </c>
      <c r="D584" s="21" t="s">
        <v>1323</v>
      </c>
      <c r="E584" s="22" t="str">
        <f>HYPERLINK("https://twitter.com/KarlosAlipio/status/804024180849147905","804024180849147905")</f>
        <v>804024180849147905</v>
      </c>
      <c r="F584" s="23" t="s">
        <v>69</v>
      </c>
      <c r="G584" s="24">
        <v>6738.0</v>
      </c>
      <c r="H584" s="24">
        <v>6099.0</v>
      </c>
      <c r="I584" s="24">
        <v>12.0</v>
      </c>
      <c r="J584" s="24">
        <v>41.0</v>
      </c>
      <c r="K584" s="23" t="s">
        <v>27</v>
      </c>
      <c r="L584" s="25">
        <v>41899.97125</v>
      </c>
      <c r="M584" s="26" t="s">
        <v>1324</v>
      </c>
      <c r="N584" s="26" t="s">
        <v>1325</v>
      </c>
      <c r="O584" s="22" t="str">
        <f>HYPERLINK("https://pbs.twimg.com/profile_images/553505598214795265/eZDHgh3u_normal.jpeg","View")</f>
        <v>View</v>
      </c>
      <c r="P584" s="27"/>
    </row>
    <row r="585">
      <c r="A585" s="19">
        <v>42704.75811342592</v>
      </c>
      <c r="B585" s="20" t="str">
        <f>HYPERLINK("https://twitter.com/DaniQSTrail","@DaniQSTrail")</f>
        <v>@DaniQSTrail</v>
      </c>
      <c r="C585" s="21" t="s">
        <v>1236</v>
      </c>
      <c r="D585" s="21" t="s">
        <v>1326</v>
      </c>
      <c r="E585" s="22" t="str">
        <f>HYPERLINK("https://twitter.com/DaniQSTrail/status/804025121094692864","804025121094692864")</f>
        <v>804025121094692864</v>
      </c>
      <c r="F585" s="23" t="s">
        <v>41</v>
      </c>
      <c r="G585" s="24">
        <v>310.0</v>
      </c>
      <c r="H585" s="24">
        <v>245.0</v>
      </c>
      <c r="I585" s="24">
        <v>1.0</v>
      </c>
      <c r="J585" s="24">
        <v>0.0</v>
      </c>
      <c r="K585" s="23" t="s">
        <v>27</v>
      </c>
      <c r="L585" s="25">
        <v>40703.57363425926</v>
      </c>
      <c r="M585" s="26" t="s">
        <v>109</v>
      </c>
      <c r="N585" s="26" t="s">
        <v>1327</v>
      </c>
      <c r="O585" s="22" t="str">
        <f>HYPERLINK("https://pbs.twimg.com/profile_images/3406518046/925ba13d0c1c96b119d41ca18a84f192_normal.jpeg","View")</f>
        <v>View</v>
      </c>
      <c r="P585" s="27"/>
    </row>
    <row r="586">
      <c r="A586" s="19">
        <v>42704.75923611112</v>
      </c>
      <c r="B586" s="20" t="str">
        <f>HYPERLINK("https://twitter.com/argentbeauquest","@argentbeauquest")</f>
        <v>@argentbeauquest</v>
      </c>
      <c r="C586" s="21" t="s">
        <v>1328</v>
      </c>
      <c r="D586" s="21" t="s">
        <v>1329</v>
      </c>
      <c r="E586" s="22" t="str">
        <f>HYPERLINK("https://twitter.com/argentbeauquest/status/804025527363371010","804025527363371010")</f>
        <v>804025527363371010</v>
      </c>
      <c r="F586" s="23" t="s">
        <v>37</v>
      </c>
      <c r="G586" s="24">
        <v>38543.0</v>
      </c>
      <c r="H586" s="24">
        <v>37408.0</v>
      </c>
      <c r="I586" s="24">
        <v>0.0</v>
      </c>
      <c r="J586" s="24">
        <v>0.0</v>
      </c>
      <c r="K586" s="23" t="s">
        <v>27</v>
      </c>
      <c r="L586" s="25">
        <v>39903.6596412037</v>
      </c>
      <c r="M586" s="26" t="s">
        <v>1330</v>
      </c>
      <c r="N586" s="26" t="s">
        <v>1331</v>
      </c>
      <c r="O586" s="22" t="str">
        <f>HYPERLINK("https://pbs.twimg.com/profile_images/557976996735512576/Hl5qRsIA_normal.jpeg","View")</f>
        <v>View</v>
      </c>
      <c r="P586" s="27"/>
    </row>
    <row r="587">
      <c r="A587" s="19">
        <v>42704.761249999996</v>
      </c>
      <c r="B587" s="20" t="str">
        <f>HYPERLINK("https://twitter.com/MariolaTNFGC84","@MariolaTNFGC84")</f>
        <v>@MariolaTNFGC84</v>
      </c>
      <c r="C587" s="21" t="s">
        <v>385</v>
      </c>
      <c r="D587" s="21" t="s">
        <v>1332</v>
      </c>
      <c r="E587" s="22" t="str">
        <f>HYPERLINK("https://twitter.com/MariolaTNFGC84/status/804026257470062599","804026257470062599")</f>
        <v>804026257470062599</v>
      </c>
      <c r="F587" s="23" t="s">
        <v>37</v>
      </c>
      <c r="G587" s="24">
        <v>391.0</v>
      </c>
      <c r="H587" s="24">
        <v>891.0</v>
      </c>
      <c r="I587" s="24">
        <v>12.0</v>
      </c>
      <c r="J587" s="24">
        <v>0.0</v>
      </c>
      <c r="K587" s="23" t="s">
        <v>27</v>
      </c>
      <c r="L587" s="25">
        <v>42181.55790509259</v>
      </c>
      <c r="M587" s="28"/>
      <c r="N587" s="28"/>
      <c r="O587" s="22" t="str">
        <f>HYPERLINK("https://pbs.twimg.com/profile_images/765266327804190720/3kytWWcC_normal.jpg","View")</f>
        <v>View</v>
      </c>
      <c r="P587" s="27"/>
    </row>
    <row r="588">
      <c r="A588" s="19">
        <v>42704.76608796296</v>
      </c>
      <c r="B588" s="20" t="str">
        <f>HYPERLINK("https://twitter.com/PdPasito","@PdPasito")</f>
        <v>@PdPasito</v>
      </c>
      <c r="C588" s="21" t="s">
        <v>1333</v>
      </c>
      <c r="D588" s="21" t="s">
        <v>1334</v>
      </c>
      <c r="E588" s="22" t="str">
        <f>HYPERLINK("https://twitter.com/PdPasito/status/804028011356028929","804028011356028929")</f>
        <v>804028011356028929</v>
      </c>
      <c r="F588" s="23" t="s">
        <v>81</v>
      </c>
      <c r="G588" s="24">
        <v>26.0</v>
      </c>
      <c r="H588" s="24">
        <v>88.0</v>
      </c>
      <c r="I588" s="24">
        <v>0.0</v>
      </c>
      <c r="J588" s="24">
        <v>1.0</v>
      </c>
      <c r="K588" s="23" t="s">
        <v>27</v>
      </c>
      <c r="L588" s="25">
        <v>42539.66892361111</v>
      </c>
      <c r="M588" s="26" t="s">
        <v>1335</v>
      </c>
      <c r="N588" s="26" t="s">
        <v>1336</v>
      </c>
      <c r="O588" s="22" t="str">
        <f>HYPERLINK("https://pbs.twimg.com/profile_images/758788015040888832/S06cQIeK_normal.jpg","View")</f>
        <v>View</v>
      </c>
      <c r="P588" s="27"/>
    </row>
    <row r="589">
      <c r="A589" s="19">
        <v>42704.768414351856</v>
      </c>
      <c r="B589" s="20" t="str">
        <f>HYPERLINK("https://twitter.com/holyber","@holyber")</f>
        <v>@holyber</v>
      </c>
      <c r="C589" s="21" t="s">
        <v>45</v>
      </c>
      <c r="D589" s="21" t="s">
        <v>1332</v>
      </c>
      <c r="E589" s="22" t="str">
        <f>HYPERLINK("https://twitter.com/holyber/status/804028853924593665","804028853924593665")</f>
        <v>804028853924593665</v>
      </c>
      <c r="F589" s="23" t="s">
        <v>37</v>
      </c>
      <c r="G589" s="24">
        <v>106410.0</v>
      </c>
      <c r="H589" s="24">
        <v>94316.0</v>
      </c>
      <c r="I589" s="24">
        <v>12.0</v>
      </c>
      <c r="J589" s="24">
        <v>0.0</v>
      </c>
      <c r="K589" s="23" t="s">
        <v>27</v>
      </c>
      <c r="L589" s="25">
        <v>41144.80637731482</v>
      </c>
      <c r="M589" s="26" t="s">
        <v>46</v>
      </c>
      <c r="N589" s="26" t="s">
        <v>47</v>
      </c>
      <c r="O589" s="22" t="str">
        <f>HYPERLINK("https://pbs.twimg.com/profile_images/475644614448123904/FiCl2pX4_normal.jpeg","View")</f>
        <v>View</v>
      </c>
      <c r="P589" s="27"/>
    </row>
    <row r="590">
      <c r="A590" s="19">
        <v>42704.77232638889</v>
      </c>
      <c r="B590" s="20" t="str">
        <f>HYPERLINK("https://twitter.com/KayakBak","@KayakBak")</f>
        <v>@KayakBak</v>
      </c>
      <c r="C590" s="21" t="s">
        <v>1337</v>
      </c>
      <c r="D590" s="21" t="s">
        <v>1338</v>
      </c>
      <c r="E590" s="22" t="str">
        <f>HYPERLINK("https://twitter.com/KayakBak/status/804030269716107270","804030269716107270")</f>
        <v>804030269716107270</v>
      </c>
      <c r="F590" s="23" t="s">
        <v>69</v>
      </c>
      <c r="G590" s="24">
        <v>89.0</v>
      </c>
      <c r="H590" s="24">
        <v>283.0</v>
      </c>
      <c r="I590" s="24">
        <v>0.0</v>
      </c>
      <c r="J590" s="24">
        <v>0.0</v>
      </c>
      <c r="K590" s="23" t="s">
        <v>27</v>
      </c>
      <c r="L590" s="25">
        <v>41316.22059027778</v>
      </c>
      <c r="M590" s="26" t="s">
        <v>1339</v>
      </c>
      <c r="N590" s="26" t="s">
        <v>1340</v>
      </c>
      <c r="O590" s="22" t="str">
        <f>HYPERLINK("https://pbs.twimg.com/profile_images/694242395123236864/1Shv44NL_normal.jpg","View")</f>
        <v>View</v>
      </c>
      <c r="P590" s="27"/>
    </row>
    <row r="591">
      <c r="A591" s="19">
        <v>42704.776296296295</v>
      </c>
      <c r="B591" s="20" t="str">
        <f>HYPERLINK("https://twitter.com/pazgcmara","@pazgcmara")</f>
        <v>@pazgcmara</v>
      </c>
      <c r="C591" s="21" t="s">
        <v>311</v>
      </c>
      <c r="D591" s="21" t="s">
        <v>1332</v>
      </c>
      <c r="E591" s="22" t="str">
        <f>HYPERLINK("https://twitter.com/pazgcmara/status/804031710727905281","804031710727905281")</f>
        <v>804031710727905281</v>
      </c>
      <c r="F591" s="23" t="s">
        <v>41</v>
      </c>
      <c r="G591" s="24">
        <v>115.0</v>
      </c>
      <c r="H591" s="24">
        <v>132.0</v>
      </c>
      <c r="I591" s="24">
        <v>12.0</v>
      </c>
      <c r="J591" s="24">
        <v>0.0</v>
      </c>
      <c r="K591" s="23" t="s">
        <v>27</v>
      </c>
      <c r="L591" s="25">
        <v>41154.95905092593</v>
      </c>
      <c r="M591" s="28"/>
      <c r="N591" s="28"/>
      <c r="O591" s="22" t="str">
        <f>HYPERLINK("https://pbs.twimg.com/profile_images/774629921771626496/5phwvhV0_normal.jpg","View")</f>
        <v>View</v>
      </c>
      <c r="P591" s="27"/>
    </row>
    <row r="592">
      <c r="A592" s="19">
        <v>42704.77810185185</v>
      </c>
      <c r="B592" s="20" t="str">
        <f>HYPERLINK("https://twitter.com/Mari_Ramos_","@Mari_Ramos_")</f>
        <v>@Mari_Ramos_</v>
      </c>
      <c r="C592" s="21" t="s">
        <v>1341</v>
      </c>
      <c r="D592" s="21" t="s">
        <v>1332</v>
      </c>
      <c r="E592" s="22" t="str">
        <f>HYPERLINK("https://twitter.com/Mari_Ramos_/status/804032363995004929","804032363995004929")</f>
        <v>804032363995004929</v>
      </c>
      <c r="F592" s="23" t="s">
        <v>41</v>
      </c>
      <c r="G592" s="24">
        <v>560.0</v>
      </c>
      <c r="H592" s="24">
        <v>1066.0</v>
      </c>
      <c r="I592" s="24">
        <v>12.0</v>
      </c>
      <c r="J592" s="24">
        <v>0.0</v>
      </c>
      <c r="K592" s="23" t="s">
        <v>27</v>
      </c>
      <c r="L592" s="25">
        <v>40371.71640046296</v>
      </c>
      <c r="M592" s="26" t="s">
        <v>1342</v>
      </c>
      <c r="N592" s="26" t="s">
        <v>1343</v>
      </c>
      <c r="O592" s="22" t="str">
        <f>HYPERLINK("https://pbs.twimg.com/profile_images/794679362788478977/dOKv-_FP_normal.jpg","View")</f>
        <v>View</v>
      </c>
      <c r="P592" s="27"/>
    </row>
    <row r="593">
      <c r="A593" s="19">
        <v>42704.78287037037</v>
      </c>
      <c r="B593" s="20" t="str">
        <f t="shared" ref="B593:B600" si="62">HYPERLINK("https://twitter.com/elastword","@elastword")</f>
        <v>@elastword</v>
      </c>
      <c r="C593" s="21" t="s">
        <v>253</v>
      </c>
      <c r="D593" s="21" t="s">
        <v>1344</v>
      </c>
      <c r="E593" s="22" t="str">
        <f>HYPERLINK("https://twitter.com/elastword/status/804034091175682048","804034091175682048")</f>
        <v>804034091175682048</v>
      </c>
      <c r="F593" s="23" t="s">
        <v>81</v>
      </c>
      <c r="G593" s="24">
        <v>595.0</v>
      </c>
      <c r="H593" s="24">
        <v>417.0</v>
      </c>
      <c r="I593" s="24">
        <v>0.0</v>
      </c>
      <c r="J593" s="24">
        <v>0.0</v>
      </c>
      <c r="K593" s="23" t="s">
        <v>27</v>
      </c>
      <c r="L593" s="25">
        <v>40520.91306712963</v>
      </c>
      <c r="M593" s="26" t="s">
        <v>255</v>
      </c>
      <c r="N593" s="26" t="s">
        <v>256</v>
      </c>
      <c r="O593" s="22" t="str">
        <f t="shared" ref="O593:O600" si="63">HYPERLINK("https://pbs.twimg.com/profile_images/779785036996415489/a2nilB1d_normal.jpg","View")</f>
        <v>View</v>
      </c>
      <c r="P593" s="27" t="str">
        <f t="shared" ref="P593:P600" si="64">HYPERLINK("https://ctrlq.org/maps/address/#29.23138889,-13.50194444","Map")</f>
        <v>#ERROR!</v>
      </c>
    </row>
    <row r="594">
      <c r="A594" s="19">
        <v>42704.78430555556</v>
      </c>
      <c r="B594" s="20" t="str">
        <f t="shared" si="62"/>
        <v>@elastword</v>
      </c>
      <c r="C594" s="21" t="s">
        <v>253</v>
      </c>
      <c r="D594" s="21" t="s">
        <v>1345</v>
      </c>
      <c r="E594" s="22" t="str">
        <f>HYPERLINK("https://twitter.com/elastword/status/804034611776876544","804034611776876544")</f>
        <v>804034611776876544</v>
      </c>
      <c r="F594" s="23" t="s">
        <v>81</v>
      </c>
      <c r="G594" s="24">
        <v>595.0</v>
      </c>
      <c r="H594" s="24">
        <v>417.0</v>
      </c>
      <c r="I594" s="24">
        <v>0.0</v>
      </c>
      <c r="J594" s="24">
        <v>0.0</v>
      </c>
      <c r="K594" s="23" t="s">
        <v>27</v>
      </c>
      <c r="L594" s="25">
        <v>40520.91306712963</v>
      </c>
      <c r="M594" s="26" t="s">
        <v>255</v>
      </c>
      <c r="N594" s="26" t="s">
        <v>256</v>
      </c>
      <c r="O594" s="22" t="str">
        <f t="shared" si="63"/>
        <v>View</v>
      </c>
      <c r="P594" s="27" t="str">
        <f t="shared" si="64"/>
        <v>#ERROR!</v>
      </c>
    </row>
    <row r="595">
      <c r="A595" s="19">
        <v>42704.78548611111</v>
      </c>
      <c r="B595" s="20" t="str">
        <f t="shared" si="62"/>
        <v>@elastword</v>
      </c>
      <c r="C595" s="21" t="s">
        <v>253</v>
      </c>
      <c r="D595" s="21" t="s">
        <v>1346</v>
      </c>
      <c r="E595" s="22" t="str">
        <f>HYPERLINK("https://twitter.com/elastword/status/804035040036302848","804035040036302848")</f>
        <v>804035040036302848</v>
      </c>
      <c r="F595" s="23" t="s">
        <v>81</v>
      </c>
      <c r="G595" s="24">
        <v>595.0</v>
      </c>
      <c r="H595" s="24">
        <v>417.0</v>
      </c>
      <c r="I595" s="24">
        <v>0.0</v>
      </c>
      <c r="J595" s="24">
        <v>1.0</v>
      </c>
      <c r="K595" s="23" t="s">
        <v>27</v>
      </c>
      <c r="L595" s="25">
        <v>40520.91306712963</v>
      </c>
      <c r="M595" s="26" t="s">
        <v>255</v>
      </c>
      <c r="N595" s="26" t="s">
        <v>256</v>
      </c>
      <c r="O595" s="22" t="str">
        <f t="shared" si="63"/>
        <v>View</v>
      </c>
      <c r="P595" s="27" t="str">
        <f t="shared" si="64"/>
        <v>#ERROR!</v>
      </c>
    </row>
    <row r="596">
      <c r="A596" s="19">
        <v>42704.786724537036</v>
      </c>
      <c r="B596" s="20" t="str">
        <f t="shared" si="62"/>
        <v>@elastword</v>
      </c>
      <c r="C596" s="21" t="s">
        <v>253</v>
      </c>
      <c r="D596" s="21" t="s">
        <v>1347</v>
      </c>
      <c r="E596" s="22" t="str">
        <f>HYPERLINK("https://twitter.com/elastword/status/804035488898117632","804035488898117632")</f>
        <v>804035488898117632</v>
      </c>
      <c r="F596" s="23" t="s">
        <v>81</v>
      </c>
      <c r="G596" s="24">
        <v>595.0</v>
      </c>
      <c r="H596" s="24">
        <v>417.0</v>
      </c>
      <c r="I596" s="24">
        <v>0.0</v>
      </c>
      <c r="J596" s="24">
        <v>0.0</v>
      </c>
      <c r="K596" s="23" t="s">
        <v>27</v>
      </c>
      <c r="L596" s="25">
        <v>40520.91306712963</v>
      </c>
      <c r="M596" s="26" t="s">
        <v>255</v>
      </c>
      <c r="N596" s="26" t="s">
        <v>256</v>
      </c>
      <c r="O596" s="22" t="str">
        <f t="shared" si="63"/>
        <v>View</v>
      </c>
      <c r="P596" s="27" t="str">
        <f t="shared" si="64"/>
        <v>#ERROR!</v>
      </c>
    </row>
    <row r="597">
      <c r="A597" s="19">
        <v>42704.78836805555</v>
      </c>
      <c r="B597" s="20" t="str">
        <f t="shared" si="62"/>
        <v>@elastword</v>
      </c>
      <c r="C597" s="21" t="s">
        <v>253</v>
      </c>
      <c r="D597" s="21" t="s">
        <v>1348</v>
      </c>
      <c r="E597" s="22" t="str">
        <f>HYPERLINK("https://twitter.com/elastword/status/804036083323281408","804036083323281408")</f>
        <v>804036083323281408</v>
      </c>
      <c r="F597" s="23" t="s">
        <v>81</v>
      </c>
      <c r="G597" s="24">
        <v>595.0</v>
      </c>
      <c r="H597" s="24">
        <v>417.0</v>
      </c>
      <c r="I597" s="24">
        <v>0.0</v>
      </c>
      <c r="J597" s="24">
        <v>0.0</v>
      </c>
      <c r="K597" s="23" t="s">
        <v>27</v>
      </c>
      <c r="L597" s="25">
        <v>40520.91306712963</v>
      </c>
      <c r="M597" s="26" t="s">
        <v>255</v>
      </c>
      <c r="N597" s="26" t="s">
        <v>256</v>
      </c>
      <c r="O597" s="22" t="str">
        <f t="shared" si="63"/>
        <v>View</v>
      </c>
      <c r="P597" s="27" t="str">
        <f t="shared" si="64"/>
        <v>#ERROR!</v>
      </c>
    </row>
    <row r="598">
      <c r="A598" s="19">
        <v>42704.790185185186</v>
      </c>
      <c r="B598" s="20" t="str">
        <f t="shared" si="62"/>
        <v>@elastword</v>
      </c>
      <c r="C598" s="21" t="s">
        <v>253</v>
      </c>
      <c r="D598" s="21" t="s">
        <v>1349</v>
      </c>
      <c r="E598" s="22" t="str">
        <f>HYPERLINK("https://twitter.com/elastword/status/804036744991494144","804036744991494144")</f>
        <v>804036744991494144</v>
      </c>
      <c r="F598" s="23" t="s">
        <v>81</v>
      </c>
      <c r="G598" s="24">
        <v>595.0</v>
      </c>
      <c r="H598" s="24">
        <v>417.0</v>
      </c>
      <c r="I598" s="24">
        <v>1.0</v>
      </c>
      <c r="J598" s="24">
        <v>0.0</v>
      </c>
      <c r="K598" s="23" t="s">
        <v>27</v>
      </c>
      <c r="L598" s="25">
        <v>40520.91306712963</v>
      </c>
      <c r="M598" s="26" t="s">
        <v>255</v>
      </c>
      <c r="N598" s="26" t="s">
        <v>256</v>
      </c>
      <c r="O598" s="22" t="str">
        <f t="shared" si="63"/>
        <v>View</v>
      </c>
      <c r="P598" s="27" t="str">
        <f t="shared" si="64"/>
        <v>#ERROR!</v>
      </c>
    </row>
    <row r="599">
      <c r="A599" s="19">
        <v>42704.791550925926</v>
      </c>
      <c r="B599" s="20" t="str">
        <f t="shared" si="62"/>
        <v>@elastword</v>
      </c>
      <c r="C599" s="21" t="s">
        <v>253</v>
      </c>
      <c r="D599" s="21" t="s">
        <v>1350</v>
      </c>
      <c r="E599" s="22" t="str">
        <f>HYPERLINK("https://twitter.com/elastword/status/804037238375886848","804037238375886848")</f>
        <v>804037238375886848</v>
      </c>
      <c r="F599" s="23" t="s">
        <v>81</v>
      </c>
      <c r="G599" s="24">
        <v>595.0</v>
      </c>
      <c r="H599" s="24">
        <v>417.0</v>
      </c>
      <c r="I599" s="24">
        <v>0.0</v>
      </c>
      <c r="J599" s="24">
        <v>0.0</v>
      </c>
      <c r="K599" s="23" t="s">
        <v>27</v>
      </c>
      <c r="L599" s="25">
        <v>40520.91306712963</v>
      </c>
      <c r="M599" s="26" t="s">
        <v>255</v>
      </c>
      <c r="N599" s="26" t="s">
        <v>256</v>
      </c>
      <c r="O599" s="22" t="str">
        <f t="shared" si="63"/>
        <v>View</v>
      </c>
      <c r="P599" s="27" t="str">
        <f t="shared" si="64"/>
        <v>#ERROR!</v>
      </c>
    </row>
    <row r="600">
      <c r="A600" s="19">
        <v>42704.793171296296</v>
      </c>
      <c r="B600" s="20" t="str">
        <f t="shared" si="62"/>
        <v>@elastword</v>
      </c>
      <c r="C600" s="21" t="s">
        <v>253</v>
      </c>
      <c r="D600" s="21" t="s">
        <v>1351</v>
      </c>
      <c r="E600" s="22" t="str">
        <f>HYPERLINK("https://twitter.com/elastword/status/804037826824146944","804037826824146944")</f>
        <v>804037826824146944</v>
      </c>
      <c r="F600" s="23" t="s">
        <v>81</v>
      </c>
      <c r="G600" s="24">
        <v>595.0</v>
      </c>
      <c r="H600" s="24">
        <v>417.0</v>
      </c>
      <c r="I600" s="24">
        <v>0.0</v>
      </c>
      <c r="J600" s="24">
        <v>0.0</v>
      </c>
      <c r="K600" s="23" t="s">
        <v>27</v>
      </c>
      <c r="L600" s="25">
        <v>40520.91306712963</v>
      </c>
      <c r="M600" s="26" t="s">
        <v>255</v>
      </c>
      <c r="N600" s="26" t="s">
        <v>256</v>
      </c>
      <c r="O600" s="22" t="str">
        <f t="shared" si="63"/>
        <v>View</v>
      </c>
      <c r="P600" s="27" t="str">
        <f t="shared" si="64"/>
        <v>#ERROR!</v>
      </c>
    </row>
    <row r="601">
      <c r="A601" s="19">
        <v>42704.79357638889</v>
      </c>
      <c r="B601" s="20" t="str">
        <f>HYPERLINK("https://twitter.com/lisiteasa","@lisiteasa")</f>
        <v>@lisiteasa</v>
      </c>
      <c r="C601" s="21" t="s">
        <v>1352</v>
      </c>
      <c r="D601" s="21" t="s">
        <v>1332</v>
      </c>
      <c r="E601" s="22" t="str">
        <f>HYPERLINK("https://twitter.com/lisiteasa/status/804037973599784960","804037973599784960")</f>
        <v>804037973599784960</v>
      </c>
      <c r="F601" s="23" t="s">
        <v>41</v>
      </c>
      <c r="G601" s="24">
        <v>101.0</v>
      </c>
      <c r="H601" s="24">
        <v>56.0</v>
      </c>
      <c r="I601" s="24">
        <v>12.0</v>
      </c>
      <c r="J601" s="24">
        <v>0.0</v>
      </c>
      <c r="K601" s="23" t="s">
        <v>27</v>
      </c>
      <c r="L601" s="25">
        <v>40581.884108796294</v>
      </c>
      <c r="M601" s="26" t="s">
        <v>372</v>
      </c>
      <c r="N601" s="28"/>
      <c r="O601" s="22" t="str">
        <f>HYPERLINK("https://pbs.twimg.com/profile_images/453186198161608705/-GokHl9z_normal.jpeg","View")</f>
        <v>View</v>
      </c>
      <c r="P601" s="27"/>
    </row>
    <row r="602">
      <c r="A602" s="19">
        <v>42704.79491898148</v>
      </c>
      <c r="B602" s="20" t="str">
        <f t="shared" ref="B602:B603" si="65">HYPERLINK("https://twitter.com/elastword","@elastword")</f>
        <v>@elastword</v>
      </c>
      <c r="C602" s="21" t="s">
        <v>253</v>
      </c>
      <c r="D602" s="21" t="s">
        <v>1353</v>
      </c>
      <c r="E602" s="22" t="str">
        <f>HYPERLINK("https://twitter.com/elastword/status/804038460625432576","804038460625432576")</f>
        <v>804038460625432576</v>
      </c>
      <c r="F602" s="23" t="s">
        <v>81</v>
      </c>
      <c r="G602" s="24">
        <v>595.0</v>
      </c>
      <c r="H602" s="24">
        <v>417.0</v>
      </c>
      <c r="I602" s="24">
        <v>0.0</v>
      </c>
      <c r="J602" s="24">
        <v>1.0</v>
      </c>
      <c r="K602" s="23" t="s">
        <v>27</v>
      </c>
      <c r="L602" s="25">
        <v>40520.91306712963</v>
      </c>
      <c r="M602" s="26" t="s">
        <v>255</v>
      </c>
      <c r="N602" s="26" t="s">
        <v>256</v>
      </c>
      <c r="O602" s="22" t="str">
        <f t="shared" ref="O602:O603" si="66">HYPERLINK("https://pbs.twimg.com/profile_images/779785036996415489/a2nilB1d_normal.jpg","View")</f>
        <v>View</v>
      </c>
      <c r="P602" s="27" t="str">
        <f t="shared" ref="P602:P603" si="67">HYPERLINK("https://ctrlq.org/maps/address/#29.23027674,-13.50313935","Map")</f>
        <v>#ERROR!</v>
      </c>
    </row>
    <row r="603">
      <c r="A603" s="19">
        <v>42704.79677083333</v>
      </c>
      <c r="B603" s="20" t="str">
        <f t="shared" si="65"/>
        <v>@elastword</v>
      </c>
      <c r="C603" s="21" t="s">
        <v>253</v>
      </c>
      <c r="D603" s="21" t="s">
        <v>1354</v>
      </c>
      <c r="E603" s="22" t="str">
        <f>HYPERLINK("https://twitter.com/elastword/status/804039131101675520","804039131101675520")</f>
        <v>804039131101675520</v>
      </c>
      <c r="F603" s="23" t="s">
        <v>81</v>
      </c>
      <c r="G603" s="24">
        <v>595.0</v>
      </c>
      <c r="H603" s="24">
        <v>417.0</v>
      </c>
      <c r="I603" s="24">
        <v>0.0</v>
      </c>
      <c r="J603" s="24">
        <v>0.0</v>
      </c>
      <c r="K603" s="23" t="s">
        <v>27</v>
      </c>
      <c r="L603" s="25">
        <v>40520.91306712963</v>
      </c>
      <c r="M603" s="26" t="s">
        <v>255</v>
      </c>
      <c r="N603" s="26" t="s">
        <v>256</v>
      </c>
      <c r="O603" s="22" t="str">
        <f t="shared" si="66"/>
        <v>View</v>
      </c>
      <c r="P603" s="27" t="str">
        <f t="shared" si="67"/>
        <v>#ERROR!</v>
      </c>
    </row>
    <row r="604">
      <c r="A604" s="19">
        <v>42704.79765046296</v>
      </c>
      <c r="B604" s="20" t="str">
        <f>HYPERLINK("https://twitter.com/HugoFigBla","@HugoFigBla")</f>
        <v>@HugoFigBla</v>
      </c>
      <c r="C604" s="21" t="s">
        <v>1355</v>
      </c>
      <c r="D604" s="21" t="s">
        <v>1356</v>
      </c>
      <c r="E604" s="22" t="str">
        <f>HYPERLINK("https://twitter.com/HugoFigBla/status/804039450259030021","804039450259030021")</f>
        <v>804039450259030021</v>
      </c>
      <c r="F604" s="23" t="s">
        <v>26</v>
      </c>
      <c r="G604" s="24">
        <v>935.0</v>
      </c>
      <c r="H604" s="24">
        <v>3371.0</v>
      </c>
      <c r="I604" s="24">
        <v>3.0</v>
      </c>
      <c r="J604" s="24">
        <v>0.0</v>
      </c>
      <c r="K604" s="23" t="s">
        <v>27</v>
      </c>
      <c r="L604" s="25">
        <v>40228.44579861111</v>
      </c>
      <c r="M604" s="26" t="s">
        <v>1357</v>
      </c>
      <c r="N604" s="26" t="s">
        <v>1358</v>
      </c>
      <c r="O604" s="22" t="str">
        <f>HYPERLINK("https://pbs.twimg.com/profile_images/628119404484689920/yMerjzyW_normal.jpg","View")</f>
        <v>View</v>
      </c>
      <c r="P604" s="27"/>
    </row>
    <row r="605">
      <c r="A605" s="19">
        <v>42704.79809027778</v>
      </c>
      <c r="B605" s="20" t="str">
        <f t="shared" ref="B605:B607" si="68">HYPERLINK("https://twitter.com/elastword","@elastword")</f>
        <v>@elastword</v>
      </c>
      <c r="C605" s="21" t="s">
        <v>253</v>
      </c>
      <c r="D605" s="21" t="s">
        <v>1359</v>
      </c>
      <c r="E605" s="22" t="str">
        <f>HYPERLINK("https://twitter.com/elastword/status/804039608618975232","804039608618975232")</f>
        <v>804039608618975232</v>
      </c>
      <c r="F605" s="23" t="s">
        <v>81</v>
      </c>
      <c r="G605" s="24">
        <v>595.0</v>
      </c>
      <c r="H605" s="24">
        <v>417.0</v>
      </c>
      <c r="I605" s="24">
        <v>0.0</v>
      </c>
      <c r="J605" s="24">
        <v>0.0</v>
      </c>
      <c r="K605" s="23" t="s">
        <v>27</v>
      </c>
      <c r="L605" s="25">
        <v>40520.91306712963</v>
      </c>
      <c r="M605" s="26" t="s">
        <v>255</v>
      </c>
      <c r="N605" s="26" t="s">
        <v>256</v>
      </c>
      <c r="O605" s="22" t="str">
        <f t="shared" ref="O605:O607" si="69">HYPERLINK("https://pbs.twimg.com/profile_images/779785036996415489/a2nilB1d_normal.jpg","View")</f>
        <v>View</v>
      </c>
      <c r="P605" s="27" t="str">
        <f t="shared" ref="P605:P607" si="70">HYPERLINK("https://ctrlq.org/maps/address/#29.23027674,-13.50313935","Map")</f>
        <v>#ERROR!</v>
      </c>
    </row>
    <row r="606">
      <c r="A606" s="19">
        <v>42704.7993287037</v>
      </c>
      <c r="B606" s="20" t="str">
        <f t="shared" si="68"/>
        <v>@elastword</v>
      </c>
      <c r="C606" s="21" t="s">
        <v>253</v>
      </c>
      <c r="D606" s="21" t="s">
        <v>1360</v>
      </c>
      <c r="E606" s="22" t="str">
        <f>HYPERLINK("https://twitter.com/elastword/status/804040056595877888","804040056595877888")</f>
        <v>804040056595877888</v>
      </c>
      <c r="F606" s="23" t="s">
        <v>81</v>
      </c>
      <c r="G606" s="24">
        <v>595.0</v>
      </c>
      <c r="H606" s="24">
        <v>417.0</v>
      </c>
      <c r="I606" s="24">
        <v>0.0</v>
      </c>
      <c r="J606" s="24">
        <v>0.0</v>
      </c>
      <c r="K606" s="23" t="s">
        <v>27</v>
      </c>
      <c r="L606" s="25">
        <v>40520.91306712963</v>
      </c>
      <c r="M606" s="26" t="s">
        <v>255</v>
      </c>
      <c r="N606" s="26" t="s">
        <v>256</v>
      </c>
      <c r="O606" s="22" t="str">
        <f t="shared" si="69"/>
        <v>View</v>
      </c>
      <c r="P606" s="27" t="str">
        <f t="shared" si="70"/>
        <v>#ERROR!</v>
      </c>
    </row>
    <row r="607">
      <c r="A607" s="19">
        <v>42704.80099537037</v>
      </c>
      <c r="B607" s="20" t="str">
        <f t="shared" si="68"/>
        <v>@elastword</v>
      </c>
      <c r="C607" s="21" t="s">
        <v>253</v>
      </c>
      <c r="D607" s="21" t="s">
        <v>1361</v>
      </c>
      <c r="E607" s="22" t="str">
        <f>HYPERLINK("https://twitter.com/elastword/status/804040658906267649","804040658906267649")</f>
        <v>804040658906267649</v>
      </c>
      <c r="F607" s="23" t="s">
        <v>81</v>
      </c>
      <c r="G607" s="24">
        <v>595.0</v>
      </c>
      <c r="H607" s="24">
        <v>417.0</v>
      </c>
      <c r="I607" s="24">
        <v>0.0</v>
      </c>
      <c r="J607" s="24">
        <v>0.0</v>
      </c>
      <c r="K607" s="23" t="s">
        <v>27</v>
      </c>
      <c r="L607" s="25">
        <v>40520.91306712963</v>
      </c>
      <c r="M607" s="26" t="s">
        <v>255</v>
      </c>
      <c r="N607" s="26" t="s">
        <v>256</v>
      </c>
      <c r="O607" s="22" t="str">
        <f t="shared" si="69"/>
        <v>View</v>
      </c>
      <c r="P607" s="27" t="str">
        <f t="shared" si="70"/>
        <v>#ERROR!</v>
      </c>
    </row>
    <row r="608">
      <c r="A608" s="19">
        <v>42704.803148148145</v>
      </c>
      <c r="B608" s="20" t="str">
        <f>HYPERLINK("https://twitter.com/MedCruiseGuide","@MedCruiseGuide")</f>
        <v>@MedCruiseGuide</v>
      </c>
      <c r="C608" s="21" t="s">
        <v>75</v>
      </c>
      <c r="D608" s="21" t="s">
        <v>1362</v>
      </c>
      <c r="E608" s="22" t="str">
        <f>HYPERLINK("https://twitter.com/MedCruiseGuide/status/804041442112995328","804041442112995328")</f>
        <v>804041442112995328</v>
      </c>
      <c r="F608" s="23" t="s">
        <v>77</v>
      </c>
      <c r="G608" s="24">
        <v>20863.0</v>
      </c>
      <c r="H608" s="24">
        <v>19280.0</v>
      </c>
      <c r="I608" s="24">
        <v>1.0</v>
      </c>
      <c r="J608" s="24">
        <v>1.0</v>
      </c>
      <c r="K608" s="23" t="s">
        <v>27</v>
      </c>
      <c r="L608" s="25">
        <v>40592.49048611111</v>
      </c>
      <c r="M608" s="28"/>
      <c r="N608" s="26" t="s">
        <v>78</v>
      </c>
      <c r="O608" s="22" t="str">
        <f>HYPERLINK("https://pbs.twimg.com/profile_images/805484536301780992/2tho24Rf_normal.jpg","View")</f>
        <v>View</v>
      </c>
      <c r="P608" s="27"/>
    </row>
    <row r="609">
      <c r="A609" s="19">
        <v>42704.80564814815</v>
      </c>
      <c r="B609" s="20" t="str">
        <f>HYPERLINK("https://twitter.com/CanaryIslandsEN","@CanaryIslandsEN")</f>
        <v>@CanaryIslandsEN</v>
      </c>
      <c r="C609" s="21" t="s">
        <v>165</v>
      </c>
      <c r="D609" s="21" t="s">
        <v>1363</v>
      </c>
      <c r="E609" s="22" t="str">
        <f>HYPERLINK("https://twitter.com/CanaryIslandsEN/status/804042346023288841","804042346023288841")</f>
        <v>804042346023288841</v>
      </c>
      <c r="F609" s="23" t="s">
        <v>167</v>
      </c>
      <c r="G609" s="24">
        <v>14287.0</v>
      </c>
      <c r="H609" s="24">
        <v>1533.0</v>
      </c>
      <c r="I609" s="24">
        <v>7.0</v>
      </c>
      <c r="J609" s="24">
        <v>27.0</v>
      </c>
      <c r="K609" s="23" t="s">
        <v>27</v>
      </c>
      <c r="L609" s="25">
        <v>41264.365949074076</v>
      </c>
      <c r="M609" s="26" t="s">
        <v>168</v>
      </c>
      <c r="N609" s="26" t="s">
        <v>169</v>
      </c>
      <c r="O609" s="22" t="str">
        <f>HYPERLINK("https://pbs.twimg.com/profile_images/754960714704584704/14dQxsF8_normal.jpg","View")</f>
        <v>View</v>
      </c>
      <c r="P609" s="27"/>
    </row>
    <row r="610">
      <c r="A610" s="19">
        <v>42704.80881944444</v>
      </c>
      <c r="B610" s="20" t="str">
        <f>HYPERLINK("https://twitter.com/NicholasBWood","@NicholasBWood")</f>
        <v>@NicholasBWood</v>
      </c>
      <c r="C610" s="21" t="s">
        <v>1364</v>
      </c>
      <c r="D610" s="21" t="s">
        <v>1365</v>
      </c>
      <c r="E610" s="22" t="str">
        <f>HYPERLINK("https://twitter.com/NicholasBWood/status/804043495979810816","804043495979810816")</f>
        <v>804043495979810816</v>
      </c>
      <c r="F610" s="23" t="s">
        <v>26</v>
      </c>
      <c r="G610" s="24">
        <v>371.0</v>
      </c>
      <c r="H610" s="24">
        <v>613.0</v>
      </c>
      <c r="I610" s="24">
        <v>7.0</v>
      </c>
      <c r="J610" s="24">
        <v>0.0</v>
      </c>
      <c r="K610" s="23" t="s">
        <v>27</v>
      </c>
      <c r="L610" s="25">
        <v>40009.81122685185</v>
      </c>
      <c r="M610" s="26" t="s">
        <v>1366</v>
      </c>
      <c r="N610" s="26" t="s">
        <v>1367</v>
      </c>
      <c r="O610" s="22" t="str">
        <f>HYPERLINK("https://pbs.twimg.com/profile_images/739951889446506496/_jSJEwAW_normal.jpg","View")</f>
        <v>View</v>
      </c>
      <c r="P610" s="27"/>
    </row>
    <row r="611">
      <c r="A611" s="19">
        <v>42704.80982638889</v>
      </c>
      <c r="B611" s="20" t="str">
        <f>HYPERLINK("https://twitter.com/flormar4141","@flormar4141")</f>
        <v>@flormar4141</v>
      </c>
      <c r="C611" s="21" t="s">
        <v>1368</v>
      </c>
      <c r="D611" s="21" t="s">
        <v>1369</v>
      </c>
      <c r="E611" s="22" t="str">
        <f>HYPERLINK("https://twitter.com/flormar4141/status/804043861190385664","804043861190385664")</f>
        <v>804043861190385664</v>
      </c>
      <c r="F611" s="23" t="s">
        <v>81</v>
      </c>
      <c r="G611" s="24">
        <v>214.0</v>
      </c>
      <c r="H611" s="24">
        <v>294.0</v>
      </c>
      <c r="I611" s="24">
        <v>0.0</v>
      </c>
      <c r="J611" s="24">
        <v>0.0</v>
      </c>
      <c r="K611" s="23" t="s">
        <v>27</v>
      </c>
      <c r="L611" s="25">
        <v>41488.63042824074</v>
      </c>
      <c r="M611" s="26" t="s">
        <v>282</v>
      </c>
      <c r="N611" s="26" t="s">
        <v>1370</v>
      </c>
      <c r="O611" s="22" t="str">
        <f>HYPERLINK("https://pbs.twimg.com/profile_images/698938993665253376/C6mN6wKo_normal.jpg","View")</f>
        <v>View</v>
      </c>
      <c r="P611" s="27" t="str">
        <f>HYPERLINK("https://ctrlq.org/maps/address/#28.268611,-16.605556","Map")</f>
        <v>#ERROR!</v>
      </c>
    </row>
    <row r="612">
      <c r="A612" s="19">
        <v>42704.81041666667</v>
      </c>
      <c r="B612" s="20" t="str">
        <f>HYPERLINK("https://twitter.com/holyber","@holyber")</f>
        <v>@holyber</v>
      </c>
      <c r="C612" s="21" t="s">
        <v>45</v>
      </c>
      <c r="D612" s="21" t="s">
        <v>1365</v>
      </c>
      <c r="E612" s="22" t="str">
        <f>HYPERLINK("https://twitter.com/holyber/status/804044074105864192","804044074105864192")</f>
        <v>804044074105864192</v>
      </c>
      <c r="F612" s="23" t="s">
        <v>37</v>
      </c>
      <c r="G612" s="24">
        <v>106410.0</v>
      </c>
      <c r="H612" s="24">
        <v>94316.0</v>
      </c>
      <c r="I612" s="24">
        <v>7.0</v>
      </c>
      <c r="J612" s="24">
        <v>0.0</v>
      </c>
      <c r="K612" s="23" t="s">
        <v>27</v>
      </c>
      <c r="L612" s="25">
        <v>41144.80637731482</v>
      </c>
      <c r="M612" s="26" t="s">
        <v>46</v>
      </c>
      <c r="N612" s="26" t="s">
        <v>47</v>
      </c>
      <c r="O612" s="22" t="str">
        <f>HYPERLINK("https://pbs.twimg.com/profile_images/475644614448123904/FiCl2pX4_normal.jpeg","View")</f>
        <v>View</v>
      </c>
      <c r="P612" s="27"/>
    </row>
    <row r="613">
      <c r="A613" s="19">
        <v>42704.81284722222</v>
      </c>
      <c r="B613" s="20" t="str">
        <f>HYPERLINK("https://twitter.com/enduriaholidays","@enduriaholidays")</f>
        <v>@enduriaholidays</v>
      </c>
      <c r="C613" s="21" t="s">
        <v>173</v>
      </c>
      <c r="D613" s="21" t="s">
        <v>1371</v>
      </c>
      <c r="E613" s="22" t="str">
        <f>HYPERLINK("https://twitter.com/enduriaholidays/status/804044955698266126","804044955698266126")</f>
        <v>804044955698266126</v>
      </c>
      <c r="F613" s="23" t="s">
        <v>69</v>
      </c>
      <c r="G613" s="24">
        <v>319.0</v>
      </c>
      <c r="H613" s="24">
        <v>313.0</v>
      </c>
      <c r="I613" s="24">
        <v>0.0</v>
      </c>
      <c r="J613" s="24">
        <v>0.0</v>
      </c>
      <c r="K613" s="23" t="s">
        <v>27</v>
      </c>
      <c r="L613" s="25">
        <v>42489.5252662037</v>
      </c>
      <c r="M613" s="28"/>
      <c r="N613" s="28"/>
      <c r="O613" s="22" t="str">
        <f>HYPERLINK("https://pbs.twimg.com/profile_images/726026649356128258/xCSaP1IW_normal.jpg","View")</f>
        <v>View</v>
      </c>
      <c r="P613" s="27"/>
    </row>
    <row r="614">
      <c r="A614" s="19">
        <v>42704.81612268518</v>
      </c>
      <c r="B614" s="20" t="str">
        <f>HYPERLINK("https://twitter.com/doeseatoat","@doeseatoat")</f>
        <v>@doeseatoat</v>
      </c>
      <c r="C614" s="21" t="s">
        <v>1372</v>
      </c>
      <c r="D614" s="21" t="s">
        <v>872</v>
      </c>
      <c r="E614" s="22" t="str">
        <f>HYPERLINK("https://twitter.com/doeseatoat/status/804046143705452549","804046143705452549")</f>
        <v>804046143705452549</v>
      </c>
      <c r="F614" s="23" t="s">
        <v>37</v>
      </c>
      <c r="G614" s="24">
        <v>187.0</v>
      </c>
      <c r="H614" s="24">
        <v>72.0</v>
      </c>
      <c r="I614" s="24">
        <v>8.0</v>
      </c>
      <c r="J614" s="24">
        <v>0.0</v>
      </c>
      <c r="K614" s="23" t="s">
        <v>27</v>
      </c>
      <c r="L614" s="25">
        <v>41512.47107638889</v>
      </c>
      <c r="M614" s="26" t="s">
        <v>1373</v>
      </c>
      <c r="N614" s="26" t="s">
        <v>1374</v>
      </c>
      <c r="O614" s="22" t="str">
        <f>HYPERLINK("https://pbs.twimg.com/profile_images/576401817203916802/GjLCylLd_normal.jpeg","View")</f>
        <v>View</v>
      </c>
      <c r="P614" s="27"/>
    </row>
    <row r="615">
      <c r="A615" s="19">
        <v>42704.819293981476</v>
      </c>
      <c r="B615" s="20" t="str">
        <f>HYPERLINK("https://twitter.com/imasillypirate","@imasillypirate")</f>
        <v>@imasillypirate</v>
      </c>
      <c r="C615" s="21" t="s">
        <v>1375</v>
      </c>
      <c r="D615" s="21" t="s">
        <v>1376</v>
      </c>
      <c r="E615" s="22" t="str">
        <f>HYPERLINK("https://twitter.com/imasillypirate/status/804047292785303552","804047292785303552")</f>
        <v>804047292785303552</v>
      </c>
      <c r="F615" s="23" t="s">
        <v>1377</v>
      </c>
      <c r="G615" s="24">
        <v>6619.0</v>
      </c>
      <c r="H615" s="24">
        <v>6763.0</v>
      </c>
      <c r="I615" s="24">
        <v>1.0</v>
      </c>
      <c r="J615" s="24">
        <v>0.0</v>
      </c>
      <c r="K615" s="23" t="s">
        <v>27</v>
      </c>
      <c r="L615" s="25">
        <v>39788.14262731482</v>
      </c>
      <c r="M615" s="26" t="s">
        <v>1378</v>
      </c>
      <c r="N615" s="26" t="s">
        <v>1379</v>
      </c>
      <c r="O615" s="22" t="str">
        <f>HYPERLINK("https://pbs.twimg.com/profile_images/674426786139140096/NZQcGW6O_normal.png","View")</f>
        <v>View</v>
      </c>
      <c r="P615" s="27"/>
    </row>
    <row r="616">
      <c r="A616" s="19">
        <v>42704.82739583333</v>
      </c>
      <c r="B616" s="20" t="str">
        <f>HYPERLINK("https://twitter.com/Duna83_24","@Duna83_24")</f>
        <v>@Duna83_24</v>
      </c>
      <c r="C616" s="21" t="s">
        <v>1380</v>
      </c>
      <c r="D616" s="21" t="s">
        <v>1332</v>
      </c>
      <c r="E616" s="22" t="str">
        <f>HYPERLINK("https://twitter.com/Duna83_24/status/804050225929342977","804050225929342977")</f>
        <v>804050225929342977</v>
      </c>
      <c r="F616" s="23" t="s">
        <v>37</v>
      </c>
      <c r="G616" s="24">
        <v>506.0</v>
      </c>
      <c r="H616" s="24">
        <v>545.0</v>
      </c>
      <c r="I616" s="24">
        <v>12.0</v>
      </c>
      <c r="J616" s="24">
        <v>0.0</v>
      </c>
      <c r="K616" s="23" t="s">
        <v>27</v>
      </c>
      <c r="L616" s="25">
        <v>41103.0868287037</v>
      </c>
      <c r="M616" s="28"/>
      <c r="N616" s="26" t="s">
        <v>1381</v>
      </c>
      <c r="O616" s="22" t="str">
        <f>HYPERLINK("https://pbs.twimg.com/profile_images/2977809331/e5ecce8de5c25c1d6d079af6b3e9522e_normal.jpeg","View")</f>
        <v>View</v>
      </c>
      <c r="P616" s="27"/>
    </row>
    <row r="617">
      <c r="A617" s="19">
        <v>42704.82752314815</v>
      </c>
      <c r="B617" s="20" t="str">
        <f>HYPERLINK("https://twitter.com/ElenaArtuso","@ElenaArtuso")</f>
        <v>@ElenaArtuso</v>
      </c>
      <c r="C617" s="21" t="s">
        <v>1382</v>
      </c>
      <c r="D617" s="21" t="s">
        <v>1383</v>
      </c>
      <c r="E617" s="22" t="str">
        <f>HYPERLINK("https://twitter.com/ElenaArtuso/status/804050275074011136","804050275074011136")</f>
        <v>804050275074011136</v>
      </c>
      <c r="F617" s="23" t="s">
        <v>81</v>
      </c>
      <c r="G617" s="24">
        <v>350.0</v>
      </c>
      <c r="H617" s="24">
        <v>680.0</v>
      </c>
      <c r="I617" s="24">
        <v>0.0</v>
      </c>
      <c r="J617" s="24">
        <v>0.0</v>
      </c>
      <c r="K617" s="23" t="s">
        <v>27</v>
      </c>
      <c r="L617" s="25">
        <v>40931.94268518519</v>
      </c>
      <c r="M617" s="28"/>
      <c r="N617" s="28"/>
      <c r="O617" s="22" t="str">
        <f>HYPERLINK("https://pbs.twimg.com/profile_images/638362621385789440/r8DPoMAV_normal.jpg","View")</f>
        <v>View</v>
      </c>
      <c r="P617" s="27" t="str">
        <f>HYPERLINK("https://ctrlq.org/maps/address/#28.14507,-15.65515","Map")</f>
        <v>#ERROR!</v>
      </c>
    </row>
    <row r="618">
      <c r="A618" s="19">
        <v>42704.82837962963</v>
      </c>
      <c r="B618" s="20" t="str">
        <f>HYPERLINK("https://twitter.com/CardiffDir","@CardiffDir")</f>
        <v>@CardiffDir</v>
      </c>
      <c r="C618" s="21" t="s">
        <v>1384</v>
      </c>
      <c r="D618" s="21" t="s">
        <v>1365</v>
      </c>
      <c r="E618" s="22" t="str">
        <f>HYPERLINK("https://twitter.com/CardiffDir/status/804050583527231488","804050583527231488")</f>
        <v>804050583527231488</v>
      </c>
      <c r="F618" s="23" t="s">
        <v>37</v>
      </c>
      <c r="G618" s="24">
        <v>2771.0</v>
      </c>
      <c r="H618" s="24">
        <v>4775.0</v>
      </c>
      <c r="I618" s="24">
        <v>7.0</v>
      </c>
      <c r="J618" s="24">
        <v>0.0</v>
      </c>
      <c r="K618" s="23" t="s">
        <v>27</v>
      </c>
      <c r="L618" s="25">
        <v>42170.93026620371</v>
      </c>
      <c r="M618" s="26" t="s">
        <v>1385</v>
      </c>
      <c r="N618" s="26" t="s">
        <v>1386</v>
      </c>
      <c r="O618" s="22" t="str">
        <f>HYPERLINK("https://pbs.twimg.com/profile_images/698548528185008128/_Wgzxkti_normal.png","View")</f>
        <v>View</v>
      </c>
      <c r="P618" s="27"/>
    </row>
    <row r="619">
      <c r="A619" s="19">
        <v>42704.84065972222</v>
      </c>
      <c r="B619" s="20" t="str">
        <f>HYPERLINK("https://twitter.com/iBydaute","@iBydaute")</f>
        <v>@iBydaute</v>
      </c>
      <c r="C619" s="21" t="s">
        <v>209</v>
      </c>
      <c r="D619" s="21" t="s">
        <v>1387</v>
      </c>
      <c r="E619" s="22" t="str">
        <f>HYPERLINK("https://twitter.com/iBydaute/status/804055034933612544","804055034933612544")</f>
        <v>804055034933612544</v>
      </c>
      <c r="F619" s="23" t="s">
        <v>81</v>
      </c>
      <c r="G619" s="24">
        <v>581.0</v>
      </c>
      <c r="H619" s="24">
        <v>2037.0</v>
      </c>
      <c r="I619" s="24">
        <v>0.0</v>
      </c>
      <c r="J619" s="24">
        <v>0.0</v>
      </c>
      <c r="K619" s="23" t="s">
        <v>27</v>
      </c>
      <c r="L619" s="25">
        <v>39919.48771990741</v>
      </c>
      <c r="M619" s="26" t="s">
        <v>211</v>
      </c>
      <c r="N619" s="26" t="s">
        <v>212</v>
      </c>
      <c r="O619" s="22" t="str">
        <f>HYPERLINK("https://pbs.twimg.com/profile_images/703743884745187328/qEMih7VE_normal.jpg","View")</f>
        <v>View</v>
      </c>
      <c r="P619" s="27" t="str">
        <f>HYPERLINK("https://ctrlq.org/maps/address/#28.3658242,-16.8167118","Map")</f>
        <v>#ERROR!</v>
      </c>
    </row>
    <row r="620">
      <c r="A620" s="19">
        <v>42704.84376157407</v>
      </c>
      <c r="B620" s="20" t="str">
        <f>HYPERLINK("https://twitter.com/salvamento8","@salvamento8")</f>
        <v>@salvamento8</v>
      </c>
      <c r="C620" s="21" t="s">
        <v>1388</v>
      </c>
      <c r="D620" s="21" t="s">
        <v>1332</v>
      </c>
      <c r="E620" s="22" t="str">
        <f>HYPERLINK("https://twitter.com/salvamento8/status/804056159267278851","804056159267278851")</f>
        <v>804056159267278851</v>
      </c>
      <c r="F620" s="23" t="s">
        <v>41</v>
      </c>
      <c r="G620" s="24">
        <v>617.0</v>
      </c>
      <c r="H620" s="24">
        <v>1235.0</v>
      </c>
      <c r="I620" s="24">
        <v>12.0</v>
      </c>
      <c r="J620" s="24">
        <v>0.0</v>
      </c>
      <c r="K620" s="23" t="s">
        <v>27</v>
      </c>
      <c r="L620" s="25">
        <v>41865.9071875</v>
      </c>
      <c r="M620" s="26" t="s">
        <v>282</v>
      </c>
      <c r="N620" s="26" t="s">
        <v>1389</v>
      </c>
      <c r="O620" s="22" t="str">
        <f>HYPERLINK("https://pbs.twimg.com/profile_images/659738193110114304/d0jceFyK_normal.jpg","View")</f>
        <v>View</v>
      </c>
      <c r="P620" s="27"/>
    </row>
    <row r="621">
      <c r="A621" s="19">
        <v>42704.865115740744</v>
      </c>
      <c r="B621" s="20" t="str">
        <f>HYPERLINK("https://twitter.com/MedCruiseGuide","@MedCruiseGuide")</f>
        <v>@MedCruiseGuide</v>
      </c>
      <c r="C621" s="21" t="s">
        <v>75</v>
      </c>
      <c r="D621" s="21" t="s">
        <v>1390</v>
      </c>
      <c r="E621" s="22" t="str">
        <f>HYPERLINK("https://twitter.com/MedCruiseGuide/status/804063898181701632","804063898181701632")</f>
        <v>804063898181701632</v>
      </c>
      <c r="F621" s="23" t="s">
        <v>77</v>
      </c>
      <c r="G621" s="24">
        <v>20863.0</v>
      </c>
      <c r="H621" s="24">
        <v>19280.0</v>
      </c>
      <c r="I621" s="24">
        <v>0.0</v>
      </c>
      <c r="J621" s="24">
        <v>0.0</v>
      </c>
      <c r="K621" s="23" t="s">
        <v>27</v>
      </c>
      <c r="L621" s="25">
        <v>40592.49048611111</v>
      </c>
      <c r="M621" s="28"/>
      <c r="N621" s="26" t="s">
        <v>78</v>
      </c>
      <c r="O621" s="22" t="str">
        <f>HYPERLINK("https://pbs.twimg.com/profile_images/805484536301780992/2tho24Rf_normal.jpg","View")</f>
        <v>View</v>
      </c>
      <c r="P621" s="27"/>
    </row>
    <row r="622">
      <c r="A622" s="19">
        <v>42704.879895833335</v>
      </c>
      <c r="B622" s="20" t="str">
        <f>HYPERLINK("https://twitter.com/BritSchoolGC","@BritSchoolGC")</f>
        <v>@BritSchoolGC</v>
      </c>
      <c r="C622" s="21" t="s">
        <v>1259</v>
      </c>
      <c r="D622" s="21" t="s">
        <v>1391</v>
      </c>
      <c r="E622" s="22" t="str">
        <f>HYPERLINK("https://twitter.com/BritSchoolGC/status/804069252210786304","804069252210786304")</f>
        <v>804069252210786304</v>
      </c>
      <c r="F622" s="23" t="s">
        <v>167</v>
      </c>
      <c r="G622" s="24">
        <v>99.0</v>
      </c>
      <c r="H622" s="24">
        <v>150.0</v>
      </c>
      <c r="I622" s="24">
        <v>0.0</v>
      </c>
      <c r="J622" s="24">
        <v>1.0</v>
      </c>
      <c r="K622" s="23" t="s">
        <v>27</v>
      </c>
      <c r="L622" s="25">
        <v>42538.46364583333</v>
      </c>
      <c r="M622" s="26" t="s">
        <v>332</v>
      </c>
      <c r="N622" s="26" t="s">
        <v>1260</v>
      </c>
      <c r="O622" s="22" t="str">
        <f>HYPERLINK("https://pbs.twimg.com/profile_images/743747412934549504/0IyF4J14_normal.jpg","View")</f>
        <v>View</v>
      </c>
      <c r="P622" s="27"/>
    </row>
    <row r="623">
      <c r="A623" s="19">
        <v>42704.881516203706</v>
      </c>
      <c r="B623" s="20" t="str">
        <f>HYPERLINK("https://twitter.com/luci_sa_","@luci_sa_")</f>
        <v>@luci_sa_</v>
      </c>
      <c r="C623" s="21" t="s">
        <v>1392</v>
      </c>
      <c r="D623" s="21" t="s">
        <v>1332</v>
      </c>
      <c r="E623" s="22" t="str">
        <f>HYPERLINK("https://twitter.com/luci_sa_/status/804069838679396355","804069838679396355")</f>
        <v>804069838679396355</v>
      </c>
      <c r="F623" s="23" t="s">
        <v>37</v>
      </c>
      <c r="G623" s="24">
        <v>1259.0</v>
      </c>
      <c r="H623" s="24">
        <v>698.0</v>
      </c>
      <c r="I623" s="24">
        <v>12.0</v>
      </c>
      <c r="J623" s="24">
        <v>0.0</v>
      </c>
      <c r="K623" s="23" t="s">
        <v>27</v>
      </c>
      <c r="L623" s="25">
        <v>41616.741898148146</v>
      </c>
      <c r="M623" s="26" t="s">
        <v>1393</v>
      </c>
      <c r="N623" s="26" t="s">
        <v>1394</v>
      </c>
      <c r="O623" s="22" t="str">
        <f>HYPERLINK("https://pbs.twimg.com/profile_images/505922142685249537/KghCStCx_normal.jpeg","View")</f>
        <v>View</v>
      </c>
      <c r="P623" s="27"/>
    </row>
    <row r="624">
      <c r="A624" s="19">
        <v>42704.88728009259</v>
      </c>
      <c r="B624" s="20" t="str">
        <f>HYPERLINK("https://twitter.com/PtFilomena","@PtFilomena")</f>
        <v>@PtFilomena</v>
      </c>
      <c r="C624" s="21" t="s">
        <v>1395</v>
      </c>
      <c r="D624" s="21" t="s">
        <v>1396</v>
      </c>
      <c r="E624" s="22" t="str">
        <f>HYPERLINK("https://twitter.com/PtFilomena/status/804071928055078912","804071928055078912")</f>
        <v>804071928055078912</v>
      </c>
      <c r="F624" s="23" t="s">
        <v>41</v>
      </c>
      <c r="G624" s="24">
        <v>562.0</v>
      </c>
      <c r="H624" s="24">
        <v>1310.0</v>
      </c>
      <c r="I624" s="24">
        <v>1.0</v>
      </c>
      <c r="J624" s="24">
        <v>0.0</v>
      </c>
      <c r="K624" s="23" t="s">
        <v>27</v>
      </c>
      <c r="L624" s="25">
        <v>42502.90421296297</v>
      </c>
      <c r="M624" s="28"/>
      <c r="N624" s="28"/>
      <c r="O624" s="22" t="str">
        <f>HYPERLINK("https://pbs.twimg.com/profile_images/736692472445865988/4mMMy3k7_normal.jpg","View")</f>
        <v>View</v>
      </c>
      <c r="P624" s="27"/>
    </row>
    <row r="625">
      <c r="A625" s="19">
        <v>42704.89019675926</v>
      </c>
      <c r="B625" s="20" t="str">
        <f>HYPERLINK("https://twitter.com/TheBrandAnalyst","@TheBrandAnalyst")</f>
        <v>@TheBrandAnalyst</v>
      </c>
      <c r="C625" s="21" t="s">
        <v>1397</v>
      </c>
      <c r="D625" s="21" t="s">
        <v>1398</v>
      </c>
      <c r="E625" s="22" t="str">
        <f>HYPERLINK("https://twitter.com/TheBrandAnalyst/status/804072985191731200","804072985191731200")</f>
        <v>804072985191731200</v>
      </c>
      <c r="F625" s="23" t="s">
        <v>41</v>
      </c>
      <c r="G625" s="24">
        <v>2335.0</v>
      </c>
      <c r="H625" s="24">
        <v>2147.0</v>
      </c>
      <c r="I625" s="24">
        <v>2.0</v>
      </c>
      <c r="J625" s="24">
        <v>5.0</v>
      </c>
      <c r="K625" s="23" t="s">
        <v>27</v>
      </c>
      <c r="L625" s="25">
        <v>40984.89209490741</v>
      </c>
      <c r="M625" s="26" t="s">
        <v>1172</v>
      </c>
      <c r="N625" s="26" t="s">
        <v>1399</v>
      </c>
      <c r="O625" s="22" t="str">
        <f>HYPERLINK("https://pbs.twimg.com/profile_images/657095542678396928/AMTcv_N8_normal.jpg","View")</f>
        <v>View</v>
      </c>
      <c r="P625" s="27"/>
    </row>
    <row r="626">
      <c r="A626" s="19">
        <v>42704.893541666665</v>
      </c>
      <c r="B626" s="20" t="str">
        <f>HYPERLINK("https://twitter.com/MandosDeBorja","@MandosDeBorja")</f>
        <v>@MandosDeBorja</v>
      </c>
      <c r="C626" s="21" t="s">
        <v>1400</v>
      </c>
      <c r="D626" s="21" t="s">
        <v>1401</v>
      </c>
      <c r="E626" s="22" t="str">
        <f>HYPERLINK("https://twitter.com/MandosDeBorja/status/804074196431228928","804074196431228928")</f>
        <v>804074196431228928</v>
      </c>
      <c r="F626" s="23" t="s">
        <v>41</v>
      </c>
      <c r="G626" s="24">
        <v>212.0</v>
      </c>
      <c r="H626" s="24">
        <v>485.0</v>
      </c>
      <c r="I626" s="24">
        <v>1.0</v>
      </c>
      <c r="J626" s="24">
        <v>1.0</v>
      </c>
      <c r="K626" s="23" t="s">
        <v>27</v>
      </c>
      <c r="L626" s="25">
        <v>41660.438472222224</v>
      </c>
      <c r="M626" s="26" t="s">
        <v>1402</v>
      </c>
      <c r="N626" s="26" t="s">
        <v>1403</v>
      </c>
      <c r="O626" s="22" t="str">
        <f>HYPERLINK("https://pbs.twimg.com/profile_images/798660397729542144/fmlILttv_normal.jpg","View")</f>
        <v>View</v>
      </c>
      <c r="P626" s="27"/>
    </row>
    <row r="627">
      <c r="A627" s="19">
        <v>42704.89885416666</v>
      </c>
      <c r="B627" s="20" t="str">
        <f>HYPERLINK("https://twitter.com/tfesocial","@tfesocial")</f>
        <v>@tfesocial</v>
      </c>
      <c r="C627" s="21" t="s">
        <v>1404</v>
      </c>
      <c r="D627" s="21" t="s">
        <v>1405</v>
      </c>
      <c r="E627" s="22" t="str">
        <f>HYPERLINK("https://twitter.com/tfesocial/status/804076122979893252","804076122979893252")</f>
        <v>804076122979893252</v>
      </c>
      <c r="F627" s="23" t="s">
        <v>37</v>
      </c>
      <c r="G627" s="24">
        <v>64.0</v>
      </c>
      <c r="H627" s="24">
        <v>407.0</v>
      </c>
      <c r="I627" s="24">
        <v>1.0</v>
      </c>
      <c r="J627" s="24">
        <v>2.0</v>
      </c>
      <c r="K627" s="23" t="s">
        <v>27</v>
      </c>
      <c r="L627" s="25">
        <v>42704.71984953704</v>
      </c>
      <c r="M627" s="26" t="s">
        <v>991</v>
      </c>
      <c r="N627" s="26" t="s">
        <v>1406</v>
      </c>
      <c r="O627" s="22" t="str">
        <f>HYPERLINK("https://pbs.twimg.com/profile_images/804014331826470912/gox71k9a_normal.jpg","View")</f>
        <v>View</v>
      </c>
      <c r="P627" s="27"/>
    </row>
    <row r="628">
      <c r="A628" s="19">
        <v>42704.906064814815</v>
      </c>
      <c r="B628" s="20" t="str">
        <f>HYPERLINK("https://twitter.com/BSvehlakova","@BSvehlakova")</f>
        <v>@BSvehlakova</v>
      </c>
      <c r="C628" s="21" t="s">
        <v>1407</v>
      </c>
      <c r="D628" s="21" t="s">
        <v>1365</v>
      </c>
      <c r="E628" s="22" t="str">
        <f>HYPERLINK("https://twitter.com/BSvehlakova/status/804078738166206464","804078738166206464")</f>
        <v>804078738166206464</v>
      </c>
      <c r="F628" s="23" t="s">
        <v>26</v>
      </c>
      <c r="G628" s="24">
        <v>872.0</v>
      </c>
      <c r="H628" s="24">
        <v>2052.0</v>
      </c>
      <c r="I628" s="24">
        <v>7.0</v>
      </c>
      <c r="J628" s="24">
        <v>0.0</v>
      </c>
      <c r="K628" s="23" t="s">
        <v>27</v>
      </c>
      <c r="L628" s="25">
        <v>41010.913090277776</v>
      </c>
      <c r="M628" s="26" t="s">
        <v>305</v>
      </c>
      <c r="N628" s="26" t="s">
        <v>1408</v>
      </c>
      <c r="O628" s="22" t="str">
        <f>HYPERLINK("https://pbs.twimg.com/profile_images/800387370893930496/syXel_Op_normal.jpg","View")</f>
        <v>View</v>
      </c>
      <c r="P628" s="27"/>
    </row>
    <row r="629">
      <c r="A629" s="19">
        <v>42704.90969907407</v>
      </c>
      <c r="B629" s="20" t="str">
        <f>HYPERLINK("https://twitter.com/mjlb","@mjlb")</f>
        <v>@mjlb</v>
      </c>
      <c r="C629" s="21" t="s">
        <v>1409</v>
      </c>
      <c r="D629" s="21" t="s">
        <v>1410</v>
      </c>
      <c r="E629" s="22" t="str">
        <f>HYPERLINK("https://twitter.com/mjlb/status/804080053478944768","804080053478944768")</f>
        <v>804080053478944768</v>
      </c>
      <c r="F629" s="23" t="s">
        <v>41</v>
      </c>
      <c r="G629" s="24">
        <v>519.0</v>
      </c>
      <c r="H629" s="24">
        <v>724.0</v>
      </c>
      <c r="I629" s="24">
        <v>1.0</v>
      </c>
      <c r="J629" s="24">
        <v>0.0</v>
      </c>
      <c r="K629" s="23" t="s">
        <v>27</v>
      </c>
      <c r="L629" s="25">
        <v>40077.96025462963</v>
      </c>
      <c r="M629" s="26" t="s">
        <v>455</v>
      </c>
      <c r="N629" s="26" t="s">
        <v>1411</v>
      </c>
      <c r="O629" s="22" t="str">
        <f>HYPERLINK("https://pbs.twimg.com/profile_images/1531477270/tw_12382722_1315322458_normal.jpg","View")</f>
        <v>View</v>
      </c>
      <c r="P629" s="27"/>
    </row>
    <row r="630">
      <c r="A630" s="19">
        <v>42704.91158564815</v>
      </c>
      <c r="B630" s="20" t="str">
        <f>HYPERLINK("https://twitter.com/GroovyHistorian","@GroovyHistorian")</f>
        <v>@GroovyHistorian</v>
      </c>
      <c r="C630" s="21" t="s">
        <v>1412</v>
      </c>
      <c r="D630" s="21" t="s">
        <v>1413</v>
      </c>
      <c r="E630" s="22" t="str">
        <f>HYPERLINK("https://twitter.com/GroovyHistorian/status/804080738035519489","804080738035519489")</f>
        <v>804080738035519489</v>
      </c>
      <c r="F630" s="23" t="s">
        <v>26</v>
      </c>
      <c r="G630" s="24">
        <v>13770.0</v>
      </c>
      <c r="H630" s="24">
        <v>6742.0</v>
      </c>
      <c r="I630" s="24">
        <v>2.0</v>
      </c>
      <c r="J630" s="24">
        <v>0.0</v>
      </c>
      <c r="K630" s="23" t="s">
        <v>27</v>
      </c>
      <c r="L630" s="25">
        <v>41007.51310185185</v>
      </c>
      <c r="M630" s="26" t="s">
        <v>1414</v>
      </c>
      <c r="N630" s="26" t="s">
        <v>1415</v>
      </c>
      <c r="O630" s="22" t="str">
        <f>HYPERLINK("https://pbs.twimg.com/profile_images/605372808542208000/nanZ1qoJ_normal.jpg","View")</f>
        <v>View</v>
      </c>
      <c r="P630" s="27"/>
    </row>
    <row r="631">
      <c r="A631" s="19">
        <v>42704.91826388889</v>
      </c>
      <c r="B631" s="20" t="str">
        <f>HYPERLINK("https://twitter.com/swisshop4uEs","@swisshop4uEs")</f>
        <v>@swisshop4uEs</v>
      </c>
      <c r="C631" s="21" t="s">
        <v>48</v>
      </c>
      <c r="D631" s="21" t="s">
        <v>1416</v>
      </c>
      <c r="E631" s="22" t="str">
        <f>HYPERLINK("https://twitter.com/swisshop4uEs/status/804083155691044864","804083155691044864")</f>
        <v>804083155691044864</v>
      </c>
      <c r="F631" s="23" t="s">
        <v>50</v>
      </c>
      <c r="G631" s="24">
        <v>455.0</v>
      </c>
      <c r="H631" s="24">
        <v>424.0</v>
      </c>
      <c r="I631" s="24">
        <v>1.0</v>
      </c>
      <c r="J631" s="24">
        <v>0.0</v>
      </c>
      <c r="K631" s="23" t="s">
        <v>27</v>
      </c>
      <c r="L631" s="25">
        <v>41468.93072916666</v>
      </c>
      <c r="M631" s="26" t="s">
        <v>51</v>
      </c>
      <c r="N631" s="26" t="s">
        <v>52</v>
      </c>
      <c r="O631" s="22" t="str">
        <f>HYPERLINK("https://pbs.twimg.com/profile_images/378800000213382003/4f562b59f92995b884d2d440f71fc5ce_normal.png","View")</f>
        <v>View</v>
      </c>
      <c r="P631" s="27"/>
    </row>
    <row r="632">
      <c r="A632" s="19">
        <v>42704.93184027778</v>
      </c>
      <c r="B632" s="20" t="str">
        <f>HYPERLINK("https://twitter.com/LesRandosdeCaco","@LesRandosdeCaco")</f>
        <v>@LesRandosdeCaco</v>
      </c>
      <c r="C632" s="21" t="s">
        <v>186</v>
      </c>
      <c r="D632" s="21" t="s">
        <v>1417</v>
      </c>
      <c r="E632" s="22" t="str">
        <f>HYPERLINK("https://twitter.com/LesRandosdeCaco/status/804088077174050817","804088077174050817")</f>
        <v>804088077174050817</v>
      </c>
      <c r="F632" s="23" t="s">
        <v>41</v>
      </c>
      <c r="G632" s="24">
        <v>7.0</v>
      </c>
      <c r="H632" s="24">
        <v>57.0</v>
      </c>
      <c r="I632" s="24">
        <v>0.0</v>
      </c>
      <c r="J632" s="24">
        <v>0.0</v>
      </c>
      <c r="K632" s="23" t="s">
        <v>27</v>
      </c>
      <c r="L632" s="25">
        <v>41643.68407407407</v>
      </c>
      <c r="M632" s="26" t="s">
        <v>188</v>
      </c>
      <c r="N632" s="26" t="s">
        <v>189</v>
      </c>
      <c r="O632" s="22" t="str">
        <f>HYPERLINK("https://pbs.twimg.com/profile_images/802073872866705408/wMHnHYch_normal.jpg","View")</f>
        <v>View</v>
      </c>
      <c r="P632" s="27"/>
    </row>
    <row r="633">
      <c r="A633" s="19">
        <v>42704.93796296296</v>
      </c>
      <c r="B633" s="20" t="str">
        <f>HYPERLINK("https://twitter.com/FlavoursandFros","@FlavoursandFros")</f>
        <v>@FlavoursandFros</v>
      </c>
      <c r="C633" s="21" t="s">
        <v>764</v>
      </c>
      <c r="D633" s="21" t="s">
        <v>1418</v>
      </c>
      <c r="E633" s="22" t="str">
        <f>HYPERLINK("https://twitter.com/FlavoursandFros/status/804090295822548994","804090295822548994")</f>
        <v>804090295822548994</v>
      </c>
      <c r="F633" s="23" t="s">
        <v>50</v>
      </c>
      <c r="G633" s="24">
        <v>10396.0</v>
      </c>
      <c r="H633" s="24">
        <v>7642.0</v>
      </c>
      <c r="I633" s="24">
        <v>0.0</v>
      </c>
      <c r="J633" s="24">
        <v>0.0</v>
      </c>
      <c r="K633" s="23" t="s">
        <v>27</v>
      </c>
      <c r="L633" s="25">
        <v>41395.61443287037</v>
      </c>
      <c r="M633" s="26" t="s">
        <v>305</v>
      </c>
      <c r="N633" s="26" t="s">
        <v>766</v>
      </c>
      <c r="O633" s="22" t="str">
        <f>HYPERLINK("https://pbs.twimg.com/profile_images/661504929606057984/Q5xrk4Oc_normal.jpg","View")</f>
        <v>View</v>
      </c>
      <c r="P633" s="27"/>
    </row>
    <row r="634">
      <c r="A634" s="19">
        <v>42704.94892361111</v>
      </c>
      <c r="B634" s="20" t="str">
        <f>HYPERLINK("https://twitter.com/DakotaLatiniqe","@DakotaLatiniqe")</f>
        <v>@DakotaLatiniqe</v>
      </c>
      <c r="C634" s="21" t="s">
        <v>1419</v>
      </c>
      <c r="D634" s="21" t="s">
        <v>1420</v>
      </c>
      <c r="E634" s="22" t="str">
        <f>HYPERLINK("https://twitter.com/DakotaLatiniqe/status/804094266213617666","804094266213617666")</f>
        <v>804094266213617666</v>
      </c>
      <c r="F634" s="23" t="s">
        <v>41</v>
      </c>
      <c r="G634" s="24">
        <v>1813.0</v>
      </c>
      <c r="H634" s="24">
        <v>1550.0</v>
      </c>
      <c r="I634" s="24">
        <v>4.0</v>
      </c>
      <c r="J634" s="24">
        <v>10.0</v>
      </c>
      <c r="K634" s="23" t="s">
        <v>27</v>
      </c>
      <c r="L634" s="25">
        <v>41940.676250000004</v>
      </c>
      <c r="M634" s="26" t="s">
        <v>1421</v>
      </c>
      <c r="N634" s="26" t="s">
        <v>1422</v>
      </c>
      <c r="O634" s="22" t="str">
        <f>HYPERLINK("https://pbs.twimg.com/profile_images/791309706040078337/0Xv9hV3Q_normal.jpg","View")</f>
        <v>View</v>
      </c>
      <c r="P634" s="27"/>
    </row>
    <row r="635">
      <c r="A635" s="19">
        <v>42704.95695601852</v>
      </c>
      <c r="B635" s="20" t="str">
        <f>HYPERLINK("https://twitter.com/JulioAl18175505","@JulioAl18175505")</f>
        <v>@JulioAl18175505</v>
      </c>
      <c r="C635" s="21" t="s">
        <v>248</v>
      </c>
      <c r="D635" s="21" t="s">
        <v>976</v>
      </c>
      <c r="E635" s="22" t="str">
        <f>HYPERLINK("https://twitter.com/JulioAl18175505/status/804097177064787968","804097177064787968")</f>
        <v>804097177064787968</v>
      </c>
      <c r="F635" s="23" t="s">
        <v>41</v>
      </c>
      <c r="G635" s="24">
        <v>3883.0</v>
      </c>
      <c r="H635" s="24">
        <v>3761.0</v>
      </c>
      <c r="I635" s="24">
        <v>3.0</v>
      </c>
      <c r="J635" s="24">
        <v>0.0</v>
      </c>
      <c r="K635" s="23" t="s">
        <v>27</v>
      </c>
      <c r="L635" s="25">
        <v>41713.45993055555</v>
      </c>
      <c r="M635" s="26" t="s">
        <v>250</v>
      </c>
      <c r="N635" s="26" t="s">
        <v>251</v>
      </c>
      <c r="O635" s="22" t="str">
        <f>HYPERLINK("https://pbs.twimg.com/profile_images/706839494851436544/7igsf91D_normal.jpg","View")</f>
        <v>View</v>
      </c>
      <c r="P635" s="27"/>
    </row>
    <row r="636">
      <c r="A636" s="19">
        <v>42704.96053240741</v>
      </c>
      <c r="B636" s="20" t="str">
        <f>HYPERLINK("https://twitter.com/mondo19641","@mondo19641")</f>
        <v>@mondo19641</v>
      </c>
      <c r="C636" s="21" t="s">
        <v>1423</v>
      </c>
      <c r="D636" s="21" t="s">
        <v>1413</v>
      </c>
      <c r="E636" s="22" t="str">
        <f>HYPERLINK("https://twitter.com/mondo19641/status/804098476866871296","804098476866871296")</f>
        <v>804098476866871296</v>
      </c>
      <c r="F636" s="23" t="s">
        <v>90</v>
      </c>
      <c r="G636" s="24">
        <v>121.0</v>
      </c>
      <c r="H636" s="24">
        <v>203.0</v>
      </c>
      <c r="I636" s="24">
        <v>2.0</v>
      </c>
      <c r="J636" s="24">
        <v>0.0</v>
      </c>
      <c r="K636" s="23" t="s">
        <v>27</v>
      </c>
      <c r="L636" s="25">
        <v>41871.060208333336</v>
      </c>
      <c r="M636" s="26" t="s">
        <v>1424</v>
      </c>
      <c r="N636" s="26" t="s">
        <v>1425</v>
      </c>
      <c r="O636" s="22" t="str">
        <f>HYPERLINK("https://pbs.twimg.com/profile_images/745558340420329472/AVr0gejI_normal.jpg","View")</f>
        <v>View</v>
      </c>
      <c r="P636" s="27"/>
    </row>
    <row r="637">
      <c r="A637" s="19">
        <v>42704.963958333334</v>
      </c>
      <c r="B637" s="20" t="str">
        <f>HYPERLINK("https://twitter.com/LocalizaloCan","@LocalizaloCan")</f>
        <v>@LocalizaloCan</v>
      </c>
      <c r="C637" s="21" t="s">
        <v>1426</v>
      </c>
      <c r="D637" s="21" t="s">
        <v>1427</v>
      </c>
      <c r="E637" s="22" t="str">
        <f>HYPERLINK("https://twitter.com/LocalizaloCan/status/804099716002828299","804099716002828299")</f>
        <v>804099716002828299</v>
      </c>
      <c r="F637" s="23" t="s">
        <v>90</v>
      </c>
      <c r="G637" s="24">
        <v>2732.0</v>
      </c>
      <c r="H637" s="24">
        <v>2743.0</v>
      </c>
      <c r="I637" s="24">
        <v>4.0</v>
      </c>
      <c r="J637" s="24">
        <v>0.0</v>
      </c>
      <c r="K637" s="23" t="s">
        <v>27</v>
      </c>
      <c r="L637" s="25">
        <v>41993.49545138889</v>
      </c>
      <c r="M637" s="26" t="s">
        <v>51</v>
      </c>
      <c r="N637" s="26" t="s">
        <v>1428</v>
      </c>
      <c r="O637" s="22" t="str">
        <f>HYPERLINK("https://pbs.twimg.com/profile_images/546273241333895168/HfArmCcQ_normal.png","View")</f>
        <v>View</v>
      </c>
      <c r="P637" s="27"/>
    </row>
    <row r="638">
      <c r="A638" s="19">
        <v>42704.975011574075</v>
      </c>
      <c r="B638" s="20" t="str">
        <f>HYPERLINK("https://twitter.com/Christi85263321","@Christi85263321")</f>
        <v>@Christi85263321</v>
      </c>
      <c r="C638" s="21" t="s">
        <v>1429</v>
      </c>
      <c r="D638" s="21" t="s">
        <v>1427</v>
      </c>
      <c r="E638" s="22" t="str">
        <f>HYPERLINK("https://twitter.com/Christi85263321/status/804103721907089409","804103721907089409")</f>
        <v>804103721907089409</v>
      </c>
      <c r="F638" s="23" t="s">
        <v>26</v>
      </c>
      <c r="G638" s="24">
        <v>4514.0</v>
      </c>
      <c r="H638" s="24">
        <v>1110.0</v>
      </c>
      <c r="I638" s="24">
        <v>4.0</v>
      </c>
      <c r="J638" s="24">
        <v>0.0</v>
      </c>
      <c r="K638" s="23" t="s">
        <v>27</v>
      </c>
      <c r="L638" s="25">
        <v>42278.726435185185</v>
      </c>
      <c r="M638" s="28"/>
      <c r="N638" s="26" t="s">
        <v>1430</v>
      </c>
      <c r="O638" s="22" t="str">
        <f>HYPERLINK("https://pbs.twimg.com/profile_images/767471758765064193/1y1DTM8p_normal.jpg","View")</f>
        <v>View</v>
      </c>
      <c r="P638" s="27"/>
    </row>
    <row r="639">
      <c r="A639" s="19">
        <v>42704.98924768518</v>
      </c>
      <c r="B639" s="20" t="str">
        <f>HYPERLINK("https://twitter.com/de1969","@de1969")</f>
        <v>@de1969</v>
      </c>
      <c r="C639" s="21" t="s">
        <v>701</v>
      </c>
      <c r="D639" s="21" t="s">
        <v>1332</v>
      </c>
      <c r="E639" s="22" t="str">
        <f>HYPERLINK("https://twitter.com/de1969/status/804108880540303360","804108880540303360")</f>
        <v>804108880540303360</v>
      </c>
      <c r="F639" s="23" t="s">
        <v>37</v>
      </c>
      <c r="G639" s="24">
        <v>5161.0</v>
      </c>
      <c r="H639" s="24">
        <v>5644.0</v>
      </c>
      <c r="I639" s="24">
        <v>12.0</v>
      </c>
      <c r="J639" s="24">
        <v>0.0</v>
      </c>
      <c r="K639" s="23" t="s">
        <v>27</v>
      </c>
      <c r="L639" s="25">
        <v>40283.409687499996</v>
      </c>
      <c r="M639" s="26" t="s">
        <v>282</v>
      </c>
      <c r="N639" s="26" t="s">
        <v>703</v>
      </c>
      <c r="O639" s="22" t="str">
        <f>HYPERLINK("https://pbs.twimg.com/profile_images/1617162796/S4010009_normal.JPG","View")</f>
        <v>View</v>
      </c>
      <c r="P639" s="27"/>
    </row>
    <row r="640">
      <c r="A640" s="19">
        <v>42704.99177083334</v>
      </c>
      <c r="B640" s="20" t="str">
        <f>HYPERLINK("https://twitter.com/ErikaMacia","@ErikaMacia")</f>
        <v>@ErikaMacia</v>
      </c>
      <c r="C640" s="21" t="s">
        <v>1431</v>
      </c>
      <c r="D640" s="21" t="s">
        <v>1432</v>
      </c>
      <c r="E640" s="22" t="str">
        <f>HYPERLINK("https://twitter.com/ErikaMacia/status/804109794760163328","804109794760163328")</f>
        <v>804109794760163328</v>
      </c>
      <c r="F640" s="23" t="s">
        <v>41</v>
      </c>
      <c r="G640" s="24">
        <v>205.0</v>
      </c>
      <c r="H640" s="24">
        <v>241.0</v>
      </c>
      <c r="I640" s="24">
        <v>0.0</v>
      </c>
      <c r="J640" s="24">
        <v>0.0</v>
      </c>
      <c r="K640" s="23" t="s">
        <v>27</v>
      </c>
      <c r="L640" s="25">
        <v>40944.53693287037</v>
      </c>
      <c r="M640" s="28"/>
      <c r="N640" s="26" t="s">
        <v>1433</v>
      </c>
      <c r="O640" s="22" t="str">
        <f>HYPERLINK("https://pbs.twimg.com/profile_images/615611595578867713/7XZv73m6_normal.jpg","View")</f>
        <v>View</v>
      </c>
      <c r="P640" s="27"/>
    </row>
    <row r="641">
      <c r="A641" s="19">
        <v>42704.997766203705</v>
      </c>
      <c r="B641" s="20" t="str">
        <f>HYPERLINK("https://twitter.com/TfeKitesurf","@TfeKitesurf")</f>
        <v>@TfeKitesurf</v>
      </c>
      <c r="C641" s="21" t="s">
        <v>1434</v>
      </c>
      <c r="D641" s="21" t="s">
        <v>1435</v>
      </c>
      <c r="E641" s="22" t="str">
        <f>HYPERLINK("https://twitter.com/TfeKitesurf/status/804111966172311552","804111966172311552")</f>
        <v>804111966172311552</v>
      </c>
      <c r="F641" s="23" t="s">
        <v>26</v>
      </c>
      <c r="G641" s="24">
        <v>1533.0</v>
      </c>
      <c r="H641" s="24">
        <v>1958.0</v>
      </c>
      <c r="I641" s="24">
        <v>2.0</v>
      </c>
      <c r="J641" s="24">
        <v>5.0</v>
      </c>
      <c r="K641" s="23" t="s">
        <v>27</v>
      </c>
      <c r="L641" s="25">
        <v>41073.453668981485</v>
      </c>
      <c r="M641" s="26" t="s">
        <v>1436</v>
      </c>
      <c r="N641" s="26" t="s">
        <v>1437</v>
      </c>
      <c r="O641" s="22" t="str">
        <f>HYPERLINK("https://pbs.twimg.com/profile_images/692758256259854340/d-9aYuwh_normal.jpg","View")</f>
        <v>View</v>
      </c>
      <c r="P641" s="27"/>
    </row>
    <row r="642">
      <c r="A642" s="19">
        <v>42704.99923611111</v>
      </c>
      <c r="B642" s="20" t="str">
        <f>HYPERLINK("https://twitter.com/millaquita01","@millaquita01")</f>
        <v>@millaquita01</v>
      </c>
      <c r="C642" s="21" t="s">
        <v>1438</v>
      </c>
      <c r="D642" s="21" t="s">
        <v>1439</v>
      </c>
      <c r="E642" s="22" t="str">
        <f>HYPERLINK("https://twitter.com/millaquita01/status/804112498563698688","804112498563698688")</f>
        <v>804112498563698688</v>
      </c>
      <c r="F642" s="23" t="s">
        <v>59</v>
      </c>
      <c r="G642" s="24">
        <v>14.0</v>
      </c>
      <c r="H642" s="24">
        <v>22.0</v>
      </c>
      <c r="I642" s="24">
        <v>0.0</v>
      </c>
      <c r="J642" s="24">
        <v>0.0</v>
      </c>
      <c r="K642" s="23" t="s">
        <v>27</v>
      </c>
      <c r="L642" s="25">
        <v>40592.47568287037</v>
      </c>
      <c r="M642" s="26" t="s">
        <v>510</v>
      </c>
      <c r="N642" s="26" t="s">
        <v>1440</v>
      </c>
      <c r="O642" s="22" t="str">
        <f>HYPERLINK("https://pbs.twimg.com/profile_images/792356121482788864/6DdzEHri_normal.jpg","View")</f>
        <v>View</v>
      </c>
      <c r="P642" s="27"/>
    </row>
    <row r="643">
      <c r="A643" s="19">
        <v>42705.00363425926</v>
      </c>
      <c r="B643" s="20" t="str">
        <f>HYPERLINK("https://twitter.com/swisshop4uEs","@swisshop4uEs")</f>
        <v>@swisshop4uEs</v>
      </c>
      <c r="C643" s="21" t="s">
        <v>48</v>
      </c>
      <c r="D643" s="21" t="s">
        <v>1441</v>
      </c>
      <c r="E643" s="22" t="str">
        <f>HYPERLINK("https://twitter.com/swisshop4uEs/status/804114094504771584","804114094504771584")</f>
        <v>804114094504771584</v>
      </c>
      <c r="F643" s="23" t="s">
        <v>50</v>
      </c>
      <c r="G643" s="24">
        <v>455.0</v>
      </c>
      <c r="H643" s="24">
        <v>424.0</v>
      </c>
      <c r="I643" s="24">
        <v>0.0</v>
      </c>
      <c r="J643" s="24">
        <v>0.0</v>
      </c>
      <c r="K643" s="23" t="s">
        <v>27</v>
      </c>
      <c r="L643" s="25">
        <v>41468.93072916666</v>
      </c>
      <c r="M643" s="26" t="s">
        <v>51</v>
      </c>
      <c r="N643" s="26" t="s">
        <v>52</v>
      </c>
      <c r="O643" s="22" t="str">
        <f>HYPERLINK("https://pbs.twimg.com/profile_images/378800000213382003/4f562b59f92995b884d2d440f71fc5ce_normal.png","View")</f>
        <v>View</v>
      </c>
      <c r="P643" s="27"/>
    </row>
    <row r="644">
      <c r="A644" s="19">
        <v>42705.024675925924</v>
      </c>
      <c r="B644" s="20" t="str">
        <f>HYPERLINK("https://twitter.com/BARBARA97459","@BARBARA97459")</f>
        <v>@BARBARA97459</v>
      </c>
      <c r="C644" s="21" t="s">
        <v>1442</v>
      </c>
      <c r="D644" s="21" t="s">
        <v>1427</v>
      </c>
      <c r="E644" s="22" t="str">
        <f>HYPERLINK("https://twitter.com/BARBARA97459/status/804121718939877377","804121718939877377")</f>
        <v>804121718939877377</v>
      </c>
      <c r="F644" s="23" t="s">
        <v>41</v>
      </c>
      <c r="G644" s="24">
        <v>185.0</v>
      </c>
      <c r="H644" s="24">
        <v>47.0</v>
      </c>
      <c r="I644" s="24">
        <v>4.0</v>
      </c>
      <c r="J644" s="24">
        <v>0.0</v>
      </c>
      <c r="K644" s="23" t="s">
        <v>27</v>
      </c>
      <c r="L644" s="25">
        <v>42700.907789351855</v>
      </c>
      <c r="M644" s="26" t="s">
        <v>1443</v>
      </c>
      <c r="N644" s="28"/>
      <c r="O644" s="22" t="str">
        <f>HYPERLINK("https://pbs.twimg.com/profile_images/805668379935776768/1oa1EDyY_normal.jpg","View")</f>
        <v>View</v>
      </c>
      <c r="P644" s="27"/>
    </row>
    <row r="645">
      <c r="A645" s="19">
        <v>42705.039768518516</v>
      </c>
      <c r="B645" s="20" t="str">
        <f>HYPERLINK("https://twitter.com/Shades_Of_Bad_","@Shades_Of_Bad_")</f>
        <v>@Shades_Of_Bad_</v>
      </c>
      <c r="C645" s="21" t="s">
        <v>117</v>
      </c>
      <c r="D645" s="21" t="s">
        <v>1444</v>
      </c>
      <c r="E645" s="22" t="str">
        <f>HYPERLINK("https://twitter.com/Shades_Of_Bad_/status/804127187959971841","804127187959971841")</f>
        <v>804127187959971841</v>
      </c>
      <c r="F645" s="23" t="s">
        <v>77</v>
      </c>
      <c r="G645" s="24">
        <v>3899.0</v>
      </c>
      <c r="H645" s="24">
        <v>4395.0</v>
      </c>
      <c r="I645" s="24">
        <v>0.0</v>
      </c>
      <c r="J645" s="24">
        <v>1.0</v>
      </c>
      <c r="K645" s="23" t="s">
        <v>27</v>
      </c>
      <c r="L645" s="25">
        <v>42095.20612268518</v>
      </c>
      <c r="M645" s="26" t="s">
        <v>119</v>
      </c>
      <c r="N645" s="26" t="s">
        <v>120</v>
      </c>
      <c r="O645" s="22" t="str">
        <f>HYPERLINK("https://pbs.twimg.com/profile_images/605126470994903041/ANadzfFp_normal.jpg","View")</f>
        <v>View</v>
      </c>
      <c r="P645" s="27"/>
    </row>
    <row r="646">
      <c r="A646" s="19">
        <v>42705.03979166667</v>
      </c>
      <c r="B646" s="20" t="str">
        <f>HYPERLINK("https://twitter.com/DorisShades","@DorisShades")</f>
        <v>@DorisShades</v>
      </c>
      <c r="C646" s="21" t="s">
        <v>121</v>
      </c>
      <c r="D646" s="21" t="s">
        <v>1445</v>
      </c>
      <c r="E646" s="22" t="str">
        <f>HYPERLINK("https://twitter.com/DorisShades/status/804127196164059136","804127196164059136")</f>
        <v>804127196164059136</v>
      </c>
      <c r="F646" s="23" t="s">
        <v>77</v>
      </c>
      <c r="G646" s="24">
        <v>3693.0</v>
      </c>
      <c r="H646" s="24">
        <v>4432.0</v>
      </c>
      <c r="I646" s="24">
        <v>0.0</v>
      </c>
      <c r="J646" s="24">
        <v>1.0</v>
      </c>
      <c r="K646" s="23" t="s">
        <v>27</v>
      </c>
      <c r="L646" s="25">
        <v>42095.182499999995</v>
      </c>
      <c r="M646" s="26" t="s">
        <v>123</v>
      </c>
      <c r="N646" s="26" t="s">
        <v>124</v>
      </c>
      <c r="O646" s="22" t="str">
        <f>HYPERLINK("https://pbs.twimg.com/profile_images/777456052094791681/oTN7NDTr_normal.jpg","View")</f>
        <v>View</v>
      </c>
      <c r="P646" s="27"/>
    </row>
    <row r="647">
      <c r="A647" s="19">
        <v>42705.03982638889</v>
      </c>
      <c r="B647" s="20" t="str">
        <f>HYPERLINK("https://twitter.com/Doris_Blog","@Doris_Blog")</f>
        <v>@Doris_Blog</v>
      </c>
      <c r="C647" s="21" t="s">
        <v>125</v>
      </c>
      <c r="D647" s="21" t="s">
        <v>1446</v>
      </c>
      <c r="E647" s="22" t="str">
        <f>HYPERLINK("https://twitter.com/Doris_Blog/status/804127208205905920","804127208205905920")</f>
        <v>804127208205905920</v>
      </c>
      <c r="F647" s="23" t="s">
        <v>77</v>
      </c>
      <c r="G647" s="24">
        <v>2333.0</v>
      </c>
      <c r="H647" s="24">
        <v>3655.0</v>
      </c>
      <c r="I647" s="24">
        <v>0.0</v>
      </c>
      <c r="J647" s="24">
        <v>1.0</v>
      </c>
      <c r="K647" s="23" t="s">
        <v>27</v>
      </c>
      <c r="L647" s="25">
        <v>42095.21026620371</v>
      </c>
      <c r="M647" s="26" t="s">
        <v>119</v>
      </c>
      <c r="N647" s="26" t="s">
        <v>127</v>
      </c>
      <c r="O647" s="22" t="str">
        <f>HYPERLINK("https://pbs.twimg.com/profile_images/769621211911450624/O-JLlK5O_normal.jpg","View")</f>
        <v>View</v>
      </c>
      <c r="P647" s="27"/>
    </row>
    <row r="648">
      <c r="A648" s="19">
        <v>42705.03983796296</v>
      </c>
      <c r="B648" s="20" t="str">
        <f>HYPERLINK("https://twitter.com/ComposerShades","@ComposerShades")</f>
        <v>@ComposerShades</v>
      </c>
      <c r="C648" s="21" t="s">
        <v>128</v>
      </c>
      <c r="D648" s="21" t="s">
        <v>1447</v>
      </c>
      <c r="E648" s="22" t="str">
        <f>HYPERLINK("https://twitter.com/ComposerShades/status/804127215281729536","804127215281729536")</f>
        <v>804127215281729536</v>
      </c>
      <c r="F648" s="23" t="s">
        <v>77</v>
      </c>
      <c r="G648" s="24">
        <v>1827.0</v>
      </c>
      <c r="H648" s="24">
        <v>3691.0</v>
      </c>
      <c r="I648" s="24">
        <v>0.0</v>
      </c>
      <c r="J648" s="24">
        <v>1.0</v>
      </c>
      <c r="K648" s="23" t="s">
        <v>27</v>
      </c>
      <c r="L648" s="25">
        <v>42209.46724537037</v>
      </c>
      <c r="M648" s="26" t="s">
        <v>130</v>
      </c>
      <c r="N648" s="26" t="s">
        <v>131</v>
      </c>
      <c r="O648" s="22" t="str">
        <f>HYPERLINK("https://pbs.twimg.com/profile_images/783382917640781824/AqM_zAOY_normal.jpg","View")</f>
        <v>View</v>
      </c>
      <c r="P648" s="27"/>
    </row>
    <row r="649">
      <c r="A649" s="19">
        <v>42705.039861111116</v>
      </c>
      <c r="B649" s="20" t="str">
        <f>HYPERLINK("https://twitter.com/DorisVisits","@DorisVisits")</f>
        <v>@DorisVisits</v>
      </c>
      <c r="C649" s="21" t="s">
        <v>132</v>
      </c>
      <c r="D649" s="21" t="s">
        <v>1448</v>
      </c>
      <c r="E649" s="22" t="str">
        <f>HYPERLINK("https://twitter.com/DorisVisits/status/804127222051250176","804127222051250176")</f>
        <v>804127222051250176</v>
      </c>
      <c r="F649" s="23" t="s">
        <v>77</v>
      </c>
      <c r="G649" s="24">
        <v>3046.0</v>
      </c>
      <c r="H649" s="24">
        <v>4501.0</v>
      </c>
      <c r="I649" s="24">
        <v>0.0</v>
      </c>
      <c r="J649" s="24">
        <v>0.0</v>
      </c>
      <c r="K649" s="23" t="s">
        <v>27</v>
      </c>
      <c r="L649" s="25">
        <v>42330.5372337963</v>
      </c>
      <c r="M649" s="26" t="s">
        <v>134</v>
      </c>
      <c r="N649" s="26" t="s">
        <v>135</v>
      </c>
      <c r="O649" s="22" t="str">
        <f>HYPERLINK("https://pbs.twimg.com/profile_images/668416648211222529/-2knYf0__normal.jpg","View")</f>
        <v>View</v>
      </c>
      <c r="P649" s="27"/>
    </row>
    <row r="650">
      <c r="A650" s="19">
        <v>42705.045219907406</v>
      </c>
      <c r="B650" s="20" t="str">
        <f>HYPERLINK("https://twitter.com/MatthewHirtes","@MatthewHirtes")</f>
        <v>@MatthewHirtes</v>
      </c>
      <c r="C650" s="21" t="s">
        <v>1294</v>
      </c>
      <c r="D650" s="21" t="s">
        <v>1449</v>
      </c>
      <c r="E650" s="22" t="str">
        <f>HYPERLINK("https://twitter.com/MatthewHirtes/status/804129166480338944","804129166480338944")</f>
        <v>804129166480338944</v>
      </c>
      <c r="F650" s="23" t="s">
        <v>167</v>
      </c>
      <c r="G650" s="24">
        <v>4048.0</v>
      </c>
      <c r="H650" s="24">
        <v>1734.0</v>
      </c>
      <c r="I650" s="24">
        <v>0.0</v>
      </c>
      <c r="J650" s="24">
        <v>1.0</v>
      </c>
      <c r="K650" s="23" t="s">
        <v>27</v>
      </c>
      <c r="L650" s="25">
        <v>39896.476319444446</v>
      </c>
      <c r="M650" s="26" t="s">
        <v>109</v>
      </c>
      <c r="N650" s="26" t="s">
        <v>1296</v>
      </c>
      <c r="O650" s="22" t="str">
        <f>HYPERLINK("https://pbs.twimg.com/profile_images/2882758712/12b371fa0215f5747eecc910e918ee79_normal.jpeg","View")</f>
        <v>View</v>
      </c>
      <c r="P650" s="27"/>
    </row>
    <row r="651">
      <c r="A651" s="19">
        <v>42705.070486111115</v>
      </c>
      <c r="B651" s="20" t="str">
        <f t="shared" ref="B651:B655" si="71">HYPERLINK("https://twitter.com/rickfoliva","@rickfoliva")</f>
        <v>@rickfoliva</v>
      </c>
      <c r="C651" s="21" t="s">
        <v>175</v>
      </c>
      <c r="D651" s="21" t="s">
        <v>1450</v>
      </c>
      <c r="E651" s="22" t="str">
        <f>HYPERLINK("https://twitter.com/rickfoliva/status/804138320842330112","804138320842330112")</f>
        <v>804138320842330112</v>
      </c>
      <c r="F651" s="23" t="s">
        <v>69</v>
      </c>
      <c r="G651" s="24">
        <v>428.0</v>
      </c>
      <c r="H651" s="24">
        <v>18.0</v>
      </c>
      <c r="I651" s="24">
        <v>0.0</v>
      </c>
      <c r="J651" s="24">
        <v>0.0</v>
      </c>
      <c r="K651" s="23" t="s">
        <v>27</v>
      </c>
      <c r="L651" s="25">
        <v>42504.58459490741</v>
      </c>
      <c r="M651" s="26" t="s">
        <v>177</v>
      </c>
      <c r="N651" s="26" t="s">
        <v>178</v>
      </c>
      <c r="O651" s="22" t="str">
        <f t="shared" ref="O651:O655" si="72">HYPERLINK("https://pbs.twimg.com/profile_images/731471241282871297/LE7uB3IZ_normal.jpg","View")</f>
        <v>View</v>
      </c>
      <c r="P651" s="27"/>
    </row>
    <row r="652">
      <c r="A652" s="19">
        <v>42705.070497685185</v>
      </c>
      <c r="B652" s="20" t="str">
        <f t="shared" si="71"/>
        <v>@rickfoliva</v>
      </c>
      <c r="C652" s="21" t="s">
        <v>175</v>
      </c>
      <c r="D652" s="21" t="s">
        <v>1451</v>
      </c>
      <c r="E652" s="22" t="str">
        <f>HYPERLINK("https://twitter.com/rickfoliva/status/804138323405062147","804138323405062147")</f>
        <v>804138323405062147</v>
      </c>
      <c r="F652" s="23" t="s">
        <v>69</v>
      </c>
      <c r="G652" s="24">
        <v>428.0</v>
      </c>
      <c r="H652" s="24">
        <v>18.0</v>
      </c>
      <c r="I652" s="24">
        <v>0.0</v>
      </c>
      <c r="J652" s="24">
        <v>0.0</v>
      </c>
      <c r="K652" s="23" t="s">
        <v>27</v>
      </c>
      <c r="L652" s="25">
        <v>42504.58459490741</v>
      </c>
      <c r="M652" s="26" t="s">
        <v>177</v>
      </c>
      <c r="N652" s="26" t="s">
        <v>178</v>
      </c>
      <c r="O652" s="22" t="str">
        <f t="shared" si="72"/>
        <v>View</v>
      </c>
      <c r="P652" s="27"/>
    </row>
    <row r="653">
      <c r="A653" s="19">
        <v>42705.070497685185</v>
      </c>
      <c r="B653" s="20" t="str">
        <f t="shared" si="71"/>
        <v>@rickfoliva</v>
      </c>
      <c r="C653" s="21" t="s">
        <v>175</v>
      </c>
      <c r="D653" s="21" t="s">
        <v>1452</v>
      </c>
      <c r="E653" s="22" t="str">
        <f>HYPERLINK("https://twitter.com/rickfoliva/status/804138325607071744","804138325607071744")</f>
        <v>804138325607071744</v>
      </c>
      <c r="F653" s="23" t="s">
        <v>69</v>
      </c>
      <c r="G653" s="24">
        <v>428.0</v>
      </c>
      <c r="H653" s="24">
        <v>18.0</v>
      </c>
      <c r="I653" s="24">
        <v>0.0</v>
      </c>
      <c r="J653" s="24">
        <v>0.0</v>
      </c>
      <c r="K653" s="23" t="s">
        <v>27</v>
      </c>
      <c r="L653" s="25">
        <v>42504.58459490741</v>
      </c>
      <c r="M653" s="26" t="s">
        <v>177</v>
      </c>
      <c r="N653" s="26" t="s">
        <v>178</v>
      </c>
      <c r="O653" s="22" t="str">
        <f t="shared" si="72"/>
        <v>View</v>
      </c>
      <c r="P653" s="27"/>
    </row>
    <row r="654">
      <c r="A654" s="19">
        <v>42705.070509259254</v>
      </c>
      <c r="B654" s="20" t="str">
        <f t="shared" si="71"/>
        <v>@rickfoliva</v>
      </c>
      <c r="C654" s="21" t="s">
        <v>175</v>
      </c>
      <c r="D654" s="21" t="s">
        <v>1453</v>
      </c>
      <c r="E654" s="22" t="str">
        <f>HYPERLINK("https://twitter.com/rickfoliva/status/804138328652136449","804138328652136449")</f>
        <v>804138328652136449</v>
      </c>
      <c r="F654" s="23" t="s">
        <v>69</v>
      </c>
      <c r="G654" s="24">
        <v>428.0</v>
      </c>
      <c r="H654" s="24">
        <v>18.0</v>
      </c>
      <c r="I654" s="24">
        <v>0.0</v>
      </c>
      <c r="J654" s="24">
        <v>0.0</v>
      </c>
      <c r="K654" s="23" t="s">
        <v>27</v>
      </c>
      <c r="L654" s="25">
        <v>42504.58459490741</v>
      </c>
      <c r="M654" s="26" t="s">
        <v>177</v>
      </c>
      <c r="N654" s="26" t="s">
        <v>178</v>
      </c>
      <c r="O654" s="22" t="str">
        <f t="shared" si="72"/>
        <v>View</v>
      </c>
      <c r="P654" s="27"/>
    </row>
    <row r="655">
      <c r="A655" s="19">
        <v>42705.07052083334</v>
      </c>
      <c r="B655" s="20" t="str">
        <f t="shared" si="71"/>
        <v>@rickfoliva</v>
      </c>
      <c r="C655" s="21" t="s">
        <v>175</v>
      </c>
      <c r="D655" s="21" t="s">
        <v>1454</v>
      </c>
      <c r="E655" s="22" t="str">
        <f>HYPERLINK("https://twitter.com/rickfoliva/status/804138331701448704","804138331701448704")</f>
        <v>804138331701448704</v>
      </c>
      <c r="F655" s="23" t="s">
        <v>69</v>
      </c>
      <c r="G655" s="24">
        <v>428.0</v>
      </c>
      <c r="H655" s="24">
        <v>18.0</v>
      </c>
      <c r="I655" s="24">
        <v>0.0</v>
      </c>
      <c r="J655" s="24">
        <v>0.0</v>
      </c>
      <c r="K655" s="23" t="s">
        <v>27</v>
      </c>
      <c r="L655" s="25">
        <v>42504.58459490741</v>
      </c>
      <c r="M655" s="26" t="s">
        <v>177</v>
      </c>
      <c r="N655" s="26" t="s">
        <v>178</v>
      </c>
      <c r="O655" s="22" t="str">
        <f t="shared" si="72"/>
        <v>View</v>
      </c>
      <c r="P655" s="27"/>
    </row>
    <row r="656">
      <c r="A656" s="19">
        <v>42705.15694444445</v>
      </c>
      <c r="B656" s="20" t="str">
        <f>HYPERLINK("https://twitter.com/MatthewHirtes","@MatthewHirtes")</f>
        <v>@MatthewHirtes</v>
      </c>
      <c r="C656" s="21" t="s">
        <v>1294</v>
      </c>
      <c r="D656" s="21" t="s">
        <v>507</v>
      </c>
      <c r="E656" s="22" t="str">
        <f>HYPERLINK("https://twitter.com/MatthewHirtes/status/804169651831926785","804169651831926785")</f>
        <v>804169651831926785</v>
      </c>
      <c r="F656" s="23" t="s">
        <v>167</v>
      </c>
      <c r="G656" s="24">
        <v>4048.0</v>
      </c>
      <c r="H656" s="24">
        <v>1734.0</v>
      </c>
      <c r="I656" s="24">
        <v>14.0</v>
      </c>
      <c r="J656" s="24">
        <v>0.0</v>
      </c>
      <c r="K656" s="23" t="s">
        <v>27</v>
      </c>
      <c r="L656" s="25">
        <v>39896.476319444446</v>
      </c>
      <c r="M656" s="26" t="s">
        <v>109</v>
      </c>
      <c r="N656" s="26" t="s">
        <v>1296</v>
      </c>
      <c r="O656" s="22" t="str">
        <f>HYPERLINK("https://pbs.twimg.com/profile_images/2882758712/12b371fa0215f5747eecc910e918ee79_normal.jpeg","View")</f>
        <v>View</v>
      </c>
      <c r="P656" s="27"/>
    </row>
    <row r="657">
      <c r="A657" s="19">
        <v>42705.21131944444</v>
      </c>
      <c r="B657" s="20" t="str">
        <f>HYPERLINK("https://twitter.com/FrankMagnin","@FrankMagnin")</f>
        <v>@FrankMagnin</v>
      </c>
      <c r="C657" s="21" t="s">
        <v>1455</v>
      </c>
      <c r="D657" s="21" t="s">
        <v>1356</v>
      </c>
      <c r="E657" s="22" t="str">
        <f>HYPERLINK("https://twitter.com/FrankMagnin/status/804189358844739584","804189358844739584")</f>
        <v>804189358844739584</v>
      </c>
      <c r="F657" s="23" t="s">
        <v>41</v>
      </c>
      <c r="G657" s="24">
        <v>64.0</v>
      </c>
      <c r="H657" s="24">
        <v>96.0</v>
      </c>
      <c r="I657" s="24">
        <v>3.0</v>
      </c>
      <c r="J657" s="24">
        <v>0.0</v>
      </c>
      <c r="K657" s="23" t="s">
        <v>27</v>
      </c>
      <c r="L657" s="25">
        <v>40980.81929398148</v>
      </c>
      <c r="M657" s="26" t="s">
        <v>1456</v>
      </c>
      <c r="N657" s="26" t="s">
        <v>1457</v>
      </c>
      <c r="O657" s="22" t="str">
        <f>HYPERLINK("https://pbs.twimg.com/profile_images/417249410490179584/_HsFGNXw_normal.jpeg","View")</f>
        <v>View</v>
      </c>
      <c r="P657" s="27"/>
    </row>
    <row r="658">
      <c r="A658" s="19">
        <v>42705.28430555556</v>
      </c>
      <c r="B658" s="20" t="str">
        <f t="shared" ref="B658:B662" si="73">HYPERLINK("https://twitter.com/CAllstadt","@CAllstadt")</f>
        <v>@CAllstadt</v>
      </c>
      <c r="C658" s="21" t="s">
        <v>1458</v>
      </c>
      <c r="D658" s="21" t="s">
        <v>1459</v>
      </c>
      <c r="E658" s="22" t="str">
        <f>HYPERLINK("https://twitter.com/CAllstadt/status/804215805894426624","804215805894426624")</f>
        <v>804215805894426624</v>
      </c>
      <c r="F658" s="23" t="s">
        <v>26</v>
      </c>
      <c r="G658" s="24">
        <v>57018.0</v>
      </c>
      <c r="H658" s="24">
        <v>48093.0</v>
      </c>
      <c r="I658" s="24">
        <v>2.0</v>
      </c>
      <c r="J658" s="24">
        <v>0.0</v>
      </c>
      <c r="K658" s="23" t="s">
        <v>27</v>
      </c>
      <c r="L658" s="25">
        <v>40997.47560185185</v>
      </c>
      <c r="M658" s="26" t="s">
        <v>1460</v>
      </c>
      <c r="N658" s="26" t="s">
        <v>1461</v>
      </c>
      <c r="O658" s="22" t="str">
        <f t="shared" ref="O658:O662" si="74">HYPERLINK("https://pbs.twimg.com/profile_images/774849305056256004/WDyKIIiO_normal.jpg","View")</f>
        <v>View</v>
      </c>
      <c r="P658" s="27"/>
    </row>
    <row r="659">
      <c r="A659" s="19">
        <v>42705.28435185185</v>
      </c>
      <c r="B659" s="20" t="str">
        <f t="shared" si="73"/>
        <v>@CAllstadt</v>
      </c>
      <c r="C659" s="21" t="s">
        <v>1458</v>
      </c>
      <c r="D659" s="21" t="s">
        <v>1462</v>
      </c>
      <c r="E659" s="22" t="str">
        <f>HYPERLINK("https://twitter.com/CAllstadt/status/804215824529625088","804215824529625088")</f>
        <v>804215824529625088</v>
      </c>
      <c r="F659" s="23" t="s">
        <v>26</v>
      </c>
      <c r="G659" s="24">
        <v>57018.0</v>
      </c>
      <c r="H659" s="24">
        <v>48093.0</v>
      </c>
      <c r="I659" s="24">
        <v>1.0</v>
      </c>
      <c r="J659" s="24">
        <v>0.0</v>
      </c>
      <c r="K659" s="23" t="s">
        <v>27</v>
      </c>
      <c r="L659" s="25">
        <v>40997.47560185185</v>
      </c>
      <c r="M659" s="26" t="s">
        <v>1460</v>
      </c>
      <c r="N659" s="26" t="s">
        <v>1461</v>
      </c>
      <c r="O659" s="22" t="str">
        <f t="shared" si="74"/>
        <v>View</v>
      </c>
      <c r="P659" s="27"/>
    </row>
    <row r="660">
      <c r="A660" s="19">
        <v>42705.284432870365</v>
      </c>
      <c r="B660" s="20" t="str">
        <f t="shared" si="73"/>
        <v>@CAllstadt</v>
      </c>
      <c r="C660" s="21" t="s">
        <v>1458</v>
      </c>
      <c r="D660" s="21" t="s">
        <v>1463</v>
      </c>
      <c r="E660" s="22" t="str">
        <f>HYPERLINK("https://twitter.com/CAllstadt/status/804215850983165952","804215850983165952")</f>
        <v>804215850983165952</v>
      </c>
      <c r="F660" s="23" t="s">
        <v>26</v>
      </c>
      <c r="G660" s="24">
        <v>57018.0</v>
      </c>
      <c r="H660" s="24">
        <v>48093.0</v>
      </c>
      <c r="I660" s="24">
        <v>1.0</v>
      </c>
      <c r="J660" s="24">
        <v>0.0</v>
      </c>
      <c r="K660" s="23" t="s">
        <v>27</v>
      </c>
      <c r="L660" s="25">
        <v>40997.47560185185</v>
      </c>
      <c r="M660" s="26" t="s">
        <v>1460</v>
      </c>
      <c r="N660" s="26" t="s">
        <v>1461</v>
      </c>
      <c r="O660" s="22" t="str">
        <f t="shared" si="74"/>
        <v>View</v>
      </c>
      <c r="P660" s="27"/>
    </row>
    <row r="661">
      <c r="A661" s="19">
        <v>42705.28449074074</v>
      </c>
      <c r="B661" s="20" t="str">
        <f t="shared" si="73"/>
        <v>@CAllstadt</v>
      </c>
      <c r="C661" s="21" t="s">
        <v>1458</v>
      </c>
      <c r="D661" s="21" t="s">
        <v>1463</v>
      </c>
      <c r="E661" s="22" t="str">
        <f>HYPERLINK("https://twitter.com/CAllstadt/status/804215872864788480","804215872864788480")</f>
        <v>804215872864788480</v>
      </c>
      <c r="F661" s="23" t="s">
        <v>26</v>
      </c>
      <c r="G661" s="24">
        <v>57018.0</v>
      </c>
      <c r="H661" s="24">
        <v>48093.0</v>
      </c>
      <c r="I661" s="24">
        <v>1.0</v>
      </c>
      <c r="J661" s="24">
        <v>0.0</v>
      </c>
      <c r="K661" s="23" t="s">
        <v>27</v>
      </c>
      <c r="L661" s="25">
        <v>40997.47560185185</v>
      </c>
      <c r="M661" s="26" t="s">
        <v>1460</v>
      </c>
      <c r="N661" s="26" t="s">
        <v>1461</v>
      </c>
      <c r="O661" s="22" t="str">
        <f t="shared" si="74"/>
        <v>View</v>
      </c>
      <c r="P661" s="27"/>
    </row>
    <row r="662">
      <c r="A662" s="19">
        <v>42705.28454861111</v>
      </c>
      <c r="B662" s="20" t="str">
        <f t="shared" si="73"/>
        <v>@CAllstadt</v>
      </c>
      <c r="C662" s="21" t="s">
        <v>1458</v>
      </c>
      <c r="D662" s="21" t="s">
        <v>1463</v>
      </c>
      <c r="E662" s="22" t="str">
        <f>HYPERLINK("https://twitter.com/CAllstadt/status/804215894595530752","804215894595530752")</f>
        <v>804215894595530752</v>
      </c>
      <c r="F662" s="23" t="s">
        <v>26</v>
      </c>
      <c r="G662" s="24">
        <v>57018.0</v>
      </c>
      <c r="H662" s="24">
        <v>48093.0</v>
      </c>
      <c r="I662" s="24">
        <v>1.0</v>
      </c>
      <c r="J662" s="24">
        <v>0.0</v>
      </c>
      <c r="K662" s="23" t="s">
        <v>27</v>
      </c>
      <c r="L662" s="25">
        <v>40997.47560185185</v>
      </c>
      <c r="M662" s="26" t="s">
        <v>1460</v>
      </c>
      <c r="N662" s="26" t="s">
        <v>1461</v>
      </c>
      <c r="O662" s="22" t="str">
        <f t="shared" si="74"/>
        <v>View</v>
      </c>
      <c r="P662" s="27"/>
    </row>
    <row r="663">
      <c r="A663" s="19">
        <v>42705.29413194444</v>
      </c>
      <c r="B663" s="20" t="str">
        <f>HYPERLINK("https://twitter.com/morrigans","@morrigans")</f>
        <v>@morrigans</v>
      </c>
      <c r="C663" s="21" t="s">
        <v>1464</v>
      </c>
      <c r="D663" s="21" t="s">
        <v>1465</v>
      </c>
      <c r="E663" s="22" t="str">
        <f>HYPERLINK("https://twitter.com/morrigans/status/804219367407964160","804219367407964160")</f>
        <v>804219367407964160</v>
      </c>
      <c r="F663" s="23" t="s">
        <v>37</v>
      </c>
      <c r="G663" s="24">
        <v>774.0</v>
      </c>
      <c r="H663" s="24">
        <v>624.0</v>
      </c>
      <c r="I663" s="24">
        <v>1.0</v>
      </c>
      <c r="J663" s="24">
        <v>2.0</v>
      </c>
      <c r="K663" s="23" t="s">
        <v>27</v>
      </c>
      <c r="L663" s="25">
        <v>39350.77158564815</v>
      </c>
      <c r="M663" s="28"/>
      <c r="N663" s="26" t="s">
        <v>1466</v>
      </c>
      <c r="O663" s="22" t="str">
        <f>HYPERLINK("https://pbs.twimg.com/profile_images/378800000394256871/e41f4ca6b94fc79675bc333da617c071_normal.jpeg","View")</f>
        <v>View</v>
      </c>
      <c r="P663" s="27"/>
    </row>
    <row r="664">
      <c r="A664" s="19">
        <v>42705.30467592593</v>
      </c>
      <c r="B664" s="20" t="str">
        <f>HYPERLINK("https://twitter.com/_TenDive","@_TenDive")</f>
        <v>@_TenDive</v>
      </c>
      <c r="C664" s="21" t="s">
        <v>103</v>
      </c>
      <c r="D664" s="21" t="s">
        <v>1467</v>
      </c>
      <c r="E664" s="22" t="str">
        <f>HYPERLINK("https://twitter.com/_TenDive/status/804223188746010624","804223188746010624")</f>
        <v>804223188746010624</v>
      </c>
      <c r="F664" s="23" t="s">
        <v>37</v>
      </c>
      <c r="G664" s="24">
        <v>235.0</v>
      </c>
      <c r="H664" s="24">
        <v>118.0</v>
      </c>
      <c r="I664" s="24">
        <v>1.0</v>
      </c>
      <c r="J664" s="24">
        <v>1.0</v>
      </c>
      <c r="K664" s="23" t="s">
        <v>27</v>
      </c>
      <c r="L664" s="25">
        <v>41385.479999999996</v>
      </c>
      <c r="M664" s="26" t="s">
        <v>105</v>
      </c>
      <c r="N664" s="26" t="s">
        <v>106</v>
      </c>
      <c r="O664" s="22" t="str">
        <f>HYPERLINK("https://pbs.twimg.com/profile_images/694439157893107712/KkG57Zcq_normal.jpg","View")</f>
        <v>View</v>
      </c>
      <c r="P664" s="27"/>
    </row>
    <row r="665">
      <c r="A665" s="19">
        <v>42705.306226851855</v>
      </c>
      <c r="B665" s="20" t="str">
        <f>HYPERLINK("https://twitter.com/ScubaFlorida","@ScubaFlorida")</f>
        <v>@ScubaFlorida</v>
      </c>
      <c r="C665" s="21" t="s">
        <v>834</v>
      </c>
      <c r="D665" s="21" t="s">
        <v>835</v>
      </c>
      <c r="E665" s="22" t="str">
        <f>HYPERLINK("https://twitter.com/ScubaFlorida/status/804223750233276416","804223750233276416")</f>
        <v>804223750233276416</v>
      </c>
      <c r="F665" s="23" t="s">
        <v>836</v>
      </c>
      <c r="G665" s="24">
        <v>1481.0</v>
      </c>
      <c r="H665" s="24">
        <v>211.0</v>
      </c>
      <c r="I665" s="24">
        <v>1.0</v>
      </c>
      <c r="J665" s="24">
        <v>0.0</v>
      </c>
      <c r="K665" s="23" t="s">
        <v>27</v>
      </c>
      <c r="L665" s="25">
        <v>40015.46666666667</v>
      </c>
      <c r="M665" s="26" t="s">
        <v>837</v>
      </c>
      <c r="N665" s="26" t="s">
        <v>838</v>
      </c>
      <c r="O665" s="22" t="str">
        <f>HYPERLINK("https://pbs.twimg.com/profile_images/560310747914199040/HR4MGmME_normal.jpeg","View")</f>
        <v>View</v>
      </c>
      <c r="P665" s="27"/>
    </row>
    <row r="666">
      <c r="A666" s="19">
        <v>42705.31203703704</v>
      </c>
      <c r="B666" s="20" t="str">
        <f t="shared" ref="B666:B670" si="75">HYPERLINK("https://twitter.com/bermaxo09","@bermaxo09")</f>
        <v>@bermaxo09</v>
      </c>
      <c r="C666" s="21" t="s">
        <v>284</v>
      </c>
      <c r="D666" s="21" t="s">
        <v>1468</v>
      </c>
      <c r="E666" s="22" t="str">
        <f>HYPERLINK("https://twitter.com/bermaxo09/status/804225857430683648","804225857430683648")</f>
        <v>804225857430683648</v>
      </c>
      <c r="F666" s="23" t="s">
        <v>37</v>
      </c>
      <c r="G666" s="24">
        <v>193.0</v>
      </c>
      <c r="H666" s="24">
        <v>196.0</v>
      </c>
      <c r="I666" s="24">
        <v>0.0</v>
      </c>
      <c r="J666" s="24">
        <v>2.0</v>
      </c>
      <c r="K666" s="23" t="s">
        <v>27</v>
      </c>
      <c r="L666" s="25">
        <v>42689.441516203704</v>
      </c>
      <c r="M666" s="26" t="s">
        <v>109</v>
      </c>
      <c r="N666" s="26" t="s">
        <v>286</v>
      </c>
      <c r="O666" s="22" t="str">
        <f t="shared" ref="O666:O670" si="76">HYPERLINK("https://pbs.twimg.com/profile_images/798476790478073856/iOD0HIRa_normal.jpg","View")</f>
        <v>View</v>
      </c>
      <c r="P666" s="27"/>
    </row>
    <row r="667">
      <c r="A667" s="19">
        <v>42705.3155787037</v>
      </c>
      <c r="B667" s="20" t="str">
        <f t="shared" si="75"/>
        <v>@bermaxo09</v>
      </c>
      <c r="C667" s="21" t="s">
        <v>284</v>
      </c>
      <c r="D667" s="21" t="s">
        <v>1469</v>
      </c>
      <c r="E667" s="22" t="str">
        <f>HYPERLINK("https://twitter.com/bermaxo09/status/804227141235802112","804227141235802112")</f>
        <v>804227141235802112</v>
      </c>
      <c r="F667" s="23" t="s">
        <v>37</v>
      </c>
      <c r="G667" s="24">
        <v>193.0</v>
      </c>
      <c r="H667" s="24">
        <v>196.0</v>
      </c>
      <c r="I667" s="24">
        <v>0.0</v>
      </c>
      <c r="J667" s="24">
        <v>4.0</v>
      </c>
      <c r="K667" s="23" t="s">
        <v>27</v>
      </c>
      <c r="L667" s="25">
        <v>42689.441516203704</v>
      </c>
      <c r="M667" s="26" t="s">
        <v>109</v>
      </c>
      <c r="N667" s="26" t="s">
        <v>286</v>
      </c>
      <c r="O667" s="22" t="str">
        <f t="shared" si="76"/>
        <v>View</v>
      </c>
      <c r="P667" s="27"/>
    </row>
    <row r="668">
      <c r="A668" s="19">
        <v>42705.31762731481</v>
      </c>
      <c r="B668" s="20" t="str">
        <f t="shared" si="75"/>
        <v>@bermaxo09</v>
      </c>
      <c r="C668" s="21" t="s">
        <v>284</v>
      </c>
      <c r="D668" s="21" t="s">
        <v>1470</v>
      </c>
      <c r="E668" s="22" t="str">
        <f>HYPERLINK("https://twitter.com/bermaxo09/status/804227880926543872","804227880926543872")</f>
        <v>804227880926543872</v>
      </c>
      <c r="F668" s="23" t="s">
        <v>37</v>
      </c>
      <c r="G668" s="24">
        <v>193.0</v>
      </c>
      <c r="H668" s="24">
        <v>196.0</v>
      </c>
      <c r="I668" s="24">
        <v>1.0</v>
      </c>
      <c r="J668" s="24">
        <v>3.0</v>
      </c>
      <c r="K668" s="23" t="s">
        <v>27</v>
      </c>
      <c r="L668" s="25">
        <v>42689.441516203704</v>
      </c>
      <c r="M668" s="26" t="s">
        <v>109</v>
      </c>
      <c r="N668" s="26" t="s">
        <v>286</v>
      </c>
      <c r="O668" s="22" t="str">
        <f t="shared" si="76"/>
        <v>View</v>
      </c>
      <c r="P668" s="27"/>
    </row>
    <row r="669">
      <c r="A669" s="19">
        <v>42705.321759259255</v>
      </c>
      <c r="B669" s="20" t="str">
        <f t="shared" si="75"/>
        <v>@bermaxo09</v>
      </c>
      <c r="C669" s="21" t="s">
        <v>284</v>
      </c>
      <c r="D669" s="21" t="s">
        <v>1471</v>
      </c>
      <c r="E669" s="22" t="str">
        <f>HYPERLINK("https://twitter.com/bermaxo09/status/804229377504505856","804229377504505856")</f>
        <v>804229377504505856</v>
      </c>
      <c r="F669" s="23" t="s">
        <v>37</v>
      </c>
      <c r="G669" s="24">
        <v>193.0</v>
      </c>
      <c r="H669" s="24">
        <v>196.0</v>
      </c>
      <c r="I669" s="24">
        <v>1.0</v>
      </c>
      <c r="J669" s="24">
        <v>3.0</v>
      </c>
      <c r="K669" s="23" t="s">
        <v>27</v>
      </c>
      <c r="L669" s="25">
        <v>42689.441516203704</v>
      </c>
      <c r="M669" s="26" t="s">
        <v>109</v>
      </c>
      <c r="N669" s="26" t="s">
        <v>286</v>
      </c>
      <c r="O669" s="22" t="str">
        <f t="shared" si="76"/>
        <v>View</v>
      </c>
      <c r="P669" s="27"/>
    </row>
    <row r="670">
      <c r="A670" s="19">
        <v>42705.32287037037</v>
      </c>
      <c r="B670" s="20" t="str">
        <f t="shared" si="75"/>
        <v>@bermaxo09</v>
      </c>
      <c r="C670" s="21" t="s">
        <v>284</v>
      </c>
      <c r="D670" s="21" t="s">
        <v>1472</v>
      </c>
      <c r="E670" s="22" t="str">
        <f>HYPERLINK("https://twitter.com/bermaxo09/status/804229783735455745","804229783735455745")</f>
        <v>804229783735455745</v>
      </c>
      <c r="F670" s="23" t="s">
        <v>37</v>
      </c>
      <c r="G670" s="24">
        <v>193.0</v>
      </c>
      <c r="H670" s="24">
        <v>196.0</v>
      </c>
      <c r="I670" s="24">
        <v>0.0</v>
      </c>
      <c r="J670" s="24">
        <v>4.0</v>
      </c>
      <c r="K670" s="23" t="s">
        <v>27</v>
      </c>
      <c r="L670" s="25">
        <v>42689.441516203704</v>
      </c>
      <c r="M670" s="26" t="s">
        <v>109</v>
      </c>
      <c r="N670" s="26" t="s">
        <v>286</v>
      </c>
      <c r="O670" s="22" t="str">
        <f t="shared" si="76"/>
        <v>View</v>
      </c>
      <c r="P670" s="27"/>
    </row>
    <row r="671">
      <c r="A671" s="19">
        <v>42705.325833333336</v>
      </c>
      <c r="B671" s="20" t="str">
        <f>HYPERLINK("https://twitter.com/PiolinaColt","@PiolinaColt")</f>
        <v>@PiolinaColt</v>
      </c>
      <c r="C671" s="21" t="s">
        <v>1473</v>
      </c>
      <c r="D671" s="21" t="s">
        <v>1474</v>
      </c>
      <c r="E671" s="22" t="str">
        <f>HYPERLINK("https://twitter.com/PiolinaColt/status/804230855359164416","804230855359164416")</f>
        <v>804230855359164416</v>
      </c>
      <c r="F671" s="23" t="s">
        <v>41</v>
      </c>
      <c r="G671" s="24">
        <v>2120.0</v>
      </c>
      <c r="H671" s="24">
        <v>351.0</v>
      </c>
      <c r="I671" s="24">
        <v>1.0</v>
      </c>
      <c r="J671" s="24">
        <v>0.0</v>
      </c>
      <c r="K671" s="23" t="s">
        <v>27</v>
      </c>
      <c r="L671" s="25">
        <v>41336.72641203704</v>
      </c>
      <c r="M671" s="26" t="s">
        <v>1475</v>
      </c>
      <c r="N671" s="26" t="s">
        <v>1476</v>
      </c>
      <c r="O671" s="22" t="str">
        <f>HYPERLINK("https://pbs.twimg.com/profile_images/793381257967198208/xTQCBddN_normal.jpg","View")</f>
        <v>View</v>
      </c>
      <c r="P671" s="27"/>
    </row>
    <row r="672">
      <c r="A672" s="19">
        <v>42705.33384259259</v>
      </c>
      <c r="B672" s="20" t="str">
        <f>HYPERLINK("https://twitter.com/swisshop4uEs","@swisshop4uEs")</f>
        <v>@swisshop4uEs</v>
      </c>
      <c r="C672" s="21" t="s">
        <v>48</v>
      </c>
      <c r="D672" s="21" t="s">
        <v>1477</v>
      </c>
      <c r="E672" s="22" t="str">
        <f>HYPERLINK("https://twitter.com/swisshop4uEs/status/804233756739563520","804233756739563520")</f>
        <v>804233756739563520</v>
      </c>
      <c r="F672" s="23" t="s">
        <v>50</v>
      </c>
      <c r="G672" s="24">
        <v>455.0</v>
      </c>
      <c r="H672" s="24">
        <v>424.0</v>
      </c>
      <c r="I672" s="24">
        <v>1.0</v>
      </c>
      <c r="J672" s="24">
        <v>0.0</v>
      </c>
      <c r="K672" s="23" t="s">
        <v>27</v>
      </c>
      <c r="L672" s="25">
        <v>41468.93072916666</v>
      </c>
      <c r="M672" s="26" t="s">
        <v>51</v>
      </c>
      <c r="N672" s="26" t="s">
        <v>52</v>
      </c>
      <c r="O672" s="22" t="str">
        <f>HYPERLINK("https://pbs.twimg.com/profile_images/378800000213382003/4f562b59f92995b884d2d440f71fc5ce_normal.png","View")</f>
        <v>View</v>
      </c>
      <c r="P672" s="27"/>
    </row>
    <row r="673">
      <c r="A673" s="19">
        <v>42705.333865740744</v>
      </c>
      <c r="B673" s="20" t="str">
        <f>HYPERLINK("https://twitter.com/KarlosAlipio","@KarlosAlipio")</f>
        <v>@KarlosAlipio</v>
      </c>
      <c r="C673" s="21" t="s">
        <v>1322</v>
      </c>
      <c r="D673" s="21" t="s">
        <v>1478</v>
      </c>
      <c r="E673" s="22" t="str">
        <f>HYPERLINK("https://twitter.com/KarlosAlipio/status/804233767409872896","804233767409872896")</f>
        <v>804233767409872896</v>
      </c>
      <c r="F673" s="23" t="s">
        <v>69</v>
      </c>
      <c r="G673" s="24">
        <v>6738.0</v>
      </c>
      <c r="H673" s="24">
        <v>6099.0</v>
      </c>
      <c r="I673" s="24">
        <v>6.0</v>
      </c>
      <c r="J673" s="24">
        <v>26.0</v>
      </c>
      <c r="K673" s="23" t="s">
        <v>27</v>
      </c>
      <c r="L673" s="25">
        <v>41899.97125</v>
      </c>
      <c r="M673" s="26" t="s">
        <v>1324</v>
      </c>
      <c r="N673" s="26" t="s">
        <v>1325</v>
      </c>
      <c r="O673" s="22" t="str">
        <f>HYPERLINK("https://pbs.twimg.com/profile_images/553505598214795265/eZDHgh3u_normal.jpeg","View")</f>
        <v>View</v>
      </c>
      <c r="P673" s="27"/>
    </row>
    <row r="674">
      <c r="A674" s="19">
        <v>42705.33398148148</v>
      </c>
      <c r="B674" s="20" t="str">
        <f>HYPERLINK("https://twitter.com/masa_MS_","@masa_MS_")</f>
        <v>@masa_MS_</v>
      </c>
      <c r="C674" s="21" t="s">
        <v>1479</v>
      </c>
      <c r="D674" s="21" t="s">
        <v>1480</v>
      </c>
      <c r="E674" s="22" t="str">
        <f>HYPERLINK("https://twitter.com/masa_MS_/status/804233809830940672","804233809830940672")</f>
        <v>804233809830940672</v>
      </c>
      <c r="F674" s="23" t="s">
        <v>41</v>
      </c>
      <c r="G674" s="24">
        <v>21919.0</v>
      </c>
      <c r="H674" s="24">
        <v>2383.0</v>
      </c>
      <c r="I674" s="24">
        <v>6.0</v>
      </c>
      <c r="J674" s="24">
        <v>0.0</v>
      </c>
      <c r="K674" s="23" t="s">
        <v>27</v>
      </c>
      <c r="L674" s="25">
        <v>40175.51439814815</v>
      </c>
      <c r="M674" s="26" t="s">
        <v>1481</v>
      </c>
      <c r="N674" s="26" t="s">
        <v>1482</v>
      </c>
      <c r="O674" s="22" t="str">
        <f>HYPERLINK("https://pbs.twimg.com/profile_images/589413376721223680/wkdqK_uJ_normal.jpg","View")</f>
        <v>View</v>
      </c>
      <c r="P674" s="27"/>
    </row>
    <row r="675">
      <c r="A675" s="19">
        <v>42705.3344212963</v>
      </c>
      <c r="B675" s="20" t="str">
        <f>HYPERLINK("https://twitter.com/HanaDulSae","@HanaDulSae")</f>
        <v>@HanaDulSae</v>
      </c>
      <c r="C675" s="21" t="s">
        <v>1483</v>
      </c>
      <c r="D675" s="21" t="s">
        <v>1480</v>
      </c>
      <c r="E675" s="22" t="str">
        <f>HYPERLINK("https://twitter.com/HanaDulSae/status/804233966177894400","804233966177894400")</f>
        <v>804233966177894400</v>
      </c>
      <c r="F675" s="23" t="s">
        <v>41</v>
      </c>
      <c r="G675" s="24">
        <v>356.0</v>
      </c>
      <c r="H675" s="24">
        <v>331.0</v>
      </c>
      <c r="I675" s="24">
        <v>6.0</v>
      </c>
      <c r="J675" s="24">
        <v>0.0</v>
      </c>
      <c r="K675" s="23" t="s">
        <v>27</v>
      </c>
      <c r="L675" s="25">
        <v>42279.48178240741</v>
      </c>
      <c r="M675" s="28"/>
      <c r="N675" s="26" t="s">
        <v>1484</v>
      </c>
      <c r="O675" s="22" t="str">
        <f>HYPERLINK("https://pbs.twimg.com/profile_images/649904283853430785/SLf2N9wW_normal.jpg","View")</f>
        <v>View</v>
      </c>
      <c r="P675" s="27"/>
    </row>
    <row r="676">
      <c r="A676" s="19">
        <v>42705.33530092593</v>
      </c>
      <c r="B676" s="20" t="str">
        <f t="shared" ref="B676:B677" si="77">HYPERLINK("https://twitter.com/bermaxo09","@bermaxo09")</f>
        <v>@bermaxo09</v>
      </c>
      <c r="C676" s="21" t="s">
        <v>284</v>
      </c>
      <c r="D676" s="21" t="s">
        <v>1485</v>
      </c>
      <c r="E676" s="22" t="str">
        <f>HYPERLINK("https://twitter.com/bermaxo09/status/804234285653835776","804234285653835776")</f>
        <v>804234285653835776</v>
      </c>
      <c r="F676" s="23" t="s">
        <v>41</v>
      </c>
      <c r="G676" s="24">
        <v>193.0</v>
      </c>
      <c r="H676" s="24">
        <v>196.0</v>
      </c>
      <c r="I676" s="24">
        <v>0.0</v>
      </c>
      <c r="J676" s="24">
        <v>4.0</v>
      </c>
      <c r="K676" s="23" t="s">
        <v>27</v>
      </c>
      <c r="L676" s="25">
        <v>42689.441516203704</v>
      </c>
      <c r="M676" s="26" t="s">
        <v>109</v>
      </c>
      <c r="N676" s="26" t="s">
        <v>286</v>
      </c>
      <c r="O676" s="22" t="str">
        <f t="shared" ref="O676:O677" si="78">HYPERLINK("https://pbs.twimg.com/profile_images/798476790478073856/iOD0HIRa_normal.jpg","View")</f>
        <v>View</v>
      </c>
      <c r="P676" s="27"/>
    </row>
    <row r="677">
      <c r="A677" s="19">
        <v>42705.33709490741</v>
      </c>
      <c r="B677" s="20" t="str">
        <f t="shared" si="77"/>
        <v>@bermaxo09</v>
      </c>
      <c r="C677" s="21" t="s">
        <v>284</v>
      </c>
      <c r="D677" s="21" t="s">
        <v>1486</v>
      </c>
      <c r="E677" s="22" t="str">
        <f>HYPERLINK("https://twitter.com/bermaxo09/status/804234936425259008","804234936425259008")</f>
        <v>804234936425259008</v>
      </c>
      <c r="F677" s="23" t="s">
        <v>41</v>
      </c>
      <c r="G677" s="24">
        <v>193.0</v>
      </c>
      <c r="H677" s="24">
        <v>196.0</v>
      </c>
      <c r="I677" s="24">
        <v>1.0</v>
      </c>
      <c r="J677" s="24">
        <v>4.0</v>
      </c>
      <c r="K677" s="23" t="s">
        <v>27</v>
      </c>
      <c r="L677" s="25">
        <v>42689.441516203704</v>
      </c>
      <c r="M677" s="26" t="s">
        <v>109</v>
      </c>
      <c r="N677" s="26" t="s">
        <v>286</v>
      </c>
      <c r="O677" s="22" t="str">
        <f t="shared" si="78"/>
        <v>View</v>
      </c>
      <c r="P677" s="27"/>
    </row>
    <row r="678">
      <c r="A678" s="19">
        <v>42705.3396875</v>
      </c>
      <c r="B678" s="20" t="str">
        <f>HYPERLINK("https://twitter.com/hiketenerife","@hiketenerife")</f>
        <v>@hiketenerife</v>
      </c>
      <c r="C678" s="21" t="s">
        <v>1487</v>
      </c>
      <c r="D678" s="21" t="s">
        <v>1488</v>
      </c>
      <c r="E678" s="22" t="str">
        <f>HYPERLINK("https://twitter.com/hiketenerife/status/804235874661793792","804235874661793792")</f>
        <v>804235874661793792</v>
      </c>
      <c r="F678" s="23" t="s">
        <v>37</v>
      </c>
      <c r="G678" s="24">
        <v>189.0</v>
      </c>
      <c r="H678" s="24">
        <v>367.0</v>
      </c>
      <c r="I678" s="24">
        <v>0.0</v>
      </c>
      <c r="J678" s="24">
        <v>0.0</v>
      </c>
      <c r="K678" s="23" t="s">
        <v>27</v>
      </c>
      <c r="L678" s="25">
        <v>42535.86667824074</v>
      </c>
      <c r="M678" s="26" t="s">
        <v>1489</v>
      </c>
      <c r="N678" s="26" t="s">
        <v>1490</v>
      </c>
      <c r="O678" s="22" t="str">
        <f>HYPERLINK("https://pbs.twimg.com/profile_images/742939785229180928/ZvQoGsVk_normal.jpg","View")</f>
        <v>View</v>
      </c>
      <c r="P678" s="27"/>
    </row>
    <row r="679">
      <c r="A679" s="19">
        <v>42705.33990740741</v>
      </c>
      <c r="B679" s="20" t="str">
        <f>HYPERLINK("https://twitter.com/holyber","@holyber")</f>
        <v>@holyber</v>
      </c>
      <c r="C679" s="21" t="s">
        <v>45</v>
      </c>
      <c r="D679" s="21" t="s">
        <v>1480</v>
      </c>
      <c r="E679" s="22" t="str">
        <f>HYPERLINK("https://twitter.com/holyber/status/804235956874256384","804235956874256384")</f>
        <v>804235956874256384</v>
      </c>
      <c r="F679" s="23" t="s">
        <v>37</v>
      </c>
      <c r="G679" s="24">
        <v>106410.0</v>
      </c>
      <c r="H679" s="24">
        <v>94316.0</v>
      </c>
      <c r="I679" s="24">
        <v>6.0</v>
      </c>
      <c r="J679" s="24">
        <v>0.0</v>
      </c>
      <c r="K679" s="23" t="s">
        <v>27</v>
      </c>
      <c r="L679" s="25">
        <v>41144.80637731482</v>
      </c>
      <c r="M679" s="26" t="s">
        <v>46</v>
      </c>
      <c r="N679" s="26" t="s">
        <v>47</v>
      </c>
      <c r="O679" s="22" t="str">
        <f>HYPERLINK("https://pbs.twimg.com/profile_images/475644614448123904/FiCl2pX4_normal.jpeg","View")</f>
        <v>View</v>
      </c>
      <c r="P679" s="27"/>
    </row>
    <row r="680">
      <c r="A680" s="19">
        <v>42705.35190972222</v>
      </c>
      <c r="B680" s="20" t="str">
        <f>HYPERLINK("https://twitter.com/Cervantesschool","@Cervantesschool")</f>
        <v>@Cervantesschool</v>
      </c>
      <c r="C680" s="21" t="s">
        <v>1491</v>
      </c>
      <c r="D680" s="21" t="s">
        <v>1492</v>
      </c>
      <c r="E680" s="22" t="str">
        <f>HYPERLINK("https://twitter.com/Cervantesschool/status/804240305709006848","804240305709006848")</f>
        <v>804240305709006848</v>
      </c>
      <c r="F680" s="23" t="s">
        <v>59</v>
      </c>
      <c r="G680" s="24">
        <v>114.0</v>
      </c>
      <c r="H680" s="24">
        <v>439.0</v>
      </c>
      <c r="I680" s="24">
        <v>0.0</v>
      </c>
      <c r="J680" s="24">
        <v>2.0</v>
      </c>
      <c r="K680" s="23" t="s">
        <v>27</v>
      </c>
      <c r="L680" s="25">
        <v>40868.50640046296</v>
      </c>
      <c r="M680" s="26" t="s">
        <v>353</v>
      </c>
      <c r="N680" s="26" t="s">
        <v>1493</v>
      </c>
      <c r="O680" s="22" t="str">
        <f>HYPERLINK("https://pbs.twimg.com/profile_images/2876962028/0da4632330b4e5046168e921c4efd88f_normal.jpeg","View")</f>
        <v>View</v>
      </c>
      <c r="P680" s="27"/>
    </row>
    <row r="681">
      <c r="A681" s="19">
        <v>42705.35417824074</v>
      </c>
      <c r="B681" s="20" t="str">
        <f>HYPERLINK("https://twitter.com/SuneHolidays","@SuneHolidays")</f>
        <v>@SuneHolidays</v>
      </c>
      <c r="C681" s="21" t="s">
        <v>62</v>
      </c>
      <c r="D681" s="21" t="s">
        <v>1494</v>
      </c>
      <c r="E681" s="22" t="str">
        <f>HYPERLINK("https://twitter.com/SuneHolidays/status/804241129268985856","804241129268985856")</f>
        <v>804241129268985856</v>
      </c>
      <c r="F681" s="23" t="s">
        <v>64</v>
      </c>
      <c r="G681" s="24">
        <v>396.0</v>
      </c>
      <c r="H681" s="24">
        <v>990.0</v>
      </c>
      <c r="I681" s="24">
        <v>2.0</v>
      </c>
      <c r="J681" s="24">
        <v>5.0</v>
      </c>
      <c r="K681" s="23" t="s">
        <v>27</v>
      </c>
      <c r="L681" s="25">
        <v>40929.92998842592</v>
      </c>
      <c r="M681" s="26" t="s">
        <v>65</v>
      </c>
      <c r="N681" s="26" t="s">
        <v>66</v>
      </c>
      <c r="O681" s="22" t="str">
        <f>HYPERLINK("https://pbs.twimg.com/profile_images/686922727480029184/9ztyb32p_normal.jpg","View")</f>
        <v>View</v>
      </c>
      <c r="P681" s="27"/>
    </row>
    <row r="682">
      <c r="A682" s="19">
        <v>42705.35450231482</v>
      </c>
      <c r="B682" s="20" t="str">
        <f>HYPERLINK("https://twitter.com/mrgaryhollywood","@mrgaryhollywood")</f>
        <v>@mrgaryhollywood</v>
      </c>
      <c r="C682" s="21" t="s">
        <v>1495</v>
      </c>
      <c r="D682" s="21" t="s">
        <v>1496</v>
      </c>
      <c r="E682" s="22" t="str">
        <f>HYPERLINK("https://twitter.com/mrgaryhollywood/status/804241245908430848","804241245908430848")</f>
        <v>804241245908430848</v>
      </c>
      <c r="F682" s="23" t="s">
        <v>26</v>
      </c>
      <c r="G682" s="24">
        <v>1935.0</v>
      </c>
      <c r="H682" s="24">
        <v>347.0</v>
      </c>
      <c r="I682" s="24">
        <v>2.0</v>
      </c>
      <c r="J682" s="24">
        <v>34.0</v>
      </c>
      <c r="K682" s="23" t="s">
        <v>27</v>
      </c>
      <c r="L682" s="25">
        <v>42605.49872685185</v>
      </c>
      <c r="M682" s="26" t="s">
        <v>305</v>
      </c>
      <c r="N682" s="26" t="s">
        <v>1497</v>
      </c>
      <c r="O682" s="22" t="str">
        <f>HYPERLINK("https://pbs.twimg.com/profile_images/768044411976646656/on8rcxYg_normal.jpg","View")</f>
        <v>View</v>
      </c>
      <c r="P682" s="27"/>
    </row>
    <row r="683">
      <c r="A683" s="19">
        <v>42705.35618055555</v>
      </c>
      <c r="B683" s="20" t="str">
        <f>HYPERLINK("https://twitter.com/AncelErnesto","@AncelErnesto")</f>
        <v>@AncelErnesto</v>
      </c>
      <c r="C683" s="21" t="s">
        <v>1498</v>
      </c>
      <c r="D683" s="21" t="s">
        <v>1499</v>
      </c>
      <c r="E683" s="22" t="str">
        <f>HYPERLINK("https://twitter.com/AncelErnesto/status/804241854980100096","804241854980100096")</f>
        <v>804241854980100096</v>
      </c>
      <c r="F683" s="23" t="s">
        <v>41</v>
      </c>
      <c r="G683" s="24">
        <v>1857.0</v>
      </c>
      <c r="H683" s="24">
        <v>2495.0</v>
      </c>
      <c r="I683" s="24">
        <v>0.0</v>
      </c>
      <c r="J683" s="24">
        <v>1.0</v>
      </c>
      <c r="K683" s="23" t="s">
        <v>27</v>
      </c>
      <c r="L683" s="25">
        <v>41974.68519675926</v>
      </c>
      <c r="M683" s="26" t="s">
        <v>1084</v>
      </c>
      <c r="N683" s="26" t="s">
        <v>1500</v>
      </c>
      <c r="O683" s="22" t="str">
        <f>HYPERLINK("https://pbs.twimg.com/profile_images/753546097239392256/iklYmrWv_normal.jpg","View")</f>
        <v>View</v>
      </c>
      <c r="P683" s="27"/>
    </row>
    <row r="684">
      <c r="A684" s="19">
        <v>42705.364699074074</v>
      </c>
      <c r="B684" s="20" t="str">
        <f>HYPERLINK("https://twitter.com/KeyserSoSo","@KeyserSoSo")</f>
        <v>@KeyserSoSo</v>
      </c>
      <c r="C684" s="21" t="s">
        <v>452</v>
      </c>
      <c r="D684" s="21" t="s">
        <v>1501</v>
      </c>
      <c r="E684" s="22" t="str">
        <f>HYPERLINK("https://twitter.com/KeyserSoSo/status/804244940809207812","804244940809207812")</f>
        <v>804244940809207812</v>
      </c>
      <c r="F684" s="23" t="s">
        <v>26</v>
      </c>
      <c r="G684" s="24">
        <v>65.0</v>
      </c>
      <c r="H684" s="24">
        <v>122.0</v>
      </c>
      <c r="I684" s="24">
        <v>2.0</v>
      </c>
      <c r="J684" s="24">
        <v>0.0</v>
      </c>
      <c r="K684" s="23" t="s">
        <v>27</v>
      </c>
      <c r="L684" s="25">
        <v>41843.658842592595</v>
      </c>
      <c r="M684" s="26" t="s">
        <v>292</v>
      </c>
      <c r="N684" s="28"/>
      <c r="O684" s="22" t="str">
        <f>HYPERLINK("https://pbs.twimg.com/profile_images/592798998773235713/aPa65SQO_normal.jpg","View")</f>
        <v>View</v>
      </c>
      <c r="P684" s="27"/>
    </row>
    <row r="685">
      <c r="A685" s="19">
        <v>42705.37152777778</v>
      </c>
      <c r="B685" s="20" t="str">
        <f>HYPERLINK("https://twitter.com/CanaryIslandsEN","@CanaryIslandsEN")</f>
        <v>@CanaryIslandsEN</v>
      </c>
      <c r="C685" s="21" t="s">
        <v>165</v>
      </c>
      <c r="D685" s="21" t="s">
        <v>1502</v>
      </c>
      <c r="E685" s="22" t="str">
        <f>HYPERLINK("https://twitter.com/CanaryIslandsEN/status/804247412743213056","804247412743213056")</f>
        <v>804247412743213056</v>
      </c>
      <c r="F685" s="23" t="s">
        <v>167</v>
      </c>
      <c r="G685" s="24">
        <v>14287.0</v>
      </c>
      <c r="H685" s="24">
        <v>1533.0</v>
      </c>
      <c r="I685" s="24">
        <v>16.0</v>
      </c>
      <c r="J685" s="24">
        <v>37.0</v>
      </c>
      <c r="K685" s="23" t="s">
        <v>27</v>
      </c>
      <c r="L685" s="25">
        <v>41264.365949074076</v>
      </c>
      <c r="M685" s="26" t="s">
        <v>168</v>
      </c>
      <c r="N685" s="26" t="s">
        <v>169</v>
      </c>
      <c r="O685" s="22" t="str">
        <f>HYPERLINK("https://pbs.twimg.com/profile_images/754960714704584704/14dQxsF8_normal.jpg","View")</f>
        <v>View</v>
      </c>
      <c r="P685" s="27"/>
    </row>
    <row r="686">
      <c r="A686" s="19">
        <v>42705.37163194444</v>
      </c>
      <c r="B686" s="20" t="str">
        <f>HYPERLINK("https://twitter.com/enduriaholidays","@enduriaholidays")</f>
        <v>@enduriaholidays</v>
      </c>
      <c r="C686" s="21" t="s">
        <v>173</v>
      </c>
      <c r="D686" s="21" t="s">
        <v>1503</v>
      </c>
      <c r="E686" s="22" t="str">
        <f>HYPERLINK("https://twitter.com/enduriaholidays/status/804247450785644545","804247450785644545")</f>
        <v>804247450785644545</v>
      </c>
      <c r="F686" s="23" t="s">
        <v>69</v>
      </c>
      <c r="G686" s="24">
        <v>319.0</v>
      </c>
      <c r="H686" s="24">
        <v>313.0</v>
      </c>
      <c r="I686" s="24">
        <v>0.0</v>
      </c>
      <c r="J686" s="24">
        <v>0.0</v>
      </c>
      <c r="K686" s="23" t="s">
        <v>27</v>
      </c>
      <c r="L686" s="25">
        <v>42489.5252662037</v>
      </c>
      <c r="M686" s="28"/>
      <c r="N686" s="28"/>
      <c r="O686" s="22" t="str">
        <f>HYPERLINK("https://pbs.twimg.com/profile_images/726026649356128258/xCSaP1IW_normal.jpg","View")</f>
        <v>View</v>
      </c>
      <c r="P686" s="27"/>
    </row>
    <row r="687">
      <c r="A687" s="19">
        <v>42705.37204861111</v>
      </c>
      <c r="B687" s="20" t="str">
        <f>HYPERLINK("https://twitter.com/GoldByMarina","@GoldByMarina")</f>
        <v>@GoldByMarina</v>
      </c>
      <c r="C687" s="21" t="s">
        <v>220</v>
      </c>
      <c r="D687" s="21" t="s">
        <v>1504</v>
      </c>
      <c r="E687" s="22" t="str">
        <f>HYPERLINK("https://twitter.com/GoldByMarina/status/804247604603318272","804247604603318272")</f>
        <v>804247604603318272</v>
      </c>
      <c r="F687" s="23" t="s">
        <v>37</v>
      </c>
      <c r="G687" s="24">
        <v>328.0</v>
      </c>
      <c r="H687" s="24">
        <v>92.0</v>
      </c>
      <c r="I687" s="24">
        <v>16.0</v>
      </c>
      <c r="J687" s="24">
        <v>0.0</v>
      </c>
      <c r="K687" s="23" t="s">
        <v>27</v>
      </c>
      <c r="L687" s="25">
        <v>41675.443148148144</v>
      </c>
      <c r="M687" s="26" t="s">
        <v>221</v>
      </c>
      <c r="N687" s="26" t="s">
        <v>222</v>
      </c>
      <c r="O687" s="22" t="str">
        <f>HYPERLINK("https://pbs.twimg.com/profile_images/499580538487717888/NxEbStHx_normal.jpeg","View")</f>
        <v>View</v>
      </c>
      <c r="P687" s="27"/>
    </row>
    <row r="688">
      <c r="A688" s="19">
        <v>42705.373182870375</v>
      </c>
      <c r="B688" s="20" t="str">
        <f>HYPERLINK("https://twitter.com/arieln0044","@arieln0044")</f>
        <v>@arieln0044</v>
      </c>
      <c r="C688" s="21" t="s">
        <v>1505</v>
      </c>
      <c r="D688" s="21" t="s">
        <v>1504</v>
      </c>
      <c r="E688" s="22" t="str">
        <f>HYPERLINK("https://twitter.com/arieln0044/status/804248014609121280","804248014609121280")</f>
        <v>804248014609121280</v>
      </c>
      <c r="F688" s="23" t="s">
        <v>26</v>
      </c>
      <c r="G688" s="24">
        <v>78.0</v>
      </c>
      <c r="H688" s="24">
        <v>400.0</v>
      </c>
      <c r="I688" s="24">
        <v>16.0</v>
      </c>
      <c r="J688" s="24">
        <v>0.0</v>
      </c>
      <c r="K688" s="23" t="s">
        <v>27</v>
      </c>
      <c r="L688" s="25">
        <v>42028.905590277776</v>
      </c>
      <c r="M688" s="28"/>
      <c r="N688" s="26" t="s">
        <v>1506</v>
      </c>
      <c r="O688" s="22" t="str">
        <f>HYPERLINK("https://pbs.twimg.com/profile_images/776857833052733444/s3xCVGsS_normal.jpg","View")</f>
        <v>View</v>
      </c>
      <c r="P688" s="27"/>
    </row>
    <row r="689">
      <c r="A689" s="19">
        <v>42705.37752314815</v>
      </c>
      <c r="B689" s="20" t="str">
        <f>HYPERLINK("https://twitter.com/FrancisJ410","@FrancisJ410")</f>
        <v>@FrancisJ410</v>
      </c>
      <c r="C689" s="21" t="s">
        <v>1507</v>
      </c>
      <c r="D689" s="21" t="s">
        <v>1504</v>
      </c>
      <c r="E689" s="22" t="str">
        <f>HYPERLINK("https://twitter.com/FrancisJ410/status/804249588542664704","804249588542664704")</f>
        <v>804249588542664704</v>
      </c>
      <c r="F689" s="23" t="s">
        <v>41</v>
      </c>
      <c r="G689" s="24">
        <v>137.0</v>
      </c>
      <c r="H689" s="24">
        <v>446.0</v>
      </c>
      <c r="I689" s="24">
        <v>16.0</v>
      </c>
      <c r="J689" s="24">
        <v>0.0</v>
      </c>
      <c r="K689" s="23" t="s">
        <v>27</v>
      </c>
      <c r="L689" s="25">
        <v>42689.88403935185</v>
      </c>
      <c r="M689" s="26" t="s">
        <v>51</v>
      </c>
      <c r="N689" s="26" t="s">
        <v>1508</v>
      </c>
      <c r="O689" s="22" t="str">
        <f>HYPERLINK("https://pbs.twimg.com/profile_images/798638576560967680/A5eU5E5u_normal.jpg","View")</f>
        <v>View</v>
      </c>
      <c r="P689" s="27"/>
    </row>
    <row r="690">
      <c r="A690" s="19">
        <v>42705.37836805556</v>
      </c>
      <c r="B690" s="20" t="str">
        <f>HYPERLINK("https://twitter.com/AguaNieblaGaroe","@AguaNieblaGaroe")</f>
        <v>@AguaNieblaGaroe</v>
      </c>
      <c r="C690" s="21" t="s">
        <v>1509</v>
      </c>
      <c r="D690" s="21" t="s">
        <v>1504</v>
      </c>
      <c r="E690" s="22" t="str">
        <f>HYPERLINK("https://twitter.com/AguaNieblaGaroe/status/804249892247994368","804249892247994368")</f>
        <v>804249892247994368</v>
      </c>
      <c r="F690" s="23" t="s">
        <v>1510</v>
      </c>
      <c r="G690" s="24">
        <v>143.0</v>
      </c>
      <c r="H690" s="24">
        <v>494.0</v>
      </c>
      <c r="I690" s="24">
        <v>16.0</v>
      </c>
      <c r="J690" s="24">
        <v>0.0</v>
      </c>
      <c r="K690" s="23" t="s">
        <v>27</v>
      </c>
      <c r="L690" s="25">
        <v>42504.51565972222</v>
      </c>
      <c r="M690" s="26" t="s">
        <v>51</v>
      </c>
      <c r="N690" s="26" t="s">
        <v>1511</v>
      </c>
      <c r="O690" s="22" t="str">
        <f>HYPERLINK("https://pbs.twimg.com/profile_images/731445392399798273/zFWAYaay_normal.jpg","View")</f>
        <v>View</v>
      </c>
      <c r="P690" s="27"/>
    </row>
    <row r="691">
      <c r="A691" s="19">
        <v>42705.37909722222</v>
      </c>
      <c r="B691" s="20" t="str">
        <f>HYPERLINK("https://twitter.com/jesus_fontecha","@jesus_fontecha")</f>
        <v>@jesus_fontecha</v>
      </c>
      <c r="C691" s="21" t="s">
        <v>1512</v>
      </c>
      <c r="D691" s="21" t="s">
        <v>1513</v>
      </c>
      <c r="E691" s="22" t="str">
        <f>HYPERLINK("https://twitter.com/jesus_fontecha/status/804250158607241217","804250158607241217")</f>
        <v>804250158607241217</v>
      </c>
      <c r="F691" s="23" t="s">
        <v>41</v>
      </c>
      <c r="G691" s="24">
        <v>63.0</v>
      </c>
      <c r="H691" s="24">
        <v>192.0</v>
      </c>
      <c r="I691" s="24">
        <v>3.0</v>
      </c>
      <c r="J691" s="24">
        <v>0.0</v>
      </c>
      <c r="K691" s="23" t="s">
        <v>27</v>
      </c>
      <c r="L691" s="25">
        <v>40585.364282407405</v>
      </c>
      <c r="M691" s="28"/>
      <c r="N691" s="26" t="s">
        <v>1514</v>
      </c>
      <c r="O691" s="22" t="str">
        <f>HYPERLINK("https://pbs.twimg.com/profile_images/664582137182560256/lrFbiPa7_normal.jpg","View")</f>
        <v>View</v>
      </c>
      <c r="P691" s="27"/>
    </row>
    <row r="692">
      <c r="A692" s="19">
        <v>42705.37959490741</v>
      </c>
      <c r="B692" s="20" t="str">
        <f>HYPERLINK("https://twitter.com/UCAmIIWAAL","@UCAmIIWAAL")</f>
        <v>@UCAmIIWAAL</v>
      </c>
      <c r="C692" s="21" t="s">
        <v>1196</v>
      </c>
      <c r="D692" s="21" t="s">
        <v>1515</v>
      </c>
      <c r="E692" s="22" t="str">
        <f>HYPERLINK("https://twitter.com/UCAmIIWAAL/status/804250338677129217","804250338677129217")</f>
        <v>804250338677129217</v>
      </c>
      <c r="F692" s="23" t="s">
        <v>41</v>
      </c>
      <c r="G692" s="24">
        <v>72.0</v>
      </c>
      <c r="H692" s="24">
        <v>13.0</v>
      </c>
      <c r="I692" s="24">
        <v>3.0</v>
      </c>
      <c r="J692" s="24">
        <v>0.0</v>
      </c>
      <c r="K692" s="23" t="s">
        <v>27</v>
      </c>
      <c r="L692" s="25">
        <v>40895.47292824074</v>
      </c>
      <c r="M692" s="28"/>
      <c r="N692" s="26" t="s">
        <v>1198</v>
      </c>
      <c r="O692" s="22" t="str">
        <f>HYPERLINK("https://pbs.twimg.com/profile_images/713310925701427200/i_WxL0Us_normal.jpg","View")</f>
        <v>View</v>
      </c>
      <c r="P692" s="27"/>
    </row>
    <row r="693">
      <c r="A693" s="19">
        <v>42705.38105324074</v>
      </c>
      <c r="B693" s="20" t="str">
        <f>HYPERLINK("https://twitter.com/ViajesTeide","@ViajesTeide")</f>
        <v>@ViajesTeide</v>
      </c>
      <c r="C693" s="21" t="s">
        <v>1516</v>
      </c>
      <c r="D693" s="21" t="s">
        <v>1517</v>
      </c>
      <c r="E693" s="22" t="str">
        <f>HYPERLINK("https://twitter.com/ViajesTeide/status/804250864680636416","804250864680636416")</f>
        <v>804250864680636416</v>
      </c>
      <c r="F693" s="23" t="s">
        <v>37</v>
      </c>
      <c r="G693" s="24">
        <v>825.0</v>
      </c>
      <c r="H693" s="24">
        <v>1125.0</v>
      </c>
      <c r="I693" s="24">
        <v>0.0</v>
      </c>
      <c r="J693" s="24">
        <v>0.0</v>
      </c>
      <c r="K693" s="23" t="s">
        <v>27</v>
      </c>
      <c r="L693" s="25">
        <v>40803.597453703704</v>
      </c>
      <c r="M693" s="26" t="s">
        <v>282</v>
      </c>
      <c r="N693" s="26" t="s">
        <v>1518</v>
      </c>
      <c r="O693" s="22" t="str">
        <f>HYPERLINK("https://pbs.twimg.com/profile_images/720168052789276672/NYZtZh9H_normal.jpg","View")</f>
        <v>View</v>
      </c>
      <c r="P693" s="27"/>
    </row>
    <row r="694">
      <c r="A694" s="19">
        <v>42705.38214120371</v>
      </c>
      <c r="B694" s="20" t="str">
        <f>HYPERLINK("https://twitter.com/jamesbecks","@jamesbecks")</f>
        <v>@jamesbecks</v>
      </c>
      <c r="C694" s="21" t="s">
        <v>1519</v>
      </c>
      <c r="D694" s="21" t="s">
        <v>1365</v>
      </c>
      <c r="E694" s="22" t="str">
        <f>HYPERLINK("https://twitter.com/jamesbecks/status/804251258836123648","804251258836123648")</f>
        <v>804251258836123648</v>
      </c>
      <c r="F694" s="23" t="s">
        <v>37</v>
      </c>
      <c r="G694" s="24">
        <v>160.0</v>
      </c>
      <c r="H694" s="24">
        <v>344.0</v>
      </c>
      <c r="I694" s="24">
        <v>7.0</v>
      </c>
      <c r="J694" s="24">
        <v>0.0</v>
      </c>
      <c r="K694" s="23" t="s">
        <v>27</v>
      </c>
      <c r="L694" s="25">
        <v>40151.456770833334</v>
      </c>
      <c r="M694" s="26" t="s">
        <v>674</v>
      </c>
      <c r="N694" s="26" t="s">
        <v>1520</v>
      </c>
      <c r="O694" s="22" t="str">
        <f>HYPERLINK("https://pbs.twimg.com/profile_images/794174807533375488/_JynikQ4_normal.jpg","View")</f>
        <v>View</v>
      </c>
      <c r="P694" s="27"/>
    </row>
    <row r="695">
      <c r="A695" s="19">
        <v>42705.384618055556</v>
      </c>
      <c r="B695" s="20" t="str">
        <f>HYPERLINK("https://twitter.com/UCAmIIWAAL","@UCAmIIWAAL")</f>
        <v>@UCAmIIWAAL</v>
      </c>
      <c r="C695" s="21" t="s">
        <v>1196</v>
      </c>
      <c r="D695" s="21" t="s">
        <v>1521</v>
      </c>
      <c r="E695" s="22" t="str">
        <f>HYPERLINK("https://twitter.com/UCAmIIWAAL/status/804252157704806401","804252157704806401")</f>
        <v>804252157704806401</v>
      </c>
      <c r="F695" s="23" t="s">
        <v>41</v>
      </c>
      <c r="G695" s="24">
        <v>72.0</v>
      </c>
      <c r="H695" s="24">
        <v>13.0</v>
      </c>
      <c r="I695" s="24">
        <v>0.0</v>
      </c>
      <c r="J695" s="24">
        <v>1.0</v>
      </c>
      <c r="K695" s="23" t="s">
        <v>27</v>
      </c>
      <c r="L695" s="25">
        <v>40895.47292824074</v>
      </c>
      <c r="M695" s="28"/>
      <c r="N695" s="26" t="s">
        <v>1198</v>
      </c>
      <c r="O695" s="22" t="str">
        <f>HYPERLINK("https://pbs.twimg.com/profile_images/713310925701427200/i_WxL0Us_normal.jpg","View")</f>
        <v>View</v>
      </c>
      <c r="P695" s="27"/>
    </row>
    <row r="696">
      <c r="A696" s="19">
        <v>42705.38642361111</v>
      </c>
      <c r="B696" s="20" t="str">
        <f>HYPERLINK("https://twitter.com/jamesbecks","@jamesbecks")</f>
        <v>@jamesbecks</v>
      </c>
      <c r="C696" s="21" t="s">
        <v>1519</v>
      </c>
      <c r="D696" s="21" t="s">
        <v>1504</v>
      </c>
      <c r="E696" s="22" t="str">
        <f>HYPERLINK("https://twitter.com/jamesbecks/status/804252813006110720","804252813006110720")</f>
        <v>804252813006110720</v>
      </c>
      <c r="F696" s="23" t="s">
        <v>37</v>
      </c>
      <c r="G696" s="24">
        <v>160.0</v>
      </c>
      <c r="H696" s="24">
        <v>344.0</v>
      </c>
      <c r="I696" s="24">
        <v>16.0</v>
      </c>
      <c r="J696" s="24">
        <v>0.0</v>
      </c>
      <c r="K696" s="23" t="s">
        <v>27</v>
      </c>
      <c r="L696" s="25">
        <v>40151.456770833334</v>
      </c>
      <c r="M696" s="26" t="s">
        <v>674</v>
      </c>
      <c r="N696" s="26" t="s">
        <v>1520</v>
      </c>
      <c r="O696" s="22" t="str">
        <f>HYPERLINK("https://pbs.twimg.com/profile_images/794174807533375488/_JynikQ4_normal.jpg","View")</f>
        <v>View</v>
      </c>
      <c r="P696" s="27"/>
    </row>
    <row r="697">
      <c r="A697" s="19">
        <v>42705.38895833334</v>
      </c>
      <c r="B697" s="20" t="str">
        <f>HYPERLINK("https://twitter.com/CanaryIslandsEN","@CanaryIslandsEN")</f>
        <v>@CanaryIslandsEN</v>
      </c>
      <c r="C697" s="21" t="s">
        <v>165</v>
      </c>
      <c r="D697" s="21" t="s">
        <v>1522</v>
      </c>
      <c r="E697" s="22" t="str">
        <f>HYPERLINK("https://twitter.com/CanaryIslandsEN/status/804253731923656704","804253731923656704")</f>
        <v>804253731923656704</v>
      </c>
      <c r="F697" s="23" t="s">
        <v>167</v>
      </c>
      <c r="G697" s="24">
        <v>14287.0</v>
      </c>
      <c r="H697" s="24">
        <v>1533.0</v>
      </c>
      <c r="I697" s="24">
        <v>1.0</v>
      </c>
      <c r="J697" s="24">
        <v>5.0</v>
      </c>
      <c r="K697" s="23" t="s">
        <v>27</v>
      </c>
      <c r="L697" s="25">
        <v>41264.365949074076</v>
      </c>
      <c r="M697" s="26" t="s">
        <v>168</v>
      </c>
      <c r="N697" s="26" t="s">
        <v>169</v>
      </c>
      <c r="O697" s="22" t="str">
        <f>HYPERLINK("https://pbs.twimg.com/profile_images/754960714704584704/14dQxsF8_normal.jpg","View")</f>
        <v>View</v>
      </c>
      <c r="P697" s="27"/>
    </row>
    <row r="698">
      <c r="A698" s="19">
        <v>42705.38900462963</v>
      </c>
      <c r="B698" s="20" t="str">
        <f>HYPERLINK("https://twitter.com/enduriaholidays","@enduriaholidays")</f>
        <v>@enduriaholidays</v>
      </c>
      <c r="C698" s="21" t="s">
        <v>173</v>
      </c>
      <c r="D698" s="21" t="s">
        <v>1523</v>
      </c>
      <c r="E698" s="22" t="str">
        <f>HYPERLINK("https://twitter.com/enduriaholidays/status/804253746284920832","804253746284920832")</f>
        <v>804253746284920832</v>
      </c>
      <c r="F698" s="23" t="s">
        <v>69</v>
      </c>
      <c r="G698" s="24">
        <v>319.0</v>
      </c>
      <c r="H698" s="24">
        <v>313.0</v>
      </c>
      <c r="I698" s="24">
        <v>0.0</v>
      </c>
      <c r="J698" s="24">
        <v>1.0</v>
      </c>
      <c r="K698" s="23" t="s">
        <v>27</v>
      </c>
      <c r="L698" s="25">
        <v>42489.5252662037</v>
      </c>
      <c r="M698" s="28"/>
      <c r="N698" s="28"/>
      <c r="O698" s="22" t="str">
        <f>HYPERLINK("https://pbs.twimg.com/profile_images/726026649356128258/xCSaP1IW_normal.jpg","View")</f>
        <v>View</v>
      </c>
      <c r="P698" s="27"/>
    </row>
    <row r="699">
      <c r="A699" s="19">
        <v>42705.3953587963</v>
      </c>
      <c r="B699" s="20" t="str">
        <f>HYPERLINK("https://twitter.com/TwiTenerifeGolf","@TwiTenerifeGolf")</f>
        <v>@TwiTenerifeGolf</v>
      </c>
      <c r="C699" s="21" t="s">
        <v>879</v>
      </c>
      <c r="D699" s="21" t="s">
        <v>1524</v>
      </c>
      <c r="E699" s="22" t="str">
        <f>HYPERLINK("https://twitter.com/TwiTenerifeGolf/status/804256049289199616","804256049289199616")</f>
        <v>804256049289199616</v>
      </c>
      <c r="F699" s="23" t="s">
        <v>37</v>
      </c>
      <c r="G699" s="24">
        <v>1879.0</v>
      </c>
      <c r="H699" s="24">
        <v>937.0</v>
      </c>
      <c r="I699" s="24">
        <v>3.0</v>
      </c>
      <c r="J699" s="24">
        <v>9.0</v>
      </c>
      <c r="K699" s="23" t="s">
        <v>27</v>
      </c>
      <c r="L699" s="25">
        <v>41724.79984953704</v>
      </c>
      <c r="M699" s="26" t="s">
        <v>282</v>
      </c>
      <c r="N699" s="26" t="s">
        <v>881</v>
      </c>
      <c r="O699" s="22" t="str">
        <f>HYPERLINK("https://pbs.twimg.com/profile_images/723156330673000448/xa2FT8Re_normal.jpg","View")</f>
        <v>View</v>
      </c>
      <c r="P699" s="27"/>
    </row>
    <row r="700">
      <c r="A700" s="19">
        <v>42705.395902777775</v>
      </c>
      <c r="B700" s="20" t="str">
        <f>HYPERLINK("https://twitter.com/DeeeTeeeV","@DeeeTeeeV")</f>
        <v>@DeeeTeeeV</v>
      </c>
      <c r="C700" s="21" t="s">
        <v>1525</v>
      </c>
      <c r="D700" s="21" t="s">
        <v>1501</v>
      </c>
      <c r="E700" s="22" t="str">
        <f>HYPERLINK("https://twitter.com/DeeeTeeeV/status/804256246484373505","804256246484373505")</f>
        <v>804256246484373505</v>
      </c>
      <c r="F700" s="23" t="s">
        <v>26</v>
      </c>
      <c r="G700" s="24">
        <v>127.0</v>
      </c>
      <c r="H700" s="24">
        <v>303.0</v>
      </c>
      <c r="I700" s="24">
        <v>2.0</v>
      </c>
      <c r="J700" s="24">
        <v>0.0</v>
      </c>
      <c r="K700" s="23" t="s">
        <v>27</v>
      </c>
      <c r="L700" s="25">
        <v>42598.94332175926</v>
      </c>
      <c r="M700" s="26" t="s">
        <v>305</v>
      </c>
      <c r="N700" s="26" t="s">
        <v>1526</v>
      </c>
      <c r="O700" s="22" t="str">
        <f>HYPERLINK("https://pbs.twimg.com/profile_images/783033765027340288/2mXCXyxy_normal.jpg","View")</f>
        <v>View</v>
      </c>
      <c r="P700" s="27"/>
    </row>
    <row r="701">
      <c r="A701" s="19">
        <v>42705.39592592593</v>
      </c>
      <c r="B701" s="20" t="str">
        <f>HYPERLINK("https://twitter.com/AlexBramwellGC","@AlexBramwellGC")</f>
        <v>@AlexBramwellGC</v>
      </c>
      <c r="C701" s="21" t="s">
        <v>475</v>
      </c>
      <c r="D701" s="21" t="s">
        <v>1527</v>
      </c>
      <c r="E701" s="22" t="str">
        <f>HYPERLINK("https://twitter.com/AlexBramwellGC/status/804256256219299841","804256256219299841")</f>
        <v>804256256219299841</v>
      </c>
      <c r="F701" s="23" t="s">
        <v>167</v>
      </c>
      <c r="G701" s="24">
        <v>4023.0</v>
      </c>
      <c r="H701" s="24">
        <v>2573.0</v>
      </c>
      <c r="I701" s="24">
        <v>10.0</v>
      </c>
      <c r="J701" s="24">
        <v>24.0</v>
      </c>
      <c r="K701" s="23" t="s">
        <v>27</v>
      </c>
      <c r="L701" s="25">
        <v>40233.01298611111</v>
      </c>
      <c r="M701" s="26" t="s">
        <v>477</v>
      </c>
      <c r="N701" s="26" t="s">
        <v>478</v>
      </c>
      <c r="O701" s="22" t="str">
        <f>HYPERLINK("https://pbs.twimg.com/profile_images/657142929920794624/Z8UQpOEp_normal.jpg","View")</f>
        <v>View</v>
      </c>
      <c r="P701" s="27"/>
    </row>
    <row r="702">
      <c r="A702" s="19">
        <v>42705.397511574076</v>
      </c>
      <c r="B702" s="20" t="str">
        <f>HYPERLINK("https://twitter.com/inmo_roca","@inmo_roca")</f>
        <v>@inmo_roca</v>
      </c>
      <c r="C702" s="21" t="s">
        <v>1528</v>
      </c>
      <c r="D702" s="21" t="s">
        <v>1529</v>
      </c>
      <c r="E702" s="22" t="str">
        <f>HYPERLINK("https://twitter.com/inmo_roca/status/804256832139169792","804256832139169792")</f>
        <v>804256832139169792</v>
      </c>
      <c r="F702" s="23" t="s">
        <v>81</v>
      </c>
      <c r="G702" s="24">
        <v>109.0</v>
      </c>
      <c r="H702" s="24">
        <v>652.0</v>
      </c>
      <c r="I702" s="24">
        <v>0.0</v>
      </c>
      <c r="J702" s="24">
        <v>1.0</v>
      </c>
      <c r="K702" s="23" t="s">
        <v>27</v>
      </c>
      <c r="L702" s="25">
        <v>41563.54709490741</v>
      </c>
      <c r="M702" s="26" t="s">
        <v>1530</v>
      </c>
      <c r="N702" s="26" t="s">
        <v>1531</v>
      </c>
      <c r="O702" s="22" t="str">
        <f>HYPERLINK("https://pbs.twimg.com/profile_images/725336350874951681/F-1Biyvs_normal.jpg","View")</f>
        <v>View</v>
      </c>
      <c r="P702" s="27"/>
    </row>
    <row r="703">
      <c r="A703" s="19">
        <v>42705.39859953704</v>
      </c>
      <c r="B703" s="20" t="str">
        <f>HYPERLINK("https://twitter.com/livixen","@livixen")</f>
        <v>@livixen</v>
      </c>
      <c r="C703" s="21" t="s">
        <v>1532</v>
      </c>
      <c r="D703" s="21" t="s">
        <v>1533</v>
      </c>
      <c r="E703" s="22" t="str">
        <f>HYPERLINK("https://twitter.com/livixen/status/804257223732056064","804257223732056064")</f>
        <v>804257223732056064</v>
      </c>
      <c r="F703" s="23" t="s">
        <v>41</v>
      </c>
      <c r="G703" s="24">
        <v>603.0</v>
      </c>
      <c r="H703" s="24">
        <v>844.0</v>
      </c>
      <c r="I703" s="24">
        <v>10.0</v>
      </c>
      <c r="J703" s="24">
        <v>0.0</v>
      </c>
      <c r="K703" s="23" t="s">
        <v>27</v>
      </c>
      <c r="L703" s="25">
        <v>39897.812581018516</v>
      </c>
      <c r="M703" s="26" t="s">
        <v>332</v>
      </c>
      <c r="N703" s="26" t="s">
        <v>1534</v>
      </c>
      <c r="O703" s="22" t="str">
        <f>HYPERLINK("https://pbs.twimg.com/profile_images/696497801413402625/TsBaZIoV_normal.jpg","View")</f>
        <v>View</v>
      </c>
      <c r="P703" s="27"/>
    </row>
    <row r="704">
      <c r="A704" s="19">
        <v>42705.400717592594</v>
      </c>
      <c r="B704" s="20" t="str">
        <f>HYPERLINK("https://twitter.com/inmo_roca","@inmo_roca")</f>
        <v>@inmo_roca</v>
      </c>
      <c r="C704" s="21" t="s">
        <v>1528</v>
      </c>
      <c r="D704" s="21" t="s">
        <v>1535</v>
      </c>
      <c r="E704" s="22" t="str">
        <f>HYPERLINK("https://twitter.com/inmo_roca/status/804257991327436800","804257991327436800")</f>
        <v>804257991327436800</v>
      </c>
      <c r="F704" s="23" t="s">
        <v>59</v>
      </c>
      <c r="G704" s="24">
        <v>109.0</v>
      </c>
      <c r="H704" s="24">
        <v>652.0</v>
      </c>
      <c r="I704" s="24">
        <v>0.0</v>
      </c>
      <c r="J704" s="24">
        <v>0.0</v>
      </c>
      <c r="K704" s="23" t="s">
        <v>27</v>
      </c>
      <c r="L704" s="25">
        <v>41563.54709490741</v>
      </c>
      <c r="M704" s="26" t="s">
        <v>1530</v>
      </c>
      <c r="N704" s="26" t="s">
        <v>1531</v>
      </c>
      <c r="O704" s="22" t="str">
        <f>HYPERLINK("https://pbs.twimg.com/profile_images/725336350874951681/F-1Biyvs_normal.jpg","View")</f>
        <v>View</v>
      </c>
      <c r="P704" s="27"/>
    </row>
    <row r="705">
      <c r="A705" s="19">
        <v>42705.40866898149</v>
      </c>
      <c r="B705" s="20" t="str">
        <f>HYPERLINK("https://twitter.com/vedettje","@vedettje")</f>
        <v>@vedettje</v>
      </c>
      <c r="C705" s="21" t="s">
        <v>1536</v>
      </c>
      <c r="D705" s="21" t="s">
        <v>1533</v>
      </c>
      <c r="E705" s="22" t="str">
        <f>HYPERLINK("https://twitter.com/vedettje/status/804260874131304448","804260874131304448")</f>
        <v>804260874131304448</v>
      </c>
      <c r="F705" s="23" t="s">
        <v>26</v>
      </c>
      <c r="G705" s="24">
        <v>263.0</v>
      </c>
      <c r="H705" s="24">
        <v>224.0</v>
      </c>
      <c r="I705" s="24">
        <v>10.0</v>
      </c>
      <c r="J705" s="24">
        <v>0.0</v>
      </c>
      <c r="K705" s="23" t="s">
        <v>27</v>
      </c>
      <c r="L705" s="25">
        <v>40672.88068287037</v>
      </c>
      <c r="M705" s="28"/>
      <c r="N705" s="26" t="s">
        <v>1537</v>
      </c>
      <c r="O705" s="22" t="str">
        <f>HYPERLINK("https://pbs.twimg.com/profile_images/640498325494628352/Ikq2MPe1_normal.jpg","View")</f>
        <v>View</v>
      </c>
      <c r="P705" s="27"/>
    </row>
    <row r="706">
      <c r="A706" s="19">
        <v>42705.41233796296</v>
      </c>
      <c r="B706" s="20" t="str">
        <f t="shared" ref="B706:B707" si="79">HYPERLINK("https://twitter.com/15Fuerteventura","@15Fuerteventura")</f>
        <v>@15Fuerteventura</v>
      </c>
      <c r="C706" s="21" t="s">
        <v>1148</v>
      </c>
      <c r="D706" s="21" t="s">
        <v>1365</v>
      </c>
      <c r="E706" s="22" t="str">
        <f>HYPERLINK("https://twitter.com/15Fuerteventura/status/804262202463100929","804262202463100929")</f>
        <v>804262202463100929</v>
      </c>
      <c r="F706" s="23" t="s">
        <v>26</v>
      </c>
      <c r="G706" s="24">
        <v>473.0</v>
      </c>
      <c r="H706" s="24">
        <v>272.0</v>
      </c>
      <c r="I706" s="24">
        <v>7.0</v>
      </c>
      <c r="J706" s="24">
        <v>0.0</v>
      </c>
      <c r="K706" s="23" t="s">
        <v>27</v>
      </c>
      <c r="L706" s="25">
        <v>40742.81895833333</v>
      </c>
      <c r="M706" s="26" t="s">
        <v>1149</v>
      </c>
      <c r="N706" s="26" t="s">
        <v>1150</v>
      </c>
      <c r="O706" s="22" t="str">
        <f t="shared" ref="O706:O707" si="80">HYPERLINK("https://pbs.twimg.com/profile_images/1450740632/15_brand_pic_normal.jpg","View")</f>
        <v>View</v>
      </c>
      <c r="P706" s="27"/>
    </row>
    <row r="707">
      <c r="A707" s="19">
        <v>42705.41295138889</v>
      </c>
      <c r="B707" s="20" t="str">
        <f t="shared" si="79"/>
        <v>@15Fuerteventura</v>
      </c>
      <c r="C707" s="21" t="s">
        <v>1148</v>
      </c>
      <c r="D707" s="21" t="s">
        <v>1504</v>
      </c>
      <c r="E707" s="22" t="str">
        <f>HYPERLINK("https://twitter.com/15Fuerteventura/status/804262425176444928","804262425176444928")</f>
        <v>804262425176444928</v>
      </c>
      <c r="F707" s="23" t="s">
        <v>26</v>
      </c>
      <c r="G707" s="24">
        <v>473.0</v>
      </c>
      <c r="H707" s="24">
        <v>272.0</v>
      </c>
      <c r="I707" s="24">
        <v>16.0</v>
      </c>
      <c r="J707" s="24">
        <v>0.0</v>
      </c>
      <c r="K707" s="23" t="s">
        <v>27</v>
      </c>
      <c r="L707" s="25">
        <v>40742.81895833333</v>
      </c>
      <c r="M707" s="26" t="s">
        <v>1149</v>
      </c>
      <c r="N707" s="26" t="s">
        <v>1150</v>
      </c>
      <c r="O707" s="22" t="str">
        <f t="shared" si="80"/>
        <v>View</v>
      </c>
      <c r="P707" s="27"/>
    </row>
    <row r="708">
      <c r="A708" s="19">
        <v>42705.41403935185</v>
      </c>
      <c r="B708" s="20" t="str">
        <f>HYPERLINK("https://twitter.com/HotelBotanico","@HotelBotanico")</f>
        <v>@HotelBotanico</v>
      </c>
      <c r="C708" s="21" t="s">
        <v>1538</v>
      </c>
      <c r="D708" s="21" t="s">
        <v>1539</v>
      </c>
      <c r="E708" s="22" t="str">
        <f>HYPERLINK("https://twitter.com/HotelBotanico/status/804262822226042880","804262822226042880")</f>
        <v>804262822226042880</v>
      </c>
      <c r="F708" s="23" t="s">
        <v>37</v>
      </c>
      <c r="G708" s="24">
        <v>7190.0</v>
      </c>
      <c r="H708" s="24">
        <v>431.0</v>
      </c>
      <c r="I708" s="24">
        <v>0.0</v>
      </c>
      <c r="J708" s="24">
        <v>3.0</v>
      </c>
      <c r="K708" s="23" t="s">
        <v>27</v>
      </c>
      <c r="L708" s="25">
        <v>39883.65568287037</v>
      </c>
      <c r="M708" s="26" t="s">
        <v>1540</v>
      </c>
      <c r="N708" s="26" t="s">
        <v>1541</v>
      </c>
      <c r="O708" s="22" t="str">
        <f>HYPERLINK("https://pbs.twimg.com/profile_images/713310344513503232/PrRVLGE2_normal.jpg","View")</f>
        <v>View</v>
      </c>
      <c r="P708" s="27"/>
    </row>
    <row r="709">
      <c r="A709" s="19">
        <v>42705.41505787037</v>
      </c>
      <c r="B709" s="20" t="str">
        <f>HYPERLINK("https://twitter.com/MMarioPhoto","@MMarioPhoto")</f>
        <v>@MMarioPhoto</v>
      </c>
      <c r="C709" s="21" t="s">
        <v>893</v>
      </c>
      <c r="D709" s="21" t="s">
        <v>1480</v>
      </c>
      <c r="E709" s="22" t="str">
        <f>HYPERLINK("https://twitter.com/MMarioPhoto/status/804263190595039233","804263190595039233")</f>
        <v>804263190595039233</v>
      </c>
      <c r="F709" s="23" t="s">
        <v>41</v>
      </c>
      <c r="G709" s="24">
        <v>2646.0</v>
      </c>
      <c r="H709" s="24">
        <v>2312.0</v>
      </c>
      <c r="I709" s="24">
        <v>6.0</v>
      </c>
      <c r="J709" s="24">
        <v>0.0</v>
      </c>
      <c r="K709" s="23" t="s">
        <v>27</v>
      </c>
      <c r="L709" s="25">
        <v>40856.689675925925</v>
      </c>
      <c r="M709" s="26" t="s">
        <v>894</v>
      </c>
      <c r="N709" s="26" t="s">
        <v>895</v>
      </c>
      <c r="O709" s="22" t="str">
        <f>HYPERLINK("https://pbs.twimg.com/profile_images/795915398847856640/F-vNtsm7_normal.jpg","View")</f>
        <v>View</v>
      </c>
      <c r="P709" s="27"/>
    </row>
    <row r="710">
      <c r="A710" s="19">
        <v>42705.41563657408</v>
      </c>
      <c r="B710" s="20" t="str">
        <f>HYPERLINK("https://twitter.com/flormar4141","@flormar4141")</f>
        <v>@flormar4141</v>
      </c>
      <c r="C710" s="21" t="s">
        <v>1368</v>
      </c>
      <c r="D710" s="21" t="s">
        <v>1480</v>
      </c>
      <c r="E710" s="22" t="str">
        <f>HYPERLINK("https://twitter.com/flormar4141/status/804263397114204160","804263397114204160")</f>
        <v>804263397114204160</v>
      </c>
      <c r="F710" s="23" t="s">
        <v>90</v>
      </c>
      <c r="G710" s="24">
        <v>214.0</v>
      </c>
      <c r="H710" s="24">
        <v>294.0</v>
      </c>
      <c r="I710" s="24">
        <v>6.0</v>
      </c>
      <c r="J710" s="24">
        <v>0.0</v>
      </c>
      <c r="K710" s="23" t="s">
        <v>27</v>
      </c>
      <c r="L710" s="25">
        <v>41488.63042824074</v>
      </c>
      <c r="M710" s="26" t="s">
        <v>282</v>
      </c>
      <c r="N710" s="26" t="s">
        <v>1370</v>
      </c>
      <c r="O710" s="22" t="str">
        <f>HYPERLINK("https://pbs.twimg.com/profile_images/698938993665253376/C6mN6wKo_normal.jpg","View")</f>
        <v>View</v>
      </c>
      <c r="P710" s="27"/>
    </row>
    <row r="711">
      <c r="A711" s="19">
        <v>42705.41721064815</v>
      </c>
      <c r="B711" s="20" t="str">
        <f>HYPERLINK("https://twitter.com/swisshop4uEs","@swisshop4uEs")</f>
        <v>@swisshop4uEs</v>
      </c>
      <c r="C711" s="21" t="s">
        <v>48</v>
      </c>
      <c r="D711" s="21" t="s">
        <v>1542</v>
      </c>
      <c r="E711" s="22" t="str">
        <f>HYPERLINK("https://twitter.com/swisshop4uEs/status/804263970316095488","804263970316095488")</f>
        <v>804263970316095488</v>
      </c>
      <c r="F711" s="23" t="s">
        <v>50</v>
      </c>
      <c r="G711" s="24">
        <v>455.0</v>
      </c>
      <c r="H711" s="24">
        <v>424.0</v>
      </c>
      <c r="I711" s="24">
        <v>1.0</v>
      </c>
      <c r="J711" s="24">
        <v>1.0</v>
      </c>
      <c r="K711" s="23" t="s">
        <v>27</v>
      </c>
      <c r="L711" s="25">
        <v>41468.93072916666</v>
      </c>
      <c r="M711" s="26" t="s">
        <v>51</v>
      </c>
      <c r="N711" s="26" t="s">
        <v>52</v>
      </c>
      <c r="O711" s="22" t="str">
        <f>HYPERLINK("https://pbs.twimg.com/profile_images/378800000213382003/4f562b59f92995b884d2d440f71fc5ce_normal.png","View")</f>
        <v>View</v>
      </c>
      <c r="P711" s="27"/>
    </row>
    <row r="712">
      <c r="A712" s="19">
        <v>42705.418761574074</v>
      </c>
      <c r="B712" s="20" t="str">
        <f>HYPERLINK("https://twitter.com/juoople","@juoople")</f>
        <v>@juoople</v>
      </c>
      <c r="C712" s="21" t="s">
        <v>1543</v>
      </c>
      <c r="D712" s="21" t="s">
        <v>1515</v>
      </c>
      <c r="E712" s="22" t="str">
        <f>HYPERLINK("https://twitter.com/juoople/status/804264530440294400","804264530440294400")</f>
        <v>804264530440294400</v>
      </c>
      <c r="F712" s="23" t="s">
        <v>37</v>
      </c>
      <c r="G712" s="24">
        <v>37.0</v>
      </c>
      <c r="H712" s="24">
        <v>113.0</v>
      </c>
      <c r="I712" s="24">
        <v>3.0</v>
      </c>
      <c r="J712" s="24">
        <v>0.0</v>
      </c>
      <c r="K712" s="23" t="s">
        <v>27</v>
      </c>
      <c r="L712" s="25">
        <v>40184.95607638889</v>
      </c>
      <c r="M712" s="26" t="s">
        <v>1544</v>
      </c>
      <c r="N712" s="26" t="s">
        <v>1545</v>
      </c>
      <c r="O712" s="22" t="str">
        <f>HYPERLINK("https://pbs.twimg.com/profile_images/517428129367724032/xGyXcDLg_normal.jpeg","View")</f>
        <v>View</v>
      </c>
      <c r="P712" s="27"/>
    </row>
    <row r="713">
      <c r="A713" s="19">
        <v>42705.41894675926</v>
      </c>
      <c r="B713" s="20" t="str">
        <f>HYPERLINK("https://twitter.com/FilmCheatGuide","@FilmCheatGuide")</f>
        <v>@FilmCheatGuide</v>
      </c>
      <c r="C713" s="21" t="s">
        <v>1170</v>
      </c>
      <c r="D713" s="21" t="s">
        <v>1546</v>
      </c>
      <c r="E713" s="22" t="str">
        <f>HYPERLINK("https://twitter.com/FilmCheatGuide/status/804264599369486338","804264599369486338")</f>
        <v>804264599369486338</v>
      </c>
      <c r="F713" s="23" t="s">
        <v>77</v>
      </c>
      <c r="G713" s="24">
        <v>2511.0</v>
      </c>
      <c r="H713" s="24">
        <v>4490.0</v>
      </c>
      <c r="I713" s="24">
        <v>0.0</v>
      </c>
      <c r="J713" s="24">
        <v>0.0</v>
      </c>
      <c r="K713" s="23" t="s">
        <v>27</v>
      </c>
      <c r="L713" s="25">
        <v>42235.48841435185</v>
      </c>
      <c r="M713" s="26" t="s">
        <v>1172</v>
      </c>
      <c r="N713" s="26" t="s">
        <v>1173</v>
      </c>
      <c r="O713" s="22" t="str">
        <f>HYPERLINK("https://pbs.twimg.com/profile_images/633973215384223745/lkA98fRS_normal.jpg","View")</f>
        <v>View</v>
      </c>
      <c r="P713" s="27"/>
    </row>
    <row r="714">
      <c r="A714" s="19">
        <v>42705.418958333335</v>
      </c>
      <c r="B714" s="20" t="str">
        <f>HYPERLINK("https://twitter.com/juoople","@juoople")</f>
        <v>@juoople</v>
      </c>
      <c r="C714" s="21" t="s">
        <v>1543</v>
      </c>
      <c r="D714" s="21" t="s">
        <v>1547</v>
      </c>
      <c r="E714" s="22" t="str">
        <f>HYPERLINK("https://twitter.com/juoople/status/804264602267774976","804264602267774976")</f>
        <v>804264602267774976</v>
      </c>
      <c r="F714" s="23" t="s">
        <v>37</v>
      </c>
      <c r="G714" s="24">
        <v>37.0</v>
      </c>
      <c r="H714" s="24">
        <v>113.0</v>
      </c>
      <c r="I714" s="24">
        <v>1.0</v>
      </c>
      <c r="J714" s="24">
        <v>0.0</v>
      </c>
      <c r="K714" s="23" t="s">
        <v>27</v>
      </c>
      <c r="L714" s="25">
        <v>40184.95607638889</v>
      </c>
      <c r="M714" s="26" t="s">
        <v>1544</v>
      </c>
      <c r="N714" s="26" t="s">
        <v>1545</v>
      </c>
      <c r="O714" s="22" t="str">
        <f>HYPERLINK("https://pbs.twimg.com/profile_images/517428129367724032/xGyXcDLg_normal.jpeg","View")</f>
        <v>View</v>
      </c>
      <c r="P714" s="27"/>
    </row>
    <row r="715">
      <c r="A715" s="19">
        <v>42705.42153935185</v>
      </c>
      <c r="B715" s="20" t="str">
        <f>HYPERLINK("https://twitter.com/DaniQSTrail","@DaniQSTrail")</f>
        <v>@DaniQSTrail</v>
      </c>
      <c r="C715" s="21" t="s">
        <v>1236</v>
      </c>
      <c r="D715" s="21" t="s">
        <v>1533</v>
      </c>
      <c r="E715" s="22" t="str">
        <f>HYPERLINK("https://twitter.com/DaniQSTrail/status/804265540151808000","804265540151808000")</f>
        <v>804265540151808000</v>
      </c>
      <c r="F715" s="23" t="s">
        <v>41</v>
      </c>
      <c r="G715" s="24">
        <v>310.0</v>
      </c>
      <c r="H715" s="24">
        <v>245.0</v>
      </c>
      <c r="I715" s="24">
        <v>10.0</v>
      </c>
      <c r="J715" s="24">
        <v>0.0</v>
      </c>
      <c r="K715" s="23" t="s">
        <v>27</v>
      </c>
      <c r="L715" s="25">
        <v>40703.57363425926</v>
      </c>
      <c r="M715" s="26" t="s">
        <v>109</v>
      </c>
      <c r="N715" s="26" t="s">
        <v>1327</v>
      </c>
      <c r="O715" s="22" t="str">
        <f>HYPERLINK("https://pbs.twimg.com/profile_images/3406518046/925ba13d0c1c96b119d41ca18a84f192_normal.jpeg","View")</f>
        <v>View</v>
      </c>
      <c r="P715" s="27"/>
    </row>
    <row r="716">
      <c r="A716" s="19">
        <v>42705.421678240746</v>
      </c>
      <c r="B716" s="20" t="str">
        <f>HYPERLINK("https://twitter.com/rickfoliva","@rickfoliva")</f>
        <v>@rickfoliva</v>
      </c>
      <c r="C716" s="21" t="s">
        <v>175</v>
      </c>
      <c r="D716" s="21" t="s">
        <v>1548</v>
      </c>
      <c r="E716" s="22" t="str">
        <f>HYPERLINK("https://twitter.com/rickfoliva/status/804265590630338560","804265590630338560")</f>
        <v>804265590630338560</v>
      </c>
      <c r="F716" s="23" t="s">
        <v>69</v>
      </c>
      <c r="G716" s="24">
        <v>428.0</v>
      </c>
      <c r="H716" s="24">
        <v>18.0</v>
      </c>
      <c r="I716" s="24">
        <v>0.0</v>
      </c>
      <c r="J716" s="24">
        <v>1.0</v>
      </c>
      <c r="K716" s="23" t="s">
        <v>27</v>
      </c>
      <c r="L716" s="25">
        <v>42504.58459490741</v>
      </c>
      <c r="M716" s="26" t="s">
        <v>177</v>
      </c>
      <c r="N716" s="26" t="s">
        <v>178</v>
      </c>
      <c r="O716" s="22" t="str">
        <f>HYPERLINK("https://pbs.twimg.com/profile_images/731471241282871297/LE7uB3IZ_normal.jpg","View")</f>
        <v>View</v>
      </c>
      <c r="P716" s="27"/>
    </row>
    <row r="717">
      <c r="A717" s="19">
        <v>42705.45207175926</v>
      </c>
      <c r="B717" s="20" t="str">
        <f>HYPERLINK("https://twitter.com/AlexBramwellGC","@AlexBramwellGC")</f>
        <v>@AlexBramwellGC</v>
      </c>
      <c r="C717" s="21" t="s">
        <v>475</v>
      </c>
      <c r="D717" s="21" t="s">
        <v>1549</v>
      </c>
      <c r="E717" s="22" t="str">
        <f>HYPERLINK("https://twitter.com/AlexBramwellGC/status/804276602431504385","804276602431504385")</f>
        <v>804276602431504385</v>
      </c>
      <c r="F717" s="23" t="s">
        <v>167</v>
      </c>
      <c r="G717" s="24">
        <v>4023.0</v>
      </c>
      <c r="H717" s="24">
        <v>2573.0</v>
      </c>
      <c r="I717" s="24">
        <v>1.0</v>
      </c>
      <c r="J717" s="24">
        <v>1.0</v>
      </c>
      <c r="K717" s="23" t="s">
        <v>27</v>
      </c>
      <c r="L717" s="25">
        <v>40233.01298611111</v>
      </c>
      <c r="M717" s="26" t="s">
        <v>477</v>
      </c>
      <c r="N717" s="26" t="s">
        <v>478</v>
      </c>
      <c r="O717" s="22" t="str">
        <f>HYPERLINK("https://pbs.twimg.com/profile_images/657142929920794624/Z8UQpOEp_normal.jpg","View")</f>
        <v>View</v>
      </c>
      <c r="P717" s="27"/>
    </row>
    <row r="718">
      <c r="A718" s="19">
        <v>42705.45607638889</v>
      </c>
      <c r="B718" s="20" t="str">
        <f>HYPERLINK("https://twitter.com/ShesANatural_","@ShesANatural_")</f>
        <v>@ShesANatural_</v>
      </c>
      <c r="C718" s="21" t="s">
        <v>1550</v>
      </c>
      <c r="D718" s="21" t="s">
        <v>1551</v>
      </c>
      <c r="E718" s="22" t="str">
        <f>HYPERLINK("https://twitter.com/ShesANatural_/status/804278055673872384","804278055673872384")</f>
        <v>804278055673872384</v>
      </c>
      <c r="F718" s="23" t="s">
        <v>81</v>
      </c>
      <c r="G718" s="24">
        <v>23.0</v>
      </c>
      <c r="H718" s="24">
        <v>25.0</v>
      </c>
      <c r="I718" s="24">
        <v>0.0</v>
      </c>
      <c r="J718" s="24">
        <v>0.0</v>
      </c>
      <c r="K718" s="23" t="s">
        <v>27</v>
      </c>
      <c r="L718" s="25">
        <v>41680.90767361111</v>
      </c>
      <c r="M718" s="26" t="s">
        <v>353</v>
      </c>
      <c r="N718" s="26" t="s">
        <v>1552</v>
      </c>
      <c r="O718" s="22" t="str">
        <f>HYPERLINK("https://pbs.twimg.com/profile_images/764510034894188546/aWSmGNtQ_normal.jpg","View")</f>
        <v>View</v>
      </c>
      <c r="P718" s="27"/>
    </row>
    <row r="719">
      <c r="A719" s="19">
        <v>42705.45959490741</v>
      </c>
      <c r="B719" s="20" t="str">
        <f>HYPERLINK("https://twitter.com/TheCanaryNews","@TheCanaryNews")</f>
        <v>@TheCanaryNews</v>
      </c>
      <c r="C719" s="21" t="s">
        <v>1314</v>
      </c>
      <c r="D719" s="21" t="s">
        <v>1553</v>
      </c>
      <c r="E719" s="22" t="str">
        <f>HYPERLINK("https://twitter.com/TheCanaryNews/status/804279329165377536","804279329165377536")</f>
        <v>804279329165377536</v>
      </c>
      <c r="F719" s="23" t="s">
        <v>689</v>
      </c>
      <c r="G719" s="24">
        <v>1523.0</v>
      </c>
      <c r="H719" s="24">
        <v>1439.0</v>
      </c>
      <c r="I719" s="24">
        <v>0.0</v>
      </c>
      <c r="J719" s="24">
        <v>1.0</v>
      </c>
      <c r="K719" s="23" t="s">
        <v>27</v>
      </c>
      <c r="L719" s="25">
        <v>40520.84924768518</v>
      </c>
      <c r="M719" s="26" t="s">
        <v>109</v>
      </c>
      <c r="N719" s="26" t="s">
        <v>1316</v>
      </c>
      <c r="O719" s="22" t="str">
        <f>HYPERLINK("https://pbs.twimg.com/profile_images/422427750876463104/qmjyKloM_normal.png","View")</f>
        <v>View</v>
      </c>
      <c r="P719" s="27"/>
    </row>
    <row r="720">
      <c r="A720" s="19">
        <v>42705.483935185184</v>
      </c>
      <c r="B720" s="20" t="str">
        <f>HYPERLINK("https://twitter.com/lapalma24","@lapalma24")</f>
        <v>@lapalma24</v>
      </c>
      <c r="C720" s="21" t="s">
        <v>926</v>
      </c>
      <c r="D720" s="21" t="s">
        <v>1554</v>
      </c>
      <c r="E720" s="22" t="str">
        <f>HYPERLINK("https://twitter.com/lapalma24/status/804288148503150592","804288148503150592")</f>
        <v>804288148503150592</v>
      </c>
      <c r="F720" s="23" t="s">
        <v>37</v>
      </c>
      <c r="G720" s="24">
        <v>2029.0</v>
      </c>
      <c r="H720" s="24">
        <v>3704.0</v>
      </c>
      <c r="I720" s="24">
        <v>0.0</v>
      </c>
      <c r="J720" s="24">
        <v>2.0</v>
      </c>
      <c r="K720" s="23" t="s">
        <v>27</v>
      </c>
      <c r="L720" s="25">
        <v>40025.93230324074</v>
      </c>
      <c r="M720" s="26" t="s">
        <v>928</v>
      </c>
      <c r="N720" s="26" t="s">
        <v>929</v>
      </c>
      <c r="O720" s="22" t="str">
        <f>HYPERLINK("https://pbs.twimg.com/profile_images/3722341784/fa39d69a57bac26ec686d40f2bbf96ad_normal.jpeg","View")</f>
        <v>View</v>
      </c>
      <c r="P720" s="27"/>
    </row>
    <row r="721">
      <c r="A721" s="19">
        <v>42705.48599537037</v>
      </c>
      <c r="B721" s="20" t="str">
        <f>HYPERLINK("https://twitter.com/michellejsutton","@michellejsutton")</f>
        <v>@michellejsutton</v>
      </c>
      <c r="C721" s="21" t="s">
        <v>1555</v>
      </c>
      <c r="D721" s="21" t="s">
        <v>1556</v>
      </c>
      <c r="E721" s="22" t="str">
        <f>HYPERLINK("https://twitter.com/michellejsutton/status/804288897907703808","804288897907703808")</f>
        <v>804288897907703808</v>
      </c>
      <c r="F721" s="23" t="s">
        <v>41</v>
      </c>
      <c r="G721" s="24">
        <v>327.0</v>
      </c>
      <c r="H721" s="24">
        <v>784.0</v>
      </c>
      <c r="I721" s="24">
        <v>2.0</v>
      </c>
      <c r="J721" s="24">
        <v>0.0</v>
      </c>
      <c r="K721" s="23" t="s">
        <v>27</v>
      </c>
      <c r="L721" s="25">
        <v>40657.19396990741</v>
      </c>
      <c r="M721" s="26" t="s">
        <v>1557</v>
      </c>
      <c r="N721" s="26" t="s">
        <v>1558</v>
      </c>
      <c r="O721" s="22" t="str">
        <f>HYPERLINK("https://pbs.twimg.com/profile_images/775549031116181508/y7W-mRR7_normal.jpg","View")</f>
        <v>View</v>
      </c>
      <c r="P721" s="27"/>
    </row>
    <row r="722">
      <c r="A722" s="19">
        <v>42705.49549768519</v>
      </c>
      <c r="B722" s="20" t="str">
        <f>HYPERLINK("https://twitter.com/HotelEscuelaSB","@HotelEscuelaSB")</f>
        <v>@HotelEscuelaSB</v>
      </c>
      <c r="C722" s="21" t="s">
        <v>522</v>
      </c>
      <c r="D722" s="21" t="s">
        <v>25</v>
      </c>
      <c r="E722" s="22" t="str">
        <f>HYPERLINK("https://twitter.com/HotelEscuelaSB/status/804292337769779200","804292337769779200")</f>
        <v>804292337769779200</v>
      </c>
      <c r="F722" s="23" t="s">
        <v>37</v>
      </c>
      <c r="G722" s="24">
        <v>127.0</v>
      </c>
      <c r="H722" s="24">
        <v>392.0</v>
      </c>
      <c r="I722" s="24">
        <v>71.0</v>
      </c>
      <c r="J722" s="24">
        <v>0.0</v>
      </c>
      <c r="K722" s="23" t="s">
        <v>27</v>
      </c>
      <c r="L722" s="25">
        <v>42648.49597222223</v>
      </c>
      <c r="M722" s="28"/>
      <c r="N722" s="26" t="s">
        <v>523</v>
      </c>
      <c r="O722" s="22" t="str">
        <f>HYPERLINK("https://pbs.twimg.com/profile_images/792036201695940608/ZYEcPM7L_normal.jpg","View")</f>
        <v>View</v>
      </c>
      <c r="P722" s="27"/>
    </row>
    <row r="723">
      <c r="A723" s="19">
        <v>42705.50387731481</v>
      </c>
      <c r="B723" s="20" t="str">
        <f>HYPERLINK("https://twitter.com/LorraineBlack90","@LorraineBlack90")</f>
        <v>@LorraineBlack90</v>
      </c>
      <c r="C723" s="21" t="s">
        <v>1559</v>
      </c>
      <c r="D723" s="21" t="s">
        <v>1515</v>
      </c>
      <c r="E723" s="22" t="str">
        <f>HYPERLINK("https://twitter.com/LorraineBlack90/status/804295375104409601","804295375104409601")</f>
        <v>804295375104409601</v>
      </c>
      <c r="F723" s="23" t="s">
        <v>41</v>
      </c>
      <c r="G723" s="24">
        <v>96.0</v>
      </c>
      <c r="H723" s="24">
        <v>54.0</v>
      </c>
      <c r="I723" s="24">
        <v>3.0</v>
      </c>
      <c r="J723" s="24">
        <v>0.0</v>
      </c>
      <c r="K723" s="23" t="s">
        <v>27</v>
      </c>
      <c r="L723" s="25">
        <v>40774.92449074074</v>
      </c>
      <c r="M723" s="26" t="s">
        <v>1560</v>
      </c>
      <c r="N723" s="26" t="s">
        <v>1561</v>
      </c>
      <c r="O723" s="22" t="str">
        <f>HYPERLINK("https://pbs.twimg.com/profile_images/798065878579478528/j16RUmCa_normal.jpg","View")</f>
        <v>View</v>
      </c>
      <c r="P723" s="27"/>
    </row>
    <row r="724">
      <c r="A724" s="19">
        <v>42705.50570601852</v>
      </c>
      <c r="B724" s="20" t="str">
        <f>HYPERLINK("https://twitter.com/UCAmIIWAAL","@UCAmIIWAAL")</f>
        <v>@UCAmIIWAAL</v>
      </c>
      <c r="C724" s="21" t="s">
        <v>1196</v>
      </c>
      <c r="D724" s="21" t="s">
        <v>1562</v>
      </c>
      <c r="E724" s="22" t="str">
        <f>HYPERLINK("https://twitter.com/UCAmIIWAAL/status/804296039100465152","804296039100465152")</f>
        <v>804296039100465152</v>
      </c>
      <c r="F724" s="23" t="s">
        <v>41</v>
      </c>
      <c r="G724" s="24">
        <v>72.0</v>
      </c>
      <c r="H724" s="24">
        <v>13.0</v>
      </c>
      <c r="I724" s="24">
        <v>1.0</v>
      </c>
      <c r="J724" s="24">
        <v>2.0</v>
      </c>
      <c r="K724" s="23" t="s">
        <v>27</v>
      </c>
      <c r="L724" s="25">
        <v>40895.47292824074</v>
      </c>
      <c r="M724" s="28"/>
      <c r="N724" s="26" t="s">
        <v>1198</v>
      </c>
      <c r="O724" s="22" t="str">
        <f>HYPERLINK("https://pbs.twimg.com/profile_images/713310925701427200/i_WxL0Us_normal.jpg","View")</f>
        <v>View</v>
      </c>
      <c r="P724" s="27"/>
    </row>
    <row r="725">
      <c r="A725" s="19">
        <v>42705.51671296296</v>
      </c>
      <c r="B725" s="20" t="str">
        <f t="shared" ref="B725:B726" si="81">HYPERLINK("https://twitter.com/swisshop4uEs","@swisshop4uEs")</f>
        <v>@swisshop4uEs</v>
      </c>
      <c r="C725" s="21" t="s">
        <v>48</v>
      </c>
      <c r="D725" s="21" t="s">
        <v>1563</v>
      </c>
      <c r="E725" s="22" t="str">
        <f>HYPERLINK("https://twitter.com/swisshop4uEs/status/804300026889572352","804300026889572352")</f>
        <v>804300026889572352</v>
      </c>
      <c r="F725" s="23" t="s">
        <v>37</v>
      </c>
      <c r="G725" s="24">
        <v>455.0</v>
      </c>
      <c r="H725" s="24">
        <v>424.0</v>
      </c>
      <c r="I725" s="24">
        <v>1.0</v>
      </c>
      <c r="J725" s="24">
        <v>0.0</v>
      </c>
      <c r="K725" s="23" t="s">
        <v>27</v>
      </c>
      <c r="L725" s="25">
        <v>41468.93072916666</v>
      </c>
      <c r="M725" s="26" t="s">
        <v>51</v>
      </c>
      <c r="N725" s="26" t="s">
        <v>52</v>
      </c>
      <c r="O725" s="22" t="str">
        <f t="shared" ref="O725:O726" si="82">HYPERLINK("https://pbs.twimg.com/profile_images/378800000213382003/4f562b59f92995b884d2d440f71fc5ce_normal.png","View")</f>
        <v>View</v>
      </c>
      <c r="P725" s="27"/>
    </row>
    <row r="726">
      <c r="A726" s="19">
        <v>42705.51675925926</v>
      </c>
      <c r="B726" s="20" t="str">
        <f t="shared" si="81"/>
        <v>@swisshop4uEs</v>
      </c>
      <c r="C726" s="21" t="s">
        <v>48</v>
      </c>
      <c r="D726" s="21" t="s">
        <v>1564</v>
      </c>
      <c r="E726" s="22" t="str">
        <f>HYPERLINK("https://twitter.com/swisshop4uEs/status/804300045478723588","804300045478723588")</f>
        <v>804300045478723588</v>
      </c>
      <c r="F726" s="23" t="s">
        <v>37</v>
      </c>
      <c r="G726" s="24">
        <v>455.0</v>
      </c>
      <c r="H726" s="24">
        <v>424.0</v>
      </c>
      <c r="I726" s="24">
        <v>1.0</v>
      </c>
      <c r="J726" s="24">
        <v>0.0</v>
      </c>
      <c r="K726" s="23" t="s">
        <v>27</v>
      </c>
      <c r="L726" s="25">
        <v>41468.93072916666</v>
      </c>
      <c r="M726" s="26" t="s">
        <v>51</v>
      </c>
      <c r="N726" s="26" t="s">
        <v>52</v>
      </c>
      <c r="O726" s="22" t="str">
        <f t="shared" si="82"/>
        <v>View</v>
      </c>
      <c r="P726" s="27"/>
    </row>
    <row r="727">
      <c r="A727" s="19">
        <v>42705.51708333333</v>
      </c>
      <c r="B727" s="20" t="str">
        <f>HYPERLINK("https://twitter.com/dickymorgantfe","@dickymorgantfe")</f>
        <v>@dickymorgantfe</v>
      </c>
      <c r="C727" s="21" t="s">
        <v>1565</v>
      </c>
      <c r="D727" s="21" t="s">
        <v>1566</v>
      </c>
      <c r="E727" s="22" t="str">
        <f>HYPERLINK("https://twitter.com/dickymorgantfe/status/804300161140854784","804300161140854784")</f>
        <v>804300161140854784</v>
      </c>
      <c r="F727" s="23" t="s">
        <v>81</v>
      </c>
      <c r="G727" s="24">
        <v>405.0</v>
      </c>
      <c r="H727" s="24">
        <v>440.0</v>
      </c>
      <c r="I727" s="24">
        <v>0.0</v>
      </c>
      <c r="J727" s="24">
        <v>1.0</v>
      </c>
      <c r="K727" s="23" t="s">
        <v>27</v>
      </c>
      <c r="L727" s="25">
        <v>41008.77508101852</v>
      </c>
      <c r="M727" s="28"/>
      <c r="N727" s="26" t="s">
        <v>1567</v>
      </c>
      <c r="O727" s="22" t="str">
        <f>HYPERLINK("https://pbs.twimg.com/profile_images/2076999672/logo1_normal.jpg","View")</f>
        <v>View</v>
      </c>
      <c r="P727" s="27"/>
    </row>
    <row r="728">
      <c r="A728" s="19">
        <v>42705.53092592592</v>
      </c>
      <c r="B728" s="20" t="str">
        <f>HYPERLINK("https://twitter.com/swisshop4uEs","@swisshop4uEs")</f>
        <v>@swisshop4uEs</v>
      </c>
      <c r="C728" s="21" t="s">
        <v>48</v>
      </c>
      <c r="D728" s="21" t="s">
        <v>1568</v>
      </c>
      <c r="E728" s="22" t="str">
        <f>HYPERLINK("https://twitter.com/swisshop4uEs/status/804305176643465216","804305176643465216")</f>
        <v>804305176643465216</v>
      </c>
      <c r="F728" s="23" t="s">
        <v>37</v>
      </c>
      <c r="G728" s="24">
        <v>455.0</v>
      </c>
      <c r="H728" s="24">
        <v>424.0</v>
      </c>
      <c r="I728" s="24">
        <v>3.0</v>
      </c>
      <c r="J728" s="24">
        <v>0.0</v>
      </c>
      <c r="K728" s="23" t="s">
        <v>27</v>
      </c>
      <c r="L728" s="25">
        <v>41468.93072916666</v>
      </c>
      <c r="M728" s="26" t="s">
        <v>51</v>
      </c>
      <c r="N728" s="26" t="s">
        <v>52</v>
      </c>
      <c r="O728" s="22" t="str">
        <f>HYPERLINK("https://pbs.twimg.com/profile_images/378800000213382003/4f562b59f92995b884d2d440f71fc5ce_normal.png","View")</f>
        <v>View</v>
      </c>
      <c r="P728" s="27"/>
    </row>
    <row r="729">
      <c r="A729" s="19">
        <v>42705.53466435186</v>
      </c>
      <c r="B729" s="20" t="str">
        <f>HYPERLINK("https://twitter.com/MandyLeeT90","@MandyLeeT90")</f>
        <v>@MandyLeeT90</v>
      </c>
      <c r="C729" s="21" t="s">
        <v>1569</v>
      </c>
      <c r="D729" s="21" t="s">
        <v>924</v>
      </c>
      <c r="E729" s="22" t="str">
        <f>HYPERLINK("https://twitter.com/MandyLeeT90/status/804306531558846469","804306531558846469")</f>
        <v>804306531558846469</v>
      </c>
      <c r="F729" s="23" t="s">
        <v>26</v>
      </c>
      <c r="G729" s="24">
        <v>133.0</v>
      </c>
      <c r="H729" s="24">
        <v>217.0</v>
      </c>
      <c r="I729" s="24">
        <v>3.0</v>
      </c>
      <c r="J729" s="24">
        <v>0.0</v>
      </c>
      <c r="K729" s="23" t="s">
        <v>27</v>
      </c>
      <c r="L729" s="25">
        <v>40826.00655092593</v>
      </c>
      <c r="M729" s="26" t="s">
        <v>1570</v>
      </c>
      <c r="N729" s="26" t="s">
        <v>1571</v>
      </c>
      <c r="O729" s="22" t="str">
        <f>HYPERLINK("https://pbs.twimg.com/profile_images/788087311665856512/PIpybzkm_normal.jpg","View")</f>
        <v>View</v>
      </c>
      <c r="P729" s="27"/>
    </row>
    <row r="730">
      <c r="A730" s="19">
        <v>42705.548368055555</v>
      </c>
      <c r="B730" s="20" t="str">
        <f>HYPERLINK("https://twitter.com/snookie66","@snookie66")</f>
        <v>@snookie66</v>
      </c>
      <c r="C730" s="21" t="s">
        <v>1572</v>
      </c>
      <c r="D730" s="21" t="s">
        <v>1556</v>
      </c>
      <c r="E730" s="22" t="str">
        <f>HYPERLINK("https://twitter.com/snookie66/status/804311497975402496","804311497975402496")</f>
        <v>804311497975402496</v>
      </c>
      <c r="F730" s="23" t="s">
        <v>41</v>
      </c>
      <c r="G730" s="24">
        <v>33.0</v>
      </c>
      <c r="H730" s="24">
        <v>62.0</v>
      </c>
      <c r="I730" s="24">
        <v>2.0</v>
      </c>
      <c r="J730" s="24">
        <v>0.0</v>
      </c>
      <c r="K730" s="23" t="s">
        <v>27</v>
      </c>
      <c r="L730" s="25">
        <v>40753.74880787037</v>
      </c>
      <c r="M730" s="28"/>
      <c r="N730" s="28"/>
      <c r="O730" s="22" t="str">
        <f>HYPERLINK("https://abs.twimg.com/sticky/default_profile_images/default_profile_5_normal.png","View")</f>
        <v>View</v>
      </c>
      <c r="P730" s="27"/>
    </row>
    <row r="731">
      <c r="A731" s="19">
        <v>42705.55081018519</v>
      </c>
      <c r="B731" s="20" t="str">
        <f t="shared" ref="B731:B733" si="83">HYPERLINK("https://twitter.com/HtvGranCanaria","@HtvGranCanaria")</f>
        <v>@HtvGranCanaria</v>
      </c>
      <c r="C731" s="21" t="s">
        <v>1573</v>
      </c>
      <c r="D731" s="21" t="s">
        <v>1574</v>
      </c>
      <c r="E731" s="22" t="str">
        <f>HYPERLINK("https://twitter.com/HtvGranCanaria/status/804312384915521536","804312384915521536")</f>
        <v>804312384915521536</v>
      </c>
      <c r="F731" s="23" t="s">
        <v>37</v>
      </c>
      <c r="G731" s="24">
        <v>23.0</v>
      </c>
      <c r="H731" s="24">
        <v>49.0</v>
      </c>
      <c r="I731" s="24">
        <v>1.0</v>
      </c>
      <c r="J731" s="24">
        <v>0.0</v>
      </c>
      <c r="K731" s="23" t="s">
        <v>27</v>
      </c>
      <c r="L731" s="25">
        <v>42479.528437500005</v>
      </c>
      <c r="M731" s="28"/>
      <c r="N731" s="26" t="s">
        <v>1575</v>
      </c>
      <c r="O731" s="22" t="str">
        <f t="shared" ref="O731:O733" si="84">HYPERLINK("https://pbs.twimg.com/profile_images/725311202096599040/oWBVCljf_normal.jpg","View")</f>
        <v>View</v>
      </c>
      <c r="P731" s="27"/>
    </row>
    <row r="732">
      <c r="A732" s="19">
        <v>42705.55107638889</v>
      </c>
      <c r="B732" s="20" t="str">
        <f t="shared" si="83"/>
        <v>@HtvGranCanaria</v>
      </c>
      <c r="C732" s="21" t="s">
        <v>1573</v>
      </c>
      <c r="D732" s="21" t="s">
        <v>1533</v>
      </c>
      <c r="E732" s="22" t="str">
        <f>HYPERLINK("https://twitter.com/HtvGranCanaria/status/804312479132241920","804312479132241920")</f>
        <v>804312479132241920</v>
      </c>
      <c r="F732" s="23" t="s">
        <v>37</v>
      </c>
      <c r="G732" s="24">
        <v>23.0</v>
      </c>
      <c r="H732" s="24">
        <v>49.0</v>
      </c>
      <c r="I732" s="24">
        <v>10.0</v>
      </c>
      <c r="J732" s="24">
        <v>0.0</v>
      </c>
      <c r="K732" s="23" t="s">
        <v>27</v>
      </c>
      <c r="L732" s="25">
        <v>42479.528437500005</v>
      </c>
      <c r="M732" s="28"/>
      <c r="N732" s="26" t="s">
        <v>1575</v>
      </c>
      <c r="O732" s="22" t="str">
        <f t="shared" si="84"/>
        <v>View</v>
      </c>
      <c r="P732" s="27"/>
    </row>
    <row r="733">
      <c r="A733" s="19">
        <v>42705.551516203705</v>
      </c>
      <c r="B733" s="20" t="str">
        <f t="shared" si="83"/>
        <v>@HtvGranCanaria</v>
      </c>
      <c r="C733" s="21" t="s">
        <v>1573</v>
      </c>
      <c r="D733" s="21" t="s">
        <v>1504</v>
      </c>
      <c r="E733" s="22" t="str">
        <f>HYPERLINK("https://twitter.com/HtvGranCanaria/status/804312639526629376","804312639526629376")</f>
        <v>804312639526629376</v>
      </c>
      <c r="F733" s="23" t="s">
        <v>37</v>
      </c>
      <c r="G733" s="24">
        <v>23.0</v>
      </c>
      <c r="H733" s="24">
        <v>49.0</v>
      </c>
      <c r="I733" s="24">
        <v>16.0</v>
      </c>
      <c r="J733" s="24">
        <v>0.0</v>
      </c>
      <c r="K733" s="23" t="s">
        <v>27</v>
      </c>
      <c r="L733" s="25">
        <v>42479.528437500005</v>
      </c>
      <c r="M733" s="28"/>
      <c r="N733" s="26" t="s">
        <v>1575</v>
      </c>
      <c r="O733" s="22" t="str">
        <f t="shared" si="84"/>
        <v>View</v>
      </c>
      <c r="P733" s="27"/>
    </row>
    <row r="734">
      <c r="A734" s="19">
        <v>42705.55657407407</v>
      </c>
      <c r="B734" s="20" t="str">
        <f>HYPERLINK("https://twitter.com/meloki2","@meloki2")</f>
        <v>@meloki2</v>
      </c>
      <c r="C734" s="21" t="s">
        <v>1576</v>
      </c>
      <c r="D734" s="21" t="s">
        <v>1577</v>
      </c>
      <c r="E734" s="22" t="str">
        <f>HYPERLINK("https://twitter.com/meloki2/status/804314473808924672","804314473808924672")</f>
        <v>804314473808924672</v>
      </c>
      <c r="F734" s="23" t="s">
        <v>41</v>
      </c>
      <c r="G734" s="24">
        <v>269.0</v>
      </c>
      <c r="H734" s="24">
        <v>84.0</v>
      </c>
      <c r="I734" s="24">
        <v>4.0</v>
      </c>
      <c r="J734" s="24">
        <v>14.0</v>
      </c>
      <c r="K734" s="23" t="s">
        <v>27</v>
      </c>
      <c r="L734" s="25">
        <v>39908.794432870374</v>
      </c>
      <c r="M734" s="26" t="s">
        <v>1578</v>
      </c>
      <c r="N734" s="26" t="s">
        <v>1579</v>
      </c>
      <c r="O734" s="22" t="str">
        <f>HYPERLINK("https://pbs.twimg.com/profile_images/519964881336799233/BOCtuq-p_normal.jpeg","View")</f>
        <v>View</v>
      </c>
      <c r="P734" s="27"/>
    </row>
    <row r="735">
      <c r="A735" s="19">
        <v>42705.55740740741</v>
      </c>
      <c r="B735" s="20" t="str">
        <f>HYPERLINK("https://twitter.com/piscosybuches","@piscosybuches")</f>
        <v>@piscosybuches</v>
      </c>
      <c r="C735" s="21" t="s">
        <v>1580</v>
      </c>
      <c r="D735" s="21" t="s">
        <v>1581</v>
      </c>
      <c r="E735" s="22" t="str">
        <f>HYPERLINK("https://twitter.com/piscosybuches/status/804314777098928129","804314777098928129")</f>
        <v>804314777098928129</v>
      </c>
      <c r="F735" s="23" t="s">
        <v>59</v>
      </c>
      <c r="G735" s="24">
        <v>379.0</v>
      </c>
      <c r="H735" s="24">
        <v>187.0</v>
      </c>
      <c r="I735" s="24">
        <v>1.0</v>
      </c>
      <c r="J735" s="24">
        <v>0.0</v>
      </c>
      <c r="K735" s="23" t="s">
        <v>27</v>
      </c>
      <c r="L735" s="25">
        <v>41028.4621875</v>
      </c>
      <c r="M735" s="26" t="s">
        <v>1582</v>
      </c>
      <c r="N735" s="26" t="s">
        <v>1583</v>
      </c>
      <c r="O735" s="22" t="str">
        <f>HYPERLINK("https://pbs.twimg.com/profile_images/553518889137885184/cM0dwG9q_normal.jpeg","View")</f>
        <v>View</v>
      </c>
      <c r="P735" s="27"/>
    </row>
    <row r="736">
      <c r="A736" s="19">
        <v>42705.55782407407</v>
      </c>
      <c r="B736" s="20" t="str">
        <f>HYPERLINK("https://twitter.com/quantom_nom","@quantom_nom")</f>
        <v>@quantom_nom</v>
      </c>
      <c r="C736" s="21" t="s">
        <v>1584</v>
      </c>
      <c r="D736" s="21" t="s">
        <v>1585</v>
      </c>
      <c r="E736" s="22" t="str">
        <f>HYPERLINK("https://twitter.com/quantom_nom/status/804314926647037952","804314926647037952")</f>
        <v>804314926647037952</v>
      </c>
      <c r="F736" s="23" t="s">
        <v>1586</v>
      </c>
      <c r="G736" s="24">
        <v>3027.0</v>
      </c>
      <c r="H736" s="24">
        <v>3.0</v>
      </c>
      <c r="I736" s="24">
        <v>1.0</v>
      </c>
      <c r="J736" s="24">
        <v>0.0</v>
      </c>
      <c r="K736" s="23" t="s">
        <v>27</v>
      </c>
      <c r="L736" s="25">
        <v>42607.55023148148</v>
      </c>
      <c r="M736" s="28"/>
      <c r="N736" s="26" t="s">
        <v>1587</v>
      </c>
      <c r="O736" s="22" t="str">
        <f>HYPERLINK("https://pbs.twimg.com/profile_images/768787615223058432/MD_3s3Z2_normal.jpg","View")</f>
        <v>View</v>
      </c>
      <c r="P736" s="27"/>
    </row>
    <row r="737">
      <c r="A737" s="19">
        <v>42705.5606712963</v>
      </c>
      <c r="B737" s="20" t="str">
        <f>HYPERLINK("https://twitter.com/ladywalks83","@ladywalks83")</f>
        <v>@ladywalks83</v>
      </c>
      <c r="C737" s="21" t="s">
        <v>1588</v>
      </c>
      <c r="D737" s="21" t="s">
        <v>1589</v>
      </c>
      <c r="E737" s="22" t="str">
        <f>HYPERLINK("https://twitter.com/ladywalks83/status/804315956336070656","804315956336070656")</f>
        <v>804315956336070656</v>
      </c>
      <c r="F737" s="23" t="s">
        <v>26</v>
      </c>
      <c r="G737" s="24">
        <v>255.0</v>
      </c>
      <c r="H737" s="24">
        <v>595.0</v>
      </c>
      <c r="I737" s="24">
        <v>1.0</v>
      </c>
      <c r="J737" s="24">
        <v>2.0</v>
      </c>
      <c r="K737" s="23" t="s">
        <v>27</v>
      </c>
      <c r="L737" s="25">
        <v>39972.89449074074</v>
      </c>
      <c r="M737" s="26" t="s">
        <v>1590</v>
      </c>
      <c r="N737" s="26" t="s">
        <v>1591</v>
      </c>
      <c r="O737" s="22" t="str">
        <f>HYPERLINK("https://pbs.twimg.com/profile_images/778615798105567232/W7kY3Cc9_normal.jpg","View")</f>
        <v>View</v>
      </c>
      <c r="P737" s="27"/>
    </row>
    <row r="738">
      <c r="A738" s="19">
        <v>42705.56101851852</v>
      </c>
      <c r="B738" s="20" t="str">
        <f t="shared" ref="B738:B739" si="85">HYPERLINK("https://twitter.com/CorralejoLive","@CorralejoLive")</f>
        <v>@CorralejoLive</v>
      </c>
      <c r="C738" s="21" t="s">
        <v>1592</v>
      </c>
      <c r="D738" s="21" t="s">
        <v>1593</v>
      </c>
      <c r="E738" s="22" t="str">
        <f>HYPERLINK("https://twitter.com/CorralejoLive/status/804316082207125504","804316082207125504")</f>
        <v>804316082207125504</v>
      </c>
      <c r="F738" s="23" t="s">
        <v>41</v>
      </c>
      <c r="G738" s="24">
        <v>2806.0</v>
      </c>
      <c r="H738" s="24">
        <v>3269.0</v>
      </c>
      <c r="I738" s="24">
        <v>1.0</v>
      </c>
      <c r="J738" s="24">
        <v>0.0</v>
      </c>
      <c r="K738" s="23" t="s">
        <v>27</v>
      </c>
      <c r="L738" s="25">
        <v>41852.78931712963</v>
      </c>
      <c r="M738" s="26" t="s">
        <v>1594</v>
      </c>
      <c r="N738" s="26" t="s">
        <v>1595</v>
      </c>
      <c r="O738" s="22" t="str">
        <f t="shared" ref="O738:O739" si="86">HYPERLINK("https://pbs.twimg.com/profile_images/514897634113228800/Pne1BN2P_normal.jpeg","View")</f>
        <v>View</v>
      </c>
      <c r="P738" s="27"/>
    </row>
    <row r="739">
      <c r="A739" s="19">
        <v>42705.56116898148</v>
      </c>
      <c r="B739" s="20" t="str">
        <f t="shared" si="85"/>
        <v>@CorralejoLive</v>
      </c>
      <c r="C739" s="21" t="s">
        <v>1592</v>
      </c>
      <c r="D739" s="21" t="s">
        <v>1504</v>
      </c>
      <c r="E739" s="22" t="str">
        <f>HYPERLINK("https://twitter.com/CorralejoLive/status/804316138964447232","804316138964447232")</f>
        <v>804316138964447232</v>
      </c>
      <c r="F739" s="23" t="s">
        <v>41</v>
      </c>
      <c r="G739" s="24">
        <v>2806.0</v>
      </c>
      <c r="H739" s="24">
        <v>3269.0</v>
      </c>
      <c r="I739" s="24">
        <v>16.0</v>
      </c>
      <c r="J739" s="24">
        <v>0.0</v>
      </c>
      <c r="K739" s="23" t="s">
        <v>27</v>
      </c>
      <c r="L739" s="25">
        <v>41852.78931712963</v>
      </c>
      <c r="M739" s="26" t="s">
        <v>1594</v>
      </c>
      <c r="N739" s="26" t="s">
        <v>1595</v>
      </c>
      <c r="O739" s="22" t="str">
        <f t="shared" si="86"/>
        <v>View</v>
      </c>
      <c r="P739" s="27"/>
    </row>
    <row r="740">
      <c r="A740" s="19">
        <v>42705.58678240741</v>
      </c>
      <c r="B740" s="20" t="str">
        <f>HYPERLINK("https://twitter.com/JulioAl18175505","@JulioAl18175505")</f>
        <v>@JulioAl18175505</v>
      </c>
      <c r="C740" s="21" t="s">
        <v>248</v>
      </c>
      <c r="D740" s="21" t="s">
        <v>1480</v>
      </c>
      <c r="E740" s="22" t="str">
        <f>HYPERLINK("https://twitter.com/JulioAl18175505/status/804325420057366529","804325420057366529")</f>
        <v>804325420057366529</v>
      </c>
      <c r="F740" s="23" t="s">
        <v>41</v>
      </c>
      <c r="G740" s="24">
        <v>3883.0</v>
      </c>
      <c r="H740" s="24">
        <v>3761.0</v>
      </c>
      <c r="I740" s="24">
        <v>6.0</v>
      </c>
      <c r="J740" s="24">
        <v>0.0</v>
      </c>
      <c r="K740" s="23" t="s">
        <v>27</v>
      </c>
      <c r="L740" s="25">
        <v>41713.45993055555</v>
      </c>
      <c r="M740" s="26" t="s">
        <v>250</v>
      </c>
      <c r="N740" s="26" t="s">
        <v>251</v>
      </c>
      <c r="O740" s="22" t="str">
        <f>HYPERLINK("https://pbs.twimg.com/profile_images/706839494851436544/7igsf91D_normal.jpg","View")</f>
        <v>View</v>
      </c>
      <c r="P740" s="27"/>
    </row>
    <row r="741">
      <c r="A741" s="19">
        <v>42705.5875</v>
      </c>
      <c r="B741" s="20" t="str">
        <f>HYPERLINK("https://twitter.com/swisshop4uEs","@swisshop4uEs")</f>
        <v>@swisshop4uEs</v>
      </c>
      <c r="C741" s="21" t="s">
        <v>48</v>
      </c>
      <c r="D741" s="21" t="s">
        <v>1596</v>
      </c>
      <c r="E741" s="22" t="str">
        <f>HYPERLINK("https://twitter.com/swisshop4uEs/status/804325681186410496","804325681186410496")</f>
        <v>804325681186410496</v>
      </c>
      <c r="F741" s="23" t="s">
        <v>37</v>
      </c>
      <c r="G741" s="24">
        <v>455.0</v>
      </c>
      <c r="H741" s="24">
        <v>424.0</v>
      </c>
      <c r="I741" s="24">
        <v>1.0</v>
      </c>
      <c r="J741" s="24">
        <v>0.0</v>
      </c>
      <c r="K741" s="23" t="s">
        <v>27</v>
      </c>
      <c r="L741" s="25">
        <v>41468.93072916666</v>
      </c>
      <c r="M741" s="26" t="s">
        <v>51</v>
      </c>
      <c r="N741" s="26" t="s">
        <v>52</v>
      </c>
      <c r="O741" s="22" t="str">
        <f>HYPERLINK("https://pbs.twimg.com/profile_images/378800000213382003/4f562b59f92995b884d2d440f71fc5ce_normal.png","View")</f>
        <v>View</v>
      </c>
      <c r="P741" s="27"/>
    </row>
    <row r="742">
      <c r="A742" s="19">
        <v>42705.58804398148</v>
      </c>
      <c r="B742" s="20" t="str">
        <f>HYPERLINK("https://twitter.com/Endorgar","@Endorgar")</f>
        <v>@Endorgar</v>
      </c>
      <c r="C742" s="21" t="s">
        <v>1597</v>
      </c>
      <c r="D742" s="21" t="s">
        <v>1598</v>
      </c>
      <c r="E742" s="22" t="str">
        <f>HYPERLINK("https://twitter.com/Endorgar/status/804325879534993409","804325879534993409")</f>
        <v>804325879534993409</v>
      </c>
      <c r="F742" s="23" t="s">
        <v>81</v>
      </c>
      <c r="G742" s="24">
        <v>88.0</v>
      </c>
      <c r="H742" s="24">
        <v>148.0</v>
      </c>
      <c r="I742" s="24">
        <v>0.0</v>
      </c>
      <c r="J742" s="24">
        <v>0.0</v>
      </c>
      <c r="K742" s="23" t="s">
        <v>27</v>
      </c>
      <c r="L742" s="25">
        <v>40499.845185185186</v>
      </c>
      <c r="M742" s="26" t="s">
        <v>1599</v>
      </c>
      <c r="N742" s="26" t="s">
        <v>1600</v>
      </c>
      <c r="O742" s="22" t="str">
        <f>HYPERLINK("https://pbs.twimg.com/profile_images/1207473018/IMG_1954_normal.jpg","View")</f>
        <v>View</v>
      </c>
      <c r="P742" s="27"/>
    </row>
    <row r="743">
      <c r="A743" s="19">
        <v>42705.589953703704</v>
      </c>
      <c r="B743" s="20" t="str">
        <f>HYPERLINK("https://twitter.com/MegGiod","@MegGiod")</f>
        <v>@MegGiod</v>
      </c>
      <c r="C743" s="21" t="s">
        <v>1601</v>
      </c>
      <c r="D743" s="21" t="s">
        <v>1602</v>
      </c>
      <c r="E743" s="22" t="str">
        <f>HYPERLINK("https://twitter.com/MegGiod/status/804326570957688832","804326570957688832")</f>
        <v>804326570957688832</v>
      </c>
      <c r="F743" s="23" t="s">
        <v>1603</v>
      </c>
      <c r="G743" s="24">
        <v>79.0</v>
      </c>
      <c r="H743" s="24">
        <v>9.0</v>
      </c>
      <c r="I743" s="24">
        <v>1.0</v>
      </c>
      <c r="J743" s="24">
        <v>0.0</v>
      </c>
      <c r="K743" s="23" t="s">
        <v>27</v>
      </c>
      <c r="L743" s="25">
        <v>42069.7866550926</v>
      </c>
      <c r="M743" s="28"/>
      <c r="N743" s="26" t="s">
        <v>1604</v>
      </c>
      <c r="O743" s="22" t="str">
        <f>HYPERLINK("https://pbs.twimg.com/profile_images/573922103767994368/CBXjlh4a_normal.jpeg","View")</f>
        <v>View</v>
      </c>
      <c r="P743" s="27"/>
    </row>
    <row r="744">
      <c r="A744" s="19">
        <v>42705.59032407407</v>
      </c>
      <c r="B744" s="20" t="str">
        <f>HYPERLINK("https://twitter.com/CanaryIslandsEN","@CanaryIslandsEN")</f>
        <v>@CanaryIslandsEN</v>
      </c>
      <c r="C744" s="21" t="s">
        <v>165</v>
      </c>
      <c r="D744" s="21" t="s">
        <v>1605</v>
      </c>
      <c r="E744" s="22" t="str">
        <f>HYPERLINK("https://twitter.com/CanaryIslandsEN/status/804326701782171648","804326701782171648")</f>
        <v>804326701782171648</v>
      </c>
      <c r="F744" s="23" t="s">
        <v>167</v>
      </c>
      <c r="G744" s="24">
        <v>14287.0</v>
      </c>
      <c r="H744" s="24">
        <v>1533.0</v>
      </c>
      <c r="I744" s="24">
        <v>1.0</v>
      </c>
      <c r="J744" s="24">
        <v>4.0</v>
      </c>
      <c r="K744" s="23" t="s">
        <v>27</v>
      </c>
      <c r="L744" s="25">
        <v>41264.365949074076</v>
      </c>
      <c r="M744" s="26" t="s">
        <v>168</v>
      </c>
      <c r="N744" s="26" t="s">
        <v>169</v>
      </c>
      <c r="O744" s="22" t="str">
        <f>HYPERLINK("https://pbs.twimg.com/profile_images/754960714704584704/14dQxsF8_normal.jpg","View")</f>
        <v>View</v>
      </c>
      <c r="P744" s="27"/>
    </row>
    <row r="745">
      <c r="A745" s="19">
        <v>42705.59869212963</v>
      </c>
      <c r="B745" s="20" t="str">
        <f>HYPERLINK("https://twitter.com/Sink_or_Swim_","@Sink_or_Swim_")</f>
        <v>@Sink_or_Swim_</v>
      </c>
      <c r="C745" s="21" t="s">
        <v>930</v>
      </c>
      <c r="D745" s="21" t="s">
        <v>1606</v>
      </c>
      <c r="E745" s="22" t="str">
        <f>HYPERLINK("https://twitter.com/Sink_or_Swim_/status/804329735857717251","804329735857717251")</f>
        <v>804329735857717251</v>
      </c>
      <c r="F745" s="23" t="s">
        <v>81</v>
      </c>
      <c r="G745" s="24">
        <v>24.0</v>
      </c>
      <c r="H745" s="24">
        <v>91.0</v>
      </c>
      <c r="I745" s="24">
        <v>0.0</v>
      </c>
      <c r="J745" s="24">
        <v>0.0</v>
      </c>
      <c r="K745" s="23" t="s">
        <v>27</v>
      </c>
      <c r="L745" s="25">
        <v>41320.493159722224</v>
      </c>
      <c r="M745" s="26" t="s">
        <v>932</v>
      </c>
      <c r="N745" s="26" t="s">
        <v>933</v>
      </c>
      <c r="O745" s="22" t="str">
        <f>HYPERLINK("https://pbs.twimg.com/profile_images/730687096550268928/J-Ee_sln_normal.jpg","View")</f>
        <v>View</v>
      </c>
      <c r="P745" s="27"/>
    </row>
    <row r="746">
      <c r="A746" s="19">
        <v>42705.59935185185</v>
      </c>
      <c r="B746" s="20" t="str">
        <f>HYPERLINK("https://twitter.com/meirion1965","@meirion1965")</f>
        <v>@meirion1965</v>
      </c>
      <c r="C746" s="21" t="s">
        <v>1607</v>
      </c>
      <c r="D746" s="21" t="s">
        <v>1504</v>
      </c>
      <c r="E746" s="22" t="str">
        <f>HYPERLINK("https://twitter.com/meirion1965/status/804329974731829248","804329974731829248")</f>
        <v>804329974731829248</v>
      </c>
      <c r="F746" s="23" t="s">
        <v>41</v>
      </c>
      <c r="G746" s="24">
        <v>1181.0</v>
      </c>
      <c r="H746" s="24">
        <v>1173.0</v>
      </c>
      <c r="I746" s="24">
        <v>16.0</v>
      </c>
      <c r="J746" s="24">
        <v>0.0</v>
      </c>
      <c r="K746" s="23" t="s">
        <v>27</v>
      </c>
      <c r="L746" s="25">
        <v>41723.56761574074</v>
      </c>
      <c r="M746" s="26" t="s">
        <v>1608</v>
      </c>
      <c r="N746" s="26" t="s">
        <v>1609</v>
      </c>
      <c r="O746" s="22" t="str">
        <f>HYPERLINK("https://pbs.twimg.com/profile_images/806165996448968705/eU1Kz3h6_normal.jpg","View")</f>
        <v>View</v>
      </c>
      <c r="P746" s="27"/>
    </row>
    <row r="747">
      <c r="A747" s="19">
        <v>42705.60092592593</v>
      </c>
      <c r="B747" s="20" t="str">
        <f>HYPERLINK("https://twitter.com/kresalie","@kresalie")</f>
        <v>@kresalie</v>
      </c>
      <c r="C747" s="21" t="s">
        <v>1610</v>
      </c>
      <c r="D747" s="21" t="s">
        <v>1504</v>
      </c>
      <c r="E747" s="22" t="str">
        <f>HYPERLINK("https://twitter.com/kresalie/status/804330547715641344","804330547715641344")</f>
        <v>804330547715641344</v>
      </c>
      <c r="F747" s="23" t="s">
        <v>41</v>
      </c>
      <c r="G747" s="24">
        <v>416.0</v>
      </c>
      <c r="H747" s="24">
        <v>203.0</v>
      </c>
      <c r="I747" s="24">
        <v>16.0</v>
      </c>
      <c r="J747" s="24">
        <v>0.0</v>
      </c>
      <c r="K747" s="23" t="s">
        <v>27</v>
      </c>
      <c r="L747" s="25">
        <v>42128.47356481482</v>
      </c>
      <c r="M747" s="26" t="s">
        <v>1611</v>
      </c>
      <c r="N747" s="26" t="s">
        <v>1612</v>
      </c>
      <c r="O747" s="22" t="str">
        <f>HYPERLINK("https://pbs.twimg.com/profile_images/595180449015713792/6waWxgDZ_normal.jpg","View")</f>
        <v>View</v>
      </c>
      <c r="P747" s="27"/>
    </row>
    <row r="748">
      <c r="A748" s="19">
        <v>42705.602731481486</v>
      </c>
      <c r="B748" s="20" t="str">
        <f>HYPERLINK("https://twitter.com/meteoGCcom","@meteoGCcom")</f>
        <v>@meteoGCcom</v>
      </c>
      <c r="C748" s="32" t="s">
        <v>1613</v>
      </c>
      <c r="D748" s="21" t="s">
        <v>1614</v>
      </c>
      <c r="E748" s="22" t="str">
        <f>HYPERLINK("https://twitter.com/meteoGCcom/status/804331198231224320","804331198231224320")</f>
        <v>804331198231224320</v>
      </c>
      <c r="F748" s="23" t="s">
        <v>26</v>
      </c>
      <c r="G748" s="24">
        <v>1332.0</v>
      </c>
      <c r="H748" s="24">
        <v>1156.0</v>
      </c>
      <c r="I748" s="24">
        <v>4.0</v>
      </c>
      <c r="J748" s="24">
        <v>0.0</v>
      </c>
      <c r="K748" s="23" t="s">
        <v>27</v>
      </c>
      <c r="L748" s="25">
        <v>41981.73034722223</v>
      </c>
      <c r="M748" s="26" t="s">
        <v>42</v>
      </c>
      <c r="N748" s="26" t="s">
        <v>1615</v>
      </c>
      <c r="O748" s="22" t="str">
        <f>HYPERLINK("https://pbs.twimg.com/profile_images/792076114311208961/1HTbAcvj_normal.jpg","View")</f>
        <v>View</v>
      </c>
      <c r="P748" s="27"/>
    </row>
    <row r="749">
      <c r="A749" s="19">
        <v>42705.61137731481</v>
      </c>
      <c r="B749" s="20" t="str">
        <f>HYPERLINK("https://twitter.com/MeliaHacienda","@MeliaHacienda")</f>
        <v>@MeliaHacienda</v>
      </c>
      <c r="C749" s="21" t="s">
        <v>1616</v>
      </c>
      <c r="D749" s="21" t="s">
        <v>1617</v>
      </c>
      <c r="E749" s="22" t="str">
        <f>HYPERLINK("https://twitter.com/MeliaHacienda/status/804334332106199041","804334332106199041")</f>
        <v>804334332106199041</v>
      </c>
      <c r="F749" s="23" t="s">
        <v>401</v>
      </c>
      <c r="G749" s="24">
        <v>52.0</v>
      </c>
      <c r="H749" s="24">
        <v>127.0</v>
      </c>
      <c r="I749" s="24">
        <v>1.0</v>
      </c>
      <c r="J749" s="24">
        <v>3.0</v>
      </c>
      <c r="K749" s="23" t="s">
        <v>27</v>
      </c>
      <c r="L749" s="25">
        <v>42635.751192129625</v>
      </c>
      <c r="M749" s="26" t="s">
        <v>1618</v>
      </c>
      <c r="N749" s="26" t="s">
        <v>1619</v>
      </c>
      <c r="O749" s="22" t="str">
        <f>HYPERLINK("https://pbs.twimg.com/profile_images/793118609736339456/LMIq_8Rm_normal.jpg","View")</f>
        <v>View</v>
      </c>
      <c r="P749" s="27"/>
    </row>
    <row r="750">
      <c r="A750" s="19">
        <v>42705.619305555556</v>
      </c>
      <c r="B750" s="20" t="str">
        <f t="shared" ref="B750:B754" si="87">HYPERLINK("https://twitter.com/elastword","@elastword")</f>
        <v>@elastword</v>
      </c>
      <c r="C750" s="21" t="s">
        <v>253</v>
      </c>
      <c r="D750" s="21" t="s">
        <v>1620</v>
      </c>
      <c r="E750" s="22" t="str">
        <f>HYPERLINK("https://twitter.com/elastword/status/804337207880404992","804337207880404992")</f>
        <v>804337207880404992</v>
      </c>
      <c r="F750" s="23" t="s">
        <v>81</v>
      </c>
      <c r="G750" s="24">
        <v>595.0</v>
      </c>
      <c r="H750" s="24">
        <v>417.0</v>
      </c>
      <c r="I750" s="24">
        <v>0.0</v>
      </c>
      <c r="J750" s="24">
        <v>0.0</v>
      </c>
      <c r="K750" s="23" t="s">
        <v>27</v>
      </c>
      <c r="L750" s="25">
        <v>40520.91306712963</v>
      </c>
      <c r="M750" s="26" t="s">
        <v>255</v>
      </c>
      <c r="N750" s="26" t="s">
        <v>256</v>
      </c>
      <c r="O750" s="22" t="str">
        <f t="shared" ref="O750:O754" si="88">HYPERLINK("https://pbs.twimg.com/profile_images/779785036996415489/a2nilB1d_normal.jpg","View")</f>
        <v>View</v>
      </c>
      <c r="P750" s="27" t="str">
        <f t="shared" ref="P750:P754" si="89">HYPERLINK("https://ctrlq.org/maps/address/#28.96173533,-13.544252","Map")</f>
        <v>#ERROR!</v>
      </c>
    </row>
    <row r="751">
      <c r="A751" s="19">
        <v>42705.62070601852</v>
      </c>
      <c r="B751" s="20" t="str">
        <f t="shared" si="87"/>
        <v>@elastword</v>
      </c>
      <c r="C751" s="21" t="s">
        <v>253</v>
      </c>
      <c r="D751" s="21" t="s">
        <v>1621</v>
      </c>
      <c r="E751" s="22" t="str">
        <f>HYPERLINK("https://twitter.com/elastword/status/804337715793764352","804337715793764352")</f>
        <v>804337715793764352</v>
      </c>
      <c r="F751" s="23" t="s">
        <v>81</v>
      </c>
      <c r="G751" s="24">
        <v>595.0</v>
      </c>
      <c r="H751" s="24">
        <v>417.0</v>
      </c>
      <c r="I751" s="24">
        <v>0.0</v>
      </c>
      <c r="J751" s="24">
        <v>0.0</v>
      </c>
      <c r="K751" s="23" t="s">
        <v>27</v>
      </c>
      <c r="L751" s="25">
        <v>40520.91306712963</v>
      </c>
      <c r="M751" s="26" t="s">
        <v>255</v>
      </c>
      <c r="N751" s="26" t="s">
        <v>256</v>
      </c>
      <c r="O751" s="22" t="str">
        <f t="shared" si="88"/>
        <v>View</v>
      </c>
      <c r="P751" s="27" t="str">
        <f t="shared" si="89"/>
        <v>#ERROR!</v>
      </c>
    </row>
    <row r="752">
      <c r="A752" s="19">
        <v>42705.62195601852</v>
      </c>
      <c r="B752" s="20" t="str">
        <f t="shared" si="87"/>
        <v>@elastword</v>
      </c>
      <c r="C752" s="21" t="s">
        <v>253</v>
      </c>
      <c r="D752" s="21" t="s">
        <v>1622</v>
      </c>
      <c r="E752" s="22" t="str">
        <f>HYPERLINK("https://twitter.com/elastword/status/804338168619270144","804338168619270144")</f>
        <v>804338168619270144</v>
      </c>
      <c r="F752" s="23" t="s">
        <v>81</v>
      </c>
      <c r="G752" s="24">
        <v>595.0</v>
      </c>
      <c r="H752" s="24">
        <v>417.0</v>
      </c>
      <c r="I752" s="24">
        <v>0.0</v>
      </c>
      <c r="J752" s="24">
        <v>0.0</v>
      </c>
      <c r="K752" s="23" t="s">
        <v>27</v>
      </c>
      <c r="L752" s="25">
        <v>40520.91306712963</v>
      </c>
      <c r="M752" s="26" t="s">
        <v>255</v>
      </c>
      <c r="N752" s="26" t="s">
        <v>256</v>
      </c>
      <c r="O752" s="22" t="str">
        <f t="shared" si="88"/>
        <v>View</v>
      </c>
      <c r="P752" s="27" t="str">
        <f t="shared" si="89"/>
        <v>#ERROR!</v>
      </c>
    </row>
    <row r="753">
      <c r="A753" s="19">
        <v>42705.62306712963</v>
      </c>
      <c r="B753" s="20" t="str">
        <f t="shared" si="87"/>
        <v>@elastword</v>
      </c>
      <c r="C753" s="21" t="s">
        <v>253</v>
      </c>
      <c r="D753" s="21" t="s">
        <v>1623</v>
      </c>
      <c r="E753" s="22" t="str">
        <f>HYPERLINK("https://twitter.com/elastword/status/804338571406667776","804338571406667776")</f>
        <v>804338571406667776</v>
      </c>
      <c r="F753" s="23" t="s">
        <v>81</v>
      </c>
      <c r="G753" s="24">
        <v>595.0</v>
      </c>
      <c r="H753" s="24">
        <v>417.0</v>
      </c>
      <c r="I753" s="24">
        <v>0.0</v>
      </c>
      <c r="J753" s="24">
        <v>0.0</v>
      </c>
      <c r="K753" s="23" t="s">
        <v>27</v>
      </c>
      <c r="L753" s="25">
        <v>40520.91306712963</v>
      </c>
      <c r="M753" s="26" t="s">
        <v>255</v>
      </c>
      <c r="N753" s="26" t="s">
        <v>256</v>
      </c>
      <c r="O753" s="22" t="str">
        <f t="shared" si="88"/>
        <v>View</v>
      </c>
      <c r="P753" s="27" t="str">
        <f t="shared" si="89"/>
        <v>#ERROR!</v>
      </c>
    </row>
    <row r="754">
      <c r="A754" s="19">
        <v>42705.62609953704</v>
      </c>
      <c r="B754" s="20" t="str">
        <f t="shared" si="87"/>
        <v>@elastword</v>
      </c>
      <c r="C754" s="21" t="s">
        <v>253</v>
      </c>
      <c r="D754" s="21" t="s">
        <v>1624</v>
      </c>
      <c r="E754" s="22" t="str">
        <f>HYPERLINK("https://twitter.com/elastword/status/804339667571183618","804339667571183618")</f>
        <v>804339667571183618</v>
      </c>
      <c r="F754" s="23" t="s">
        <v>81</v>
      </c>
      <c r="G754" s="24">
        <v>595.0</v>
      </c>
      <c r="H754" s="24">
        <v>417.0</v>
      </c>
      <c r="I754" s="24">
        <v>0.0</v>
      </c>
      <c r="J754" s="24">
        <v>1.0</v>
      </c>
      <c r="K754" s="23" t="s">
        <v>27</v>
      </c>
      <c r="L754" s="25">
        <v>40520.91306712963</v>
      </c>
      <c r="M754" s="26" t="s">
        <v>255</v>
      </c>
      <c r="N754" s="26" t="s">
        <v>256</v>
      </c>
      <c r="O754" s="22" t="str">
        <f t="shared" si="88"/>
        <v>View</v>
      </c>
      <c r="P754" s="27" t="str">
        <f t="shared" si="89"/>
        <v>#ERROR!</v>
      </c>
    </row>
    <row r="755">
      <c r="A755" s="19">
        <v>42705.62609953704</v>
      </c>
      <c r="B755" s="20" t="str">
        <f>HYPERLINK("https://twitter.com/LanzaroteESD","@LanzaroteESD")</f>
        <v>@LanzaroteESD</v>
      </c>
      <c r="C755" s="21" t="s">
        <v>1625</v>
      </c>
      <c r="D755" s="21" t="s">
        <v>1356</v>
      </c>
      <c r="E755" s="22" t="str">
        <f>HYPERLINK("https://twitter.com/LanzaroteESD/status/804339667684519936","804339667684519936")</f>
        <v>804339667684519936</v>
      </c>
      <c r="F755" s="23" t="s">
        <v>64</v>
      </c>
      <c r="G755" s="24">
        <v>276.0</v>
      </c>
      <c r="H755" s="24">
        <v>210.0</v>
      </c>
      <c r="I755" s="24">
        <v>3.0</v>
      </c>
      <c r="J755" s="24">
        <v>0.0</v>
      </c>
      <c r="K755" s="23" t="s">
        <v>27</v>
      </c>
      <c r="L755" s="25">
        <v>42401.61076388889</v>
      </c>
      <c r="M755" s="26" t="s">
        <v>51</v>
      </c>
      <c r="N755" s="26" t="s">
        <v>1626</v>
      </c>
      <c r="O755" s="22" t="str">
        <f>HYPERLINK("https://pbs.twimg.com/profile_images/733704041620897792/G1KvPHAL_normal.jpg","View")</f>
        <v>View</v>
      </c>
      <c r="P755" s="27"/>
    </row>
    <row r="756">
      <c r="A756" s="19">
        <v>42705.63114583334</v>
      </c>
      <c r="B756" s="20" t="str">
        <f>HYPERLINK("https://twitter.com/RakheeV","@RakheeV")</f>
        <v>@RakheeV</v>
      </c>
      <c r="C756" s="21" t="s">
        <v>1240</v>
      </c>
      <c r="D756" s="21" t="s">
        <v>1627</v>
      </c>
      <c r="E756" s="22" t="str">
        <f>HYPERLINK("https://twitter.com/RakheeV/status/804341496384102400","804341496384102400")</f>
        <v>804341496384102400</v>
      </c>
      <c r="F756" s="23" t="s">
        <v>81</v>
      </c>
      <c r="G756" s="24">
        <v>1489.0</v>
      </c>
      <c r="H756" s="24">
        <v>2605.0</v>
      </c>
      <c r="I756" s="24">
        <v>0.0</v>
      </c>
      <c r="J756" s="24">
        <v>0.0</v>
      </c>
      <c r="K756" s="23" t="s">
        <v>27</v>
      </c>
      <c r="L756" s="25">
        <v>40921.93</v>
      </c>
      <c r="M756" s="26" t="s">
        <v>1172</v>
      </c>
      <c r="N756" s="26" t="s">
        <v>1242</v>
      </c>
      <c r="O756" s="22" t="str">
        <f>HYPERLINK("https://pbs.twimg.com/profile_images/742026136801161217/evJgSUlG_normal.jpg","View")</f>
        <v>View</v>
      </c>
      <c r="P756" s="27" t="str">
        <f t="shared" ref="P756:P757" si="90">HYPERLINK("https://ctrlq.org/maps/address/#28.05444037,-16.73047245","Map")</f>
        <v>#ERROR!</v>
      </c>
    </row>
    <row r="757">
      <c r="A757" s="19">
        <v>42705.632731481484</v>
      </c>
      <c r="B757" s="20" t="str">
        <f>HYPERLINK("https://twitter.com/elastword","@elastword")</f>
        <v>@elastword</v>
      </c>
      <c r="C757" s="21" t="s">
        <v>253</v>
      </c>
      <c r="D757" s="21" t="s">
        <v>1628</v>
      </c>
      <c r="E757" s="22" t="str">
        <f>HYPERLINK("https://twitter.com/elastword/status/804342070915792896","804342070915792896")</f>
        <v>804342070915792896</v>
      </c>
      <c r="F757" s="23" t="s">
        <v>81</v>
      </c>
      <c r="G757" s="24">
        <v>595.0</v>
      </c>
      <c r="H757" s="24">
        <v>417.0</v>
      </c>
      <c r="I757" s="24">
        <v>0.0</v>
      </c>
      <c r="J757" s="24">
        <v>1.0</v>
      </c>
      <c r="K757" s="23" t="s">
        <v>27</v>
      </c>
      <c r="L757" s="25">
        <v>40520.91306712963</v>
      </c>
      <c r="M757" s="26" t="s">
        <v>255</v>
      </c>
      <c r="N757" s="26" t="s">
        <v>256</v>
      </c>
      <c r="O757" s="22" t="str">
        <f>HYPERLINK("https://pbs.twimg.com/profile_images/779785036996415489/a2nilB1d_normal.jpg","View")</f>
        <v>View</v>
      </c>
      <c r="P757" s="27" t="str">
        <f t="shared" si="90"/>
        <v>#ERROR!</v>
      </c>
    </row>
    <row r="758">
      <c r="A758" s="19">
        <v>42705.6450462963</v>
      </c>
      <c r="B758" s="20" t="str">
        <f>HYPERLINK("https://twitter.com/sellmytshare","@sellmytshare")</f>
        <v>@sellmytshare</v>
      </c>
      <c r="C758" s="21" t="s">
        <v>591</v>
      </c>
      <c r="D758" s="21" t="s">
        <v>1629</v>
      </c>
      <c r="E758" s="22" t="str">
        <f>HYPERLINK("https://twitter.com/sellmytshare/status/804346532405317633","804346532405317633")</f>
        <v>804346532405317633</v>
      </c>
      <c r="F758" s="23" t="s">
        <v>37</v>
      </c>
      <c r="G758" s="24">
        <v>1255.0</v>
      </c>
      <c r="H758" s="24">
        <v>908.0</v>
      </c>
      <c r="I758" s="24">
        <v>0.0</v>
      </c>
      <c r="J758" s="24">
        <v>0.0</v>
      </c>
      <c r="K758" s="23" t="s">
        <v>27</v>
      </c>
      <c r="L758" s="25">
        <v>41474.641331018516</v>
      </c>
      <c r="M758" s="28"/>
      <c r="N758" s="26" t="s">
        <v>593</v>
      </c>
      <c r="O758" s="22" t="str">
        <f>HYPERLINK("https://pbs.twimg.com/profile_images/661939380370726912/YsXXMKwm_normal.png","View")</f>
        <v>View</v>
      </c>
      <c r="P758" s="27"/>
    </row>
    <row r="759">
      <c r="A759" s="19">
        <v>42705.67675925926</v>
      </c>
      <c r="B759" s="20" t="str">
        <f>HYPERLINK("https://twitter.com/MeteoRTVC","@MeteoRTVC")</f>
        <v>@MeteoRTVC</v>
      </c>
      <c r="C759" s="21" t="s">
        <v>1630</v>
      </c>
      <c r="D759" s="21" t="s">
        <v>1614</v>
      </c>
      <c r="E759" s="22" t="str">
        <f>HYPERLINK("https://twitter.com/MeteoRTVC/status/804358026136326144","804358026136326144")</f>
        <v>804358026136326144</v>
      </c>
      <c r="F759" s="23" t="s">
        <v>37</v>
      </c>
      <c r="G759" s="24">
        <v>9812.0</v>
      </c>
      <c r="H759" s="24">
        <v>202.0</v>
      </c>
      <c r="I759" s="24">
        <v>4.0</v>
      </c>
      <c r="J759" s="24">
        <v>0.0</v>
      </c>
      <c r="K759" s="23" t="s">
        <v>27</v>
      </c>
      <c r="L759" s="25">
        <v>41263.41769675926</v>
      </c>
      <c r="M759" s="26" t="s">
        <v>42</v>
      </c>
      <c r="N759" s="26" t="s">
        <v>1631</v>
      </c>
      <c r="O759" s="22" t="str">
        <f>HYPERLINK("https://pbs.twimg.com/profile_images/524975915512500224/4nGPvR5X_normal.jpeg","View")</f>
        <v>View</v>
      </c>
      <c r="P759" s="27"/>
    </row>
    <row r="760">
      <c r="A760" s="19">
        <v>42705.685752314814</v>
      </c>
      <c r="B760" s="20" t="str">
        <f>HYPERLINK("https://twitter.com/TenerifeSup","@TenerifeSup")</f>
        <v>@TenerifeSup</v>
      </c>
      <c r="C760" s="21" t="s">
        <v>1632</v>
      </c>
      <c r="D760" s="21" t="s">
        <v>1633</v>
      </c>
      <c r="E760" s="22" t="str">
        <f>HYPERLINK("https://twitter.com/TenerifeSup/status/804361286691803136","804361286691803136")</f>
        <v>804361286691803136</v>
      </c>
      <c r="F760" s="23" t="s">
        <v>26</v>
      </c>
      <c r="G760" s="24">
        <v>44.0</v>
      </c>
      <c r="H760" s="24">
        <v>208.0</v>
      </c>
      <c r="I760" s="24">
        <v>2.0</v>
      </c>
      <c r="J760" s="24">
        <v>0.0</v>
      </c>
      <c r="K760" s="23" t="s">
        <v>27</v>
      </c>
      <c r="L760" s="25">
        <v>42563.74082175926</v>
      </c>
      <c r="M760" s="26" t="s">
        <v>1634</v>
      </c>
      <c r="N760" s="26" t="s">
        <v>1635</v>
      </c>
      <c r="O760" s="22" t="str">
        <f>HYPERLINK("https://pbs.twimg.com/profile_images/792801110587236353/_ZALQiBa_normal.jpg","View")</f>
        <v>View</v>
      </c>
      <c r="P760" s="27"/>
    </row>
    <row r="761">
      <c r="A761" s="19">
        <v>42705.68592592592</v>
      </c>
      <c r="B761" s="20" t="str">
        <f>HYPERLINK("https://twitter.com/TwiTenerifeGolf","@TwiTenerifeGolf")</f>
        <v>@TwiTenerifeGolf</v>
      </c>
      <c r="C761" s="21" t="s">
        <v>879</v>
      </c>
      <c r="D761" s="21" t="s">
        <v>1636</v>
      </c>
      <c r="E761" s="22" t="str">
        <f>HYPERLINK("https://twitter.com/TwiTenerifeGolf/status/804361348712951809","804361348712951809")</f>
        <v>804361348712951809</v>
      </c>
      <c r="F761" s="23" t="s">
        <v>41</v>
      </c>
      <c r="G761" s="24">
        <v>1879.0</v>
      </c>
      <c r="H761" s="24">
        <v>937.0</v>
      </c>
      <c r="I761" s="24">
        <v>1.0</v>
      </c>
      <c r="J761" s="24">
        <v>0.0</v>
      </c>
      <c r="K761" s="23" t="s">
        <v>27</v>
      </c>
      <c r="L761" s="25">
        <v>41724.79984953704</v>
      </c>
      <c r="M761" s="26" t="s">
        <v>282</v>
      </c>
      <c r="N761" s="26" t="s">
        <v>881</v>
      </c>
      <c r="O761" s="22" t="str">
        <f>HYPERLINK("https://pbs.twimg.com/profile_images/723156330673000448/xa2FT8Re_normal.jpg","View")</f>
        <v>View</v>
      </c>
      <c r="P761" s="27"/>
    </row>
    <row r="762">
      <c r="A762" s="19">
        <v>42705.687210648146</v>
      </c>
      <c r="B762" s="20" t="str">
        <f>HYPERLINK("https://twitter.com/locarpedom","@locarpedom")</f>
        <v>@locarpedom</v>
      </c>
      <c r="C762" s="21" t="s">
        <v>1637</v>
      </c>
      <c r="D762" s="21" t="s">
        <v>1614</v>
      </c>
      <c r="E762" s="22" t="str">
        <f>HYPERLINK("https://twitter.com/locarpedom/status/804361812556791808","804361812556791808")</f>
        <v>804361812556791808</v>
      </c>
      <c r="F762" s="23" t="s">
        <v>41</v>
      </c>
      <c r="G762" s="24">
        <v>72.0</v>
      </c>
      <c r="H762" s="24">
        <v>103.0</v>
      </c>
      <c r="I762" s="24">
        <v>4.0</v>
      </c>
      <c r="J762" s="24">
        <v>0.0</v>
      </c>
      <c r="K762" s="23" t="s">
        <v>27</v>
      </c>
      <c r="L762" s="25">
        <v>42567.778437500005</v>
      </c>
      <c r="M762" s="26" t="s">
        <v>1289</v>
      </c>
      <c r="N762" s="28"/>
      <c r="O762" s="22" t="str">
        <f>HYPERLINK("https://pbs.twimg.com/profile_images/754371454330933248/Blg3GjUT_normal.jpg","View")</f>
        <v>View</v>
      </c>
      <c r="P762" s="27"/>
    </row>
    <row r="763">
      <c r="A763" s="19">
        <v>42705.689780092594</v>
      </c>
      <c r="B763" s="20" t="str">
        <f>HYPERLINK("https://twitter.com/RakheeV","@RakheeV")</f>
        <v>@RakheeV</v>
      </c>
      <c r="C763" s="21" t="s">
        <v>1240</v>
      </c>
      <c r="D763" s="21" t="s">
        <v>1638</v>
      </c>
      <c r="E763" s="22" t="str">
        <f>HYPERLINK("https://twitter.com/RakheeV/status/804362744325517312","804362744325517312")</f>
        <v>804362744325517312</v>
      </c>
      <c r="F763" s="23" t="s">
        <v>81</v>
      </c>
      <c r="G763" s="24">
        <v>1489.0</v>
      </c>
      <c r="H763" s="24">
        <v>2605.0</v>
      </c>
      <c r="I763" s="24">
        <v>0.0</v>
      </c>
      <c r="J763" s="24">
        <v>0.0</v>
      </c>
      <c r="K763" s="23" t="s">
        <v>27</v>
      </c>
      <c r="L763" s="25">
        <v>40921.93</v>
      </c>
      <c r="M763" s="26" t="s">
        <v>1172</v>
      </c>
      <c r="N763" s="26" t="s">
        <v>1242</v>
      </c>
      <c r="O763" s="22" t="str">
        <f>HYPERLINK("https://pbs.twimg.com/profile_images/742026136801161217/evJgSUlG_normal.jpg","View")</f>
        <v>View</v>
      </c>
      <c r="P763" s="27" t="str">
        <f>HYPERLINK("https://ctrlq.org/maps/address/#28.05276595,-16.70916533","Map")</f>
        <v>#ERROR!</v>
      </c>
    </row>
    <row r="764">
      <c r="A764" s="19">
        <v>42705.691979166666</v>
      </c>
      <c r="B764" s="20" t="str">
        <f>HYPERLINK("https://twitter.com/CJ_TenisClub","@CJ_TenisClub")</f>
        <v>@CJ_TenisClub</v>
      </c>
      <c r="C764" s="21" t="s">
        <v>347</v>
      </c>
      <c r="D764" s="21" t="s">
        <v>348</v>
      </c>
      <c r="E764" s="22" t="str">
        <f>HYPERLINK("https://twitter.com/CJ_TenisClub/status/804363541067264001","804363541067264001")</f>
        <v>804363541067264001</v>
      </c>
      <c r="F764" s="23" t="s">
        <v>69</v>
      </c>
      <c r="G764" s="24">
        <v>214.0</v>
      </c>
      <c r="H764" s="24">
        <v>130.0</v>
      </c>
      <c r="I764" s="24">
        <v>0.0</v>
      </c>
      <c r="J764" s="24">
        <v>0.0</v>
      </c>
      <c r="K764" s="23" t="s">
        <v>27</v>
      </c>
      <c r="L764" s="25">
        <v>41570.99730324074</v>
      </c>
      <c r="M764" s="28"/>
      <c r="N764" s="26" t="s">
        <v>349</v>
      </c>
      <c r="O764" s="22" t="str">
        <f>HYPERLINK("https://pbs.twimg.com/profile_images/718837181683494913/iga7i5m8_normal.jpg","View")</f>
        <v>View</v>
      </c>
      <c r="P764" s="27"/>
    </row>
    <row r="765">
      <c r="A765" s="19">
        <v>42705.69703703704</v>
      </c>
      <c r="B765" s="20" t="str">
        <f>HYPERLINK("https://twitter.com/Abama_Golf","@Abama_Golf")</f>
        <v>@Abama_Golf</v>
      </c>
      <c r="C765" s="21" t="s">
        <v>1639</v>
      </c>
      <c r="D765" s="21" t="s">
        <v>1568</v>
      </c>
      <c r="E765" s="22" t="str">
        <f>HYPERLINK("https://twitter.com/Abama_Golf/status/804365374426906624","804365374426906624")</f>
        <v>804365374426906624</v>
      </c>
      <c r="F765" s="23" t="s">
        <v>26</v>
      </c>
      <c r="G765" s="24">
        <v>140.0</v>
      </c>
      <c r="H765" s="24">
        <v>307.0</v>
      </c>
      <c r="I765" s="24">
        <v>3.0</v>
      </c>
      <c r="J765" s="24">
        <v>0.0</v>
      </c>
      <c r="K765" s="23" t="s">
        <v>27</v>
      </c>
      <c r="L765" s="25">
        <v>42528.5394212963</v>
      </c>
      <c r="M765" s="26" t="s">
        <v>305</v>
      </c>
      <c r="N765" s="28"/>
      <c r="O765" s="22" t="str">
        <f>HYPERLINK("https://pbs.twimg.com/profile_images/747797637475229697/bCtAjnsi_normal.jpg","View")</f>
        <v>View</v>
      </c>
      <c r="P765" s="27"/>
    </row>
    <row r="766">
      <c r="A766" s="19">
        <v>42705.70180555555</v>
      </c>
      <c r="B766" s="20" t="str">
        <f>HYPERLINK("https://twitter.com/Kitesurfio","@Kitesurfio")</f>
        <v>@Kitesurfio</v>
      </c>
      <c r="C766" s="21" t="s">
        <v>1640</v>
      </c>
      <c r="D766" s="21" t="s">
        <v>1633</v>
      </c>
      <c r="E766" s="22" t="str">
        <f>HYPERLINK("https://twitter.com/Kitesurfio/status/804367102819835905","804367102819835905")</f>
        <v>804367102819835905</v>
      </c>
      <c r="F766" s="23" t="s">
        <v>1641</v>
      </c>
      <c r="G766" s="24">
        <v>357.0</v>
      </c>
      <c r="H766" s="24">
        <v>256.0</v>
      </c>
      <c r="I766" s="24">
        <v>2.0</v>
      </c>
      <c r="J766" s="24">
        <v>0.0</v>
      </c>
      <c r="K766" s="23" t="s">
        <v>27</v>
      </c>
      <c r="L766" s="25">
        <v>41675.363958333335</v>
      </c>
      <c r="M766" s="26" t="s">
        <v>1642</v>
      </c>
      <c r="N766" s="26" t="s">
        <v>1643</v>
      </c>
      <c r="O766" s="22" t="str">
        <f>HYPERLINK("https://pbs.twimg.com/profile_images/738606248405278721/oXYhNMVM_normal.jpg","View")</f>
        <v>View</v>
      </c>
      <c r="P766" s="27"/>
    </row>
    <row r="767">
      <c r="A767" s="19">
        <v>42705.701944444445</v>
      </c>
      <c r="B767" s="20" t="str">
        <f>HYPERLINK("https://twitter.com/de1969","@de1969")</f>
        <v>@de1969</v>
      </c>
      <c r="C767" s="21" t="s">
        <v>701</v>
      </c>
      <c r="D767" s="21" t="s">
        <v>1459</v>
      </c>
      <c r="E767" s="22" t="str">
        <f>HYPERLINK("https://twitter.com/de1969/status/804367153638023169","804367153638023169")</f>
        <v>804367153638023169</v>
      </c>
      <c r="F767" s="23" t="s">
        <v>37</v>
      </c>
      <c r="G767" s="24">
        <v>5161.0</v>
      </c>
      <c r="H767" s="24">
        <v>5644.0</v>
      </c>
      <c r="I767" s="24">
        <v>2.0</v>
      </c>
      <c r="J767" s="24">
        <v>0.0</v>
      </c>
      <c r="K767" s="23" t="s">
        <v>27</v>
      </c>
      <c r="L767" s="25">
        <v>40283.409687499996</v>
      </c>
      <c r="M767" s="26" t="s">
        <v>282</v>
      </c>
      <c r="N767" s="26" t="s">
        <v>703</v>
      </c>
      <c r="O767" s="22" t="str">
        <f>HYPERLINK("https://pbs.twimg.com/profile_images/1617162796/S4010009_normal.JPG","View")</f>
        <v>View</v>
      </c>
      <c r="P767" s="27"/>
    </row>
    <row r="768">
      <c r="A768" s="19">
        <v>42705.715370370366</v>
      </c>
      <c r="B768" s="20" t="str">
        <f>HYPERLINK("https://twitter.com/mollymacneil","@mollymacneil")</f>
        <v>@mollymacneil</v>
      </c>
      <c r="C768" s="21" t="s">
        <v>1644</v>
      </c>
      <c r="D768" s="21" t="s">
        <v>1504</v>
      </c>
      <c r="E768" s="22" t="str">
        <f>HYPERLINK("https://twitter.com/mollymacneil/status/804372017927647232","804372017927647232")</f>
        <v>804372017927647232</v>
      </c>
      <c r="F768" s="23" t="s">
        <v>26</v>
      </c>
      <c r="G768" s="24">
        <v>81.0</v>
      </c>
      <c r="H768" s="24">
        <v>312.0</v>
      </c>
      <c r="I768" s="24">
        <v>16.0</v>
      </c>
      <c r="J768" s="24">
        <v>0.0</v>
      </c>
      <c r="K768" s="23" t="s">
        <v>27</v>
      </c>
      <c r="L768" s="25">
        <v>41920.53023148148</v>
      </c>
      <c r="M768" s="28"/>
      <c r="N768" s="28"/>
      <c r="O768" s="22" t="str">
        <f>HYPERLINK("https://pbs.twimg.com/profile_images/635103931127959553/vPLphnVQ_normal.jpg","View")</f>
        <v>View</v>
      </c>
      <c r="P768" s="27"/>
    </row>
    <row r="769">
      <c r="A769" s="19">
        <v>42705.72233796296</v>
      </c>
      <c r="B769" s="20" t="str">
        <f>HYPERLINK("https://twitter.com/CanaryIslandsEN","@CanaryIslandsEN")</f>
        <v>@CanaryIslandsEN</v>
      </c>
      <c r="C769" s="21" t="s">
        <v>165</v>
      </c>
      <c r="D769" s="21" t="s">
        <v>1533</v>
      </c>
      <c r="E769" s="22" t="str">
        <f>HYPERLINK("https://twitter.com/CanaryIslandsEN/status/804374542131019776","804374542131019776")</f>
        <v>804374542131019776</v>
      </c>
      <c r="F769" s="23" t="s">
        <v>41</v>
      </c>
      <c r="G769" s="24">
        <v>14287.0</v>
      </c>
      <c r="H769" s="24">
        <v>1533.0</v>
      </c>
      <c r="I769" s="24">
        <v>10.0</v>
      </c>
      <c r="J769" s="24">
        <v>0.0</v>
      </c>
      <c r="K769" s="23" t="s">
        <v>27</v>
      </c>
      <c r="L769" s="25">
        <v>41264.365949074076</v>
      </c>
      <c r="M769" s="26" t="s">
        <v>168</v>
      </c>
      <c r="N769" s="26" t="s">
        <v>169</v>
      </c>
      <c r="O769" s="22" t="str">
        <f>HYPERLINK("https://pbs.twimg.com/profile_images/754960714704584704/14dQxsF8_normal.jpg","View")</f>
        <v>View</v>
      </c>
      <c r="P769" s="27"/>
    </row>
    <row r="770">
      <c r="A770" s="19">
        <v>42705.73438657407</v>
      </c>
      <c r="B770" s="20" t="str">
        <f>HYPERLINK("https://twitter.com/Luci_Ducci","@Luci_Ducci")</f>
        <v>@Luci_Ducci</v>
      </c>
      <c r="C770" s="21" t="s">
        <v>1645</v>
      </c>
      <c r="D770" s="21" t="s">
        <v>1646</v>
      </c>
      <c r="E770" s="22" t="str">
        <f>HYPERLINK("https://twitter.com/Luci_Ducci/status/804378908271505410","804378908271505410")</f>
        <v>804378908271505410</v>
      </c>
      <c r="F770" s="23" t="s">
        <v>81</v>
      </c>
      <c r="G770" s="24">
        <v>100.0</v>
      </c>
      <c r="H770" s="24">
        <v>319.0</v>
      </c>
      <c r="I770" s="24">
        <v>0.0</v>
      </c>
      <c r="J770" s="24">
        <v>0.0</v>
      </c>
      <c r="K770" s="23" t="s">
        <v>27</v>
      </c>
      <c r="L770" s="25">
        <v>40795.403912037036</v>
      </c>
      <c r="M770" s="26" t="s">
        <v>1339</v>
      </c>
      <c r="N770" s="26" t="s">
        <v>1647</v>
      </c>
      <c r="O770" s="22" t="str">
        <f>HYPERLINK("https://pbs.twimg.com/profile_images/762044182034804736/oDNgzt2O_normal.jpg","View")</f>
        <v>View</v>
      </c>
      <c r="P770" s="27" t="str">
        <f>HYPERLINK("https://ctrlq.org/maps/address/#28.55462616,-16.34531931","Map")</f>
        <v>#ERROR!</v>
      </c>
    </row>
    <row r="771">
      <c r="A771" s="19">
        <v>42705.73751157407</v>
      </c>
      <c r="B771" s="20" t="str">
        <f>HYPERLINK("https://twitter.com/41eynur","@41eynur")</f>
        <v>@41eynur</v>
      </c>
      <c r="C771" s="21" t="s">
        <v>1648</v>
      </c>
      <c r="D771" s="21" t="s">
        <v>1649</v>
      </c>
      <c r="E771" s="22" t="str">
        <f>HYPERLINK("https://twitter.com/41eynur/status/804380040968409088","804380040968409088")</f>
        <v>804380040968409088</v>
      </c>
      <c r="F771" s="23" t="s">
        <v>41</v>
      </c>
      <c r="G771" s="24">
        <v>7700.0</v>
      </c>
      <c r="H771" s="24">
        <v>7974.0</v>
      </c>
      <c r="I771" s="24">
        <v>1.0</v>
      </c>
      <c r="J771" s="24">
        <v>0.0</v>
      </c>
      <c r="K771" s="23" t="s">
        <v>27</v>
      </c>
      <c r="L771" s="25">
        <v>41907.98613425926</v>
      </c>
      <c r="M771" s="26" t="s">
        <v>1650</v>
      </c>
      <c r="N771" s="26" t="s">
        <v>1651</v>
      </c>
      <c r="O771" s="22" t="str">
        <f>HYPERLINK("https://pbs.twimg.com/profile_images/705297346964361216/0mCFqfmj_normal.jpg","View")</f>
        <v>View</v>
      </c>
      <c r="P771" s="27"/>
    </row>
    <row r="772">
      <c r="A772" s="19">
        <v>42705.74674768519</v>
      </c>
      <c r="B772" s="20" t="str">
        <f>HYPERLINK("https://twitter.com/litrema","@litrema")</f>
        <v>@litrema</v>
      </c>
      <c r="C772" s="21" t="s">
        <v>1652</v>
      </c>
      <c r="D772" s="21" t="s">
        <v>1504</v>
      </c>
      <c r="E772" s="22" t="str">
        <f>HYPERLINK("https://twitter.com/litrema/status/804383389495230464","804383389495230464")</f>
        <v>804383389495230464</v>
      </c>
      <c r="F772" s="23" t="s">
        <v>41</v>
      </c>
      <c r="G772" s="24">
        <v>150.0</v>
      </c>
      <c r="H772" s="24">
        <v>365.0</v>
      </c>
      <c r="I772" s="24">
        <v>16.0</v>
      </c>
      <c r="J772" s="24">
        <v>0.0</v>
      </c>
      <c r="K772" s="23" t="s">
        <v>27</v>
      </c>
      <c r="L772" s="25">
        <v>40574.906793981485</v>
      </c>
      <c r="M772" s="26" t="s">
        <v>1653</v>
      </c>
      <c r="N772" s="26" t="s">
        <v>1654</v>
      </c>
      <c r="O772" s="22" t="str">
        <f>HYPERLINK("https://pbs.twimg.com/profile_images/804782735277641728/xkih5XQH_normal.jpg","View")</f>
        <v>View</v>
      </c>
      <c r="P772" s="27"/>
    </row>
    <row r="773">
      <c r="A773" s="19">
        <v>42705.75284722222</v>
      </c>
      <c r="B773" s="20" t="str">
        <f>HYPERLINK("https://twitter.com/Teclemdz","@Teclemdz")</f>
        <v>@Teclemdz</v>
      </c>
      <c r="C773" s="21" t="s">
        <v>1655</v>
      </c>
      <c r="D773" s="21" t="s">
        <v>1656</v>
      </c>
      <c r="E773" s="22" t="str">
        <f>HYPERLINK("https://twitter.com/Teclemdz/status/804385602200358913","804385602200358913")</f>
        <v>804385602200358913</v>
      </c>
      <c r="F773" s="23" t="s">
        <v>81</v>
      </c>
      <c r="G773" s="24">
        <v>1375.0</v>
      </c>
      <c r="H773" s="24">
        <v>1998.0</v>
      </c>
      <c r="I773" s="24">
        <v>0.0</v>
      </c>
      <c r="J773" s="24">
        <v>1.0</v>
      </c>
      <c r="K773" s="23" t="s">
        <v>27</v>
      </c>
      <c r="L773" s="25">
        <v>40695.71601851852</v>
      </c>
      <c r="M773" s="26" t="s">
        <v>1084</v>
      </c>
      <c r="N773" s="26" t="s">
        <v>1657</v>
      </c>
      <c r="O773" s="22" t="str">
        <f>HYPERLINK("https://pbs.twimg.com/profile_images/488434731617230848/VVpFBnBi_normal.jpeg","View")</f>
        <v>View</v>
      </c>
      <c r="P773" s="27" t="str">
        <f>HYPERLINK("https://ctrlq.org/maps/address/#28.3542,-16.5843","Map")</f>
        <v>#ERROR!</v>
      </c>
    </row>
    <row r="774">
      <c r="A774" s="19">
        <v>42705.7559375</v>
      </c>
      <c r="B774" s="20" t="str">
        <f>HYPERLINK("https://twitter.com/MattHills_TC","@MattHills_TC")</f>
        <v>@MattHills_TC</v>
      </c>
      <c r="C774" s="21" t="s">
        <v>1658</v>
      </c>
      <c r="D774" s="21" t="s">
        <v>1659</v>
      </c>
      <c r="E774" s="22" t="str">
        <f>HYPERLINK("https://twitter.com/MattHills_TC/status/804386721228062721","804386721228062721")</f>
        <v>804386721228062721</v>
      </c>
      <c r="F774" s="23" t="s">
        <v>26</v>
      </c>
      <c r="G774" s="24">
        <v>60.0</v>
      </c>
      <c r="H774" s="24">
        <v>117.0</v>
      </c>
      <c r="I774" s="24">
        <v>0.0</v>
      </c>
      <c r="J774" s="24">
        <v>0.0</v>
      </c>
      <c r="K774" s="23" t="s">
        <v>27</v>
      </c>
      <c r="L774" s="25">
        <v>42621.5577199074</v>
      </c>
      <c r="M774" s="26" t="s">
        <v>1660</v>
      </c>
      <c r="N774" s="26" t="s">
        <v>1661</v>
      </c>
      <c r="O774" s="22" t="str">
        <f>HYPERLINK("https://pbs.twimg.com/profile_images/773865749974749184/Ob99ivaR_normal.jpg","View")</f>
        <v>View</v>
      </c>
      <c r="P774" s="27"/>
    </row>
    <row r="775">
      <c r="A775" s="19">
        <v>42705.76141203704</v>
      </c>
      <c r="B775" s="20" t="str">
        <f>HYPERLINK("https://twitter.com/Tenerife_Photo","@Tenerife_Photo")</f>
        <v>@Tenerife_Photo</v>
      </c>
      <c r="C775" s="21" t="s">
        <v>299</v>
      </c>
      <c r="D775" s="21" t="s">
        <v>1662</v>
      </c>
      <c r="E775" s="22" t="str">
        <f>HYPERLINK("https://twitter.com/Tenerife_Photo/status/804388704164999168","804388704164999168")</f>
        <v>804388704164999168</v>
      </c>
      <c r="F775" s="23" t="s">
        <v>37</v>
      </c>
      <c r="G775" s="24">
        <v>309.0</v>
      </c>
      <c r="H775" s="24">
        <v>156.0</v>
      </c>
      <c r="I775" s="24">
        <v>6.0</v>
      </c>
      <c r="J775" s="24">
        <v>13.0</v>
      </c>
      <c r="K775" s="23" t="s">
        <v>27</v>
      </c>
      <c r="L775" s="25">
        <v>40198.78372685185</v>
      </c>
      <c r="M775" s="26" t="s">
        <v>301</v>
      </c>
      <c r="N775" s="26" t="s">
        <v>302</v>
      </c>
      <c r="O775" s="22" t="str">
        <f>HYPERLINK("https://pbs.twimg.com/profile_images/783793821234651136/01e22aGG_normal.jpg","View")</f>
        <v>View</v>
      </c>
      <c r="P775" s="27"/>
    </row>
    <row r="776">
      <c r="A776" s="19">
        <v>42705.782442129625</v>
      </c>
      <c r="B776" s="20" t="str">
        <f>HYPERLINK("https://twitter.com/JPinFuerte","@JPinFuerte")</f>
        <v>@JPinFuerte</v>
      </c>
      <c r="C776" s="21" t="s">
        <v>1663</v>
      </c>
      <c r="D776" s="21" t="s">
        <v>1664</v>
      </c>
      <c r="E776" s="22" t="str">
        <f>HYPERLINK("https://twitter.com/JPinFuerte/status/804396322916855808","804396322916855808")</f>
        <v>804396322916855808</v>
      </c>
      <c r="F776" s="23" t="s">
        <v>41</v>
      </c>
      <c r="G776" s="24">
        <v>35.0</v>
      </c>
      <c r="H776" s="24">
        <v>51.0</v>
      </c>
      <c r="I776" s="24">
        <v>0.0</v>
      </c>
      <c r="J776" s="24">
        <v>2.0</v>
      </c>
      <c r="K776" s="23" t="s">
        <v>27</v>
      </c>
      <c r="L776" s="25">
        <v>42380.993009259255</v>
      </c>
      <c r="M776" s="26" t="s">
        <v>1665</v>
      </c>
      <c r="N776" s="26" t="s">
        <v>1666</v>
      </c>
      <c r="O776" s="22" t="str">
        <f>HYPERLINK("https://pbs.twimg.com/profile_images/738321624227811328/MRgGnTUp_normal.jpg","View")</f>
        <v>View</v>
      </c>
      <c r="P776" s="27"/>
    </row>
    <row r="777">
      <c r="A777" s="19">
        <v>42705.78675925926</v>
      </c>
      <c r="B777" s="20" t="str">
        <f t="shared" ref="B777:B778" si="91">HYPERLINK("https://twitter.com/Ramon_SuarezO","@Ramon_SuarezO")</f>
        <v>@Ramon_SuarezO</v>
      </c>
      <c r="C777" s="21" t="s">
        <v>1667</v>
      </c>
      <c r="D777" s="21" t="s">
        <v>1247</v>
      </c>
      <c r="E777" s="22" t="str">
        <f>HYPERLINK("https://twitter.com/Ramon_SuarezO/status/804397887518023680","804397887518023680")</f>
        <v>804397887518023680</v>
      </c>
      <c r="F777" s="23" t="s">
        <v>26</v>
      </c>
      <c r="G777" s="24">
        <v>1630.0</v>
      </c>
      <c r="H777" s="24">
        <v>591.0</v>
      </c>
      <c r="I777" s="24">
        <v>2.0</v>
      </c>
      <c r="J777" s="24">
        <v>0.0</v>
      </c>
      <c r="K777" s="23" t="s">
        <v>27</v>
      </c>
      <c r="L777" s="25">
        <v>41231.489282407405</v>
      </c>
      <c r="M777" s="26" t="s">
        <v>1668</v>
      </c>
      <c r="N777" s="26" t="s">
        <v>1669</v>
      </c>
      <c r="O777" s="22" t="str">
        <f t="shared" ref="O777:O778" si="92">HYPERLINK("https://pbs.twimg.com/profile_images/780887490089652224/gGE5HqUQ_normal.jpg","View")</f>
        <v>View</v>
      </c>
      <c r="P777" s="27"/>
    </row>
    <row r="778">
      <c r="A778" s="19">
        <v>42705.78711805555</v>
      </c>
      <c r="B778" s="20" t="str">
        <f t="shared" si="91"/>
        <v>@Ramon_SuarezO</v>
      </c>
      <c r="C778" s="21" t="s">
        <v>1667</v>
      </c>
      <c r="D778" s="21" t="s">
        <v>288</v>
      </c>
      <c r="E778" s="22" t="str">
        <f>HYPERLINK("https://twitter.com/Ramon_SuarezO/status/804398019768680449","804398019768680449")</f>
        <v>804398019768680449</v>
      </c>
      <c r="F778" s="23" t="s">
        <v>26</v>
      </c>
      <c r="G778" s="24">
        <v>1630.0</v>
      </c>
      <c r="H778" s="24">
        <v>591.0</v>
      </c>
      <c r="I778" s="24">
        <v>12.0</v>
      </c>
      <c r="J778" s="24">
        <v>0.0</v>
      </c>
      <c r="K778" s="23" t="s">
        <v>27</v>
      </c>
      <c r="L778" s="25">
        <v>41231.489282407405</v>
      </c>
      <c r="M778" s="26" t="s">
        <v>1668</v>
      </c>
      <c r="N778" s="26" t="s">
        <v>1669</v>
      </c>
      <c r="O778" s="22" t="str">
        <f t="shared" si="92"/>
        <v>View</v>
      </c>
      <c r="P778" s="27"/>
    </row>
    <row r="779">
      <c r="A779" s="19">
        <v>42705.79548611111</v>
      </c>
      <c r="B779" s="20" t="str">
        <f>HYPERLINK("https://twitter.com/RakheeV","@RakheeV")</f>
        <v>@RakheeV</v>
      </c>
      <c r="C779" s="21" t="s">
        <v>1240</v>
      </c>
      <c r="D779" s="21" t="s">
        <v>1670</v>
      </c>
      <c r="E779" s="22" t="str">
        <f>HYPERLINK("https://twitter.com/RakheeV/status/804401050069307392","804401050069307392")</f>
        <v>804401050069307392</v>
      </c>
      <c r="F779" s="23" t="s">
        <v>81</v>
      </c>
      <c r="G779" s="24">
        <v>1489.0</v>
      </c>
      <c r="H779" s="24">
        <v>2605.0</v>
      </c>
      <c r="I779" s="24">
        <v>0.0</v>
      </c>
      <c r="J779" s="24">
        <v>0.0</v>
      </c>
      <c r="K779" s="23" t="s">
        <v>27</v>
      </c>
      <c r="L779" s="25">
        <v>40921.93</v>
      </c>
      <c r="M779" s="26" t="s">
        <v>1172</v>
      </c>
      <c r="N779" s="26" t="s">
        <v>1242</v>
      </c>
      <c r="O779" s="22" t="str">
        <f>HYPERLINK("https://pbs.twimg.com/profile_images/742026136801161217/evJgSUlG_normal.jpg","View")</f>
        <v>View</v>
      </c>
      <c r="P779" s="27" t="str">
        <f t="shared" ref="P779:P780" si="93">HYPERLINK("https://ctrlq.org/maps/address/#28.05276595,-16.70916533","Map")</f>
        <v>#ERROR!</v>
      </c>
    </row>
    <row r="780">
      <c r="A780" s="19">
        <v>42705.80502314815</v>
      </c>
      <c r="B780" s="20" t="str">
        <f>HYPERLINK("https://twitter.com/iBydaute","@iBydaute")</f>
        <v>@iBydaute</v>
      </c>
      <c r="C780" s="21" t="s">
        <v>209</v>
      </c>
      <c r="D780" s="21" t="s">
        <v>1671</v>
      </c>
      <c r="E780" s="22" t="str">
        <f>HYPERLINK("https://twitter.com/iBydaute/status/804404509048877056","804404509048877056")</f>
        <v>804404509048877056</v>
      </c>
      <c r="F780" s="23" t="s">
        <v>81</v>
      </c>
      <c r="G780" s="24">
        <v>581.0</v>
      </c>
      <c r="H780" s="24">
        <v>2037.0</v>
      </c>
      <c r="I780" s="24">
        <v>0.0</v>
      </c>
      <c r="J780" s="24">
        <v>0.0</v>
      </c>
      <c r="K780" s="23" t="s">
        <v>27</v>
      </c>
      <c r="L780" s="25">
        <v>39919.48771990741</v>
      </c>
      <c r="M780" s="26" t="s">
        <v>211</v>
      </c>
      <c r="N780" s="26" t="s">
        <v>212</v>
      </c>
      <c r="O780" s="22" t="str">
        <f>HYPERLINK("https://pbs.twimg.com/profile_images/703743884745187328/qEMih7VE_normal.jpg","View")</f>
        <v>View</v>
      </c>
      <c r="P780" s="27" t="str">
        <f t="shared" si="93"/>
        <v>#ERROR!</v>
      </c>
    </row>
    <row r="781">
      <c r="A781" s="19">
        <v>42705.80940972222</v>
      </c>
      <c r="B781" s="20" t="str">
        <f>HYPERLINK("https://twitter.com/dansmithVL","@dansmithVL")</f>
        <v>@dansmithVL</v>
      </c>
      <c r="C781" s="21" t="s">
        <v>1672</v>
      </c>
      <c r="D781" s="21" t="s">
        <v>1673</v>
      </c>
      <c r="E781" s="22" t="str">
        <f>HYPERLINK("https://twitter.com/dansmithVL/status/804406099323584513","804406099323584513")</f>
        <v>804406099323584513</v>
      </c>
      <c r="F781" s="23" t="s">
        <v>401</v>
      </c>
      <c r="G781" s="24">
        <v>329.0</v>
      </c>
      <c r="H781" s="24">
        <v>770.0</v>
      </c>
      <c r="I781" s="24">
        <v>1.0</v>
      </c>
      <c r="J781" s="24">
        <v>0.0</v>
      </c>
      <c r="K781" s="23" t="s">
        <v>27</v>
      </c>
      <c r="L781" s="25">
        <v>42306.44861111111</v>
      </c>
      <c r="M781" s="26" t="s">
        <v>130</v>
      </c>
      <c r="N781" s="26" t="s">
        <v>1674</v>
      </c>
      <c r="O781" s="22" t="str">
        <f>HYPERLINK("https://pbs.twimg.com/profile_images/717563271973179394/rLYoSVlC_normal.jpg","View")</f>
        <v>View</v>
      </c>
      <c r="P781" s="27"/>
    </row>
    <row r="782">
      <c r="A782" s="19">
        <v>42705.809479166666</v>
      </c>
      <c r="B782" s="20" t="str">
        <f>HYPERLINK("https://twitter.com/About2Cruise","@About2Cruise")</f>
        <v>@About2Cruise</v>
      </c>
      <c r="C782" s="21" t="s">
        <v>1675</v>
      </c>
      <c r="D782" s="21" t="s">
        <v>1676</v>
      </c>
      <c r="E782" s="22" t="str">
        <f>HYPERLINK("https://twitter.com/About2Cruise/status/804406122853658624","804406122853658624")</f>
        <v>804406122853658624</v>
      </c>
      <c r="F782" s="23" t="s">
        <v>401</v>
      </c>
      <c r="G782" s="24">
        <v>3031.0</v>
      </c>
      <c r="H782" s="24">
        <v>2230.0</v>
      </c>
      <c r="I782" s="24">
        <v>0.0</v>
      </c>
      <c r="J782" s="24">
        <v>0.0</v>
      </c>
      <c r="K782" s="23" t="s">
        <v>27</v>
      </c>
      <c r="L782" s="25">
        <v>39987.525555555556</v>
      </c>
      <c r="M782" s="26" t="s">
        <v>583</v>
      </c>
      <c r="N782" s="26" t="s">
        <v>1677</v>
      </c>
      <c r="O782" s="22" t="str">
        <f>HYPERLINK("https://pbs.twimg.com/profile_images/3598551561/23a2cd8c88b40f419d60592a1dd8d9a1_normal.png","View")</f>
        <v>View</v>
      </c>
      <c r="P782" s="27"/>
    </row>
    <row r="783">
      <c r="A783" s="19">
        <v>42705.8215625</v>
      </c>
      <c r="B783" s="20" t="str">
        <f t="shared" ref="B783:B788" si="94">HYPERLINK("https://twitter.com/bermaxo09","@bermaxo09")</f>
        <v>@bermaxo09</v>
      </c>
      <c r="C783" s="21" t="s">
        <v>284</v>
      </c>
      <c r="D783" s="21" t="s">
        <v>1678</v>
      </c>
      <c r="E783" s="22" t="str">
        <f>HYPERLINK("https://twitter.com/bermaxo09/status/804410500322762752","804410500322762752")</f>
        <v>804410500322762752</v>
      </c>
      <c r="F783" s="23" t="s">
        <v>37</v>
      </c>
      <c r="G783" s="24">
        <v>193.0</v>
      </c>
      <c r="H783" s="24">
        <v>196.0</v>
      </c>
      <c r="I783" s="24">
        <v>1.0</v>
      </c>
      <c r="J783" s="24">
        <v>4.0</v>
      </c>
      <c r="K783" s="23" t="s">
        <v>27</v>
      </c>
      <c r="L783" s="25">
        <v>42689.441516203704</v>
      </c>
      <c r="M783" s="26" t="s">
        <v>109</v>
      </c>
      <c r="N783" s="26" t="s">
        <v>286</v>
      </c>
      <c r="O783" s="22" t="str">
        <f t="shared" ref="O783:O788" si="95">HYPERLINK("https://pbs.twimg.com/profile_images/798476790478073856/iOD0HIRa_normal.jpg","View")</f>
        <v>View</v>
      </c>
      <c r="P783" s="27"/>
    </row>
    <row r="784">
      <c r="A784" s="19">
        <v>42705.82469907407</v>
      </c>
      <c r="B784" s="20" t="str">
        <f t="shared" si="94"/>
        <v>@bermaxo09</v>
      </c>
      <c r="C784" s="21" t="s">
        <v>284</v>
      </c>
      <c r="D784" s="21" t="s">
        <v>1679</v>
      </c>
      <c r="E784" s="22" t="str">
        <f>HYPERLINK("https://twitter.com/bermaxo09/status/804411636337389568","804411636337389568")</f>
        <v>804411636337389568</v>
      </c>
      <c r="F784" s="23" t="s">
        <v>37</v>
      </c>
      <c r="G784" s="24">
        <v>193.0</v>
      </c>
      <c r="H784" s="24">
        <v>196.0</v>
      </c>
      <c r="I784" s="24">
        <v>2.0</v>
      </c>
      <c r="J784" s="24">
        <v>5.0</v>
      </c>
      <c r="K784" s="23" t="s">
        <v>27</v>
      </c>
      <c r="L784" s="25">
        <v>42689.441516203704</v>
      </c>
      <c r="M784" s="26" t="s">
        <v>109</v>
      </c>
      <c r="N784" s="26" t="s">
        <v>286</v>
      </c>
      <c r="O784" s="22" t="str">
        <f t="shared" si="95"/>
        <v>View</v>
      </c>
      <c r="P784" s="27"/>
    </row>
    <row r="785">
      <c r="A785" s="19">
        <v>42705.8257175926</v>
      </c>
      <c r="B785" s="20" t="str">
        <f t="shared" si="94"/>
        <v>@bermaxo09</v>
      </c>
      <c r="C785" s="21" t="s">
        <v>284</v>
      </c>
      <c r="D785" s="21" t="s">
        <v>1680</v>
      </c>
      <c r="E785" s="22" t="str">
        <f>HYPERLINK("https://twitter.com/bermaxo09/status/804412009152331776","804412009152331776")</f>
        <v>804412009152331776</v>
      </c>
      <c r="F785" s="23" t="s">
        <v>37</v>
      </c>
      <c r="G785" s="24">
        <v>193.0</v>
      </c>
      <c r="H785" s="24">
        <v>196.0</v>
      </c>
      <c r="I785" s="24">
        <v>2.0</v>
      </c>
      <c r="J785" s="24">
        <v>5.0</v>
      </c>
      <c r="K785" s="23" t="s">
        <v>27</v>
      </c>
      <c r="L785" s="25">
        <v>42689.441516203704</v>
      </c>
      <c r="M785" s="26" t="s">
        <v>109</v>
      </c>
      <c r="N785" s="26" t="s">
        <v>286</v>
      </c>
      <c r="O785" s="22" t="str">
        <f t="shared" si="95"/>
        <v>View</v>
      </c>
      <c r="P785" s="27"/>
    </row>
    <row r="786">
      <c r="A786" s="19">
        <v>42705.82711805556</v>
      </c>
      <c r="B786" s="20" t="str">
        <f t="shared" si="94"/>
        <v>@bermaxo09</v>
      </c>
      <c r="C786" s="21" t="s">
        <v>284</v>
      </c>
      <c r="D786" s="21" t="s">
        <v>1681</v>
      </c>
      <c r="E786" s="22" t="str">
        <f>HYPERLINK("https://twitter.com/bermaxo09/status/804412513597034496","804412513597034496")</f>
        <v>804412513597034496</v>
      </c>
      <c r="F786" s="23" t="s">
        <v>37</v>
      </c>
      <c r="G786" s="24">
        <v>193.0</v>
      </c>
      <c r="H786" s="24">
        <v>196.0</v>
      </c>
      <c r="I786" s="24">
        <v>0.0</v>
      </c>
      <c r="J786" s="24">
        <v>3.0</v>
      </c>
      <c r="K786" s="23" t="s">
        <v>27</v>
      </c>
      <c r="L786" s="25">
        <v>42689.441516203704</v>
      </c>
      <c r="M786" s="26" t="s">
        <v>109</v>
      </c>
      <c r="N786" s="26" t="s">
        <v>286</v>
      </c>
      <c r="O786" s="22" t="str">
        <f t="shared" si="95"/>
        <v>View</v>
      </c>
      <c r="P786" s="27"/>
    </row>
    <row r="787">
      <c r="A787" s="19">
        <v>42705.82896990741</v>
      </c>
      <c r="B787" s="20" t="str">
        <f t="shared" si="94"/>
        <v>@bermaxo09</v>
      </c>
      <c r="C787" s="21" t="s">
        <v>284</v>
      </c>
      <c r="D787" s="21" t="s">
        <v>1682</v>
      </c>
      <c r="E787" s="22" t="str">
        <f>HYPERLINK("https://twitter.com/bermaxo09/status/804413185415520256","804413185415520256")</f>
        <v>804413185415520256</v>
      </c>
      <c r="F787" s="23" t="s">
        <v>37</v>
      </c>
      <c r="G787" s="24">
        <v>193.0</v>
      </c>
      <c r="H787" s="24">
        <v>196.0</v>
      </c>
      <c r="I787" s="24">
        <v>1.0</v>
      </c>
      <c r="J787" s="24">
        <v>5.0</v>
      </c>
      <c r="K787" s="23" t="s">
        <v>27</v>
      </c>
      <c r="L787" s="25">
        <v>42689.441516203704</v>
      </c>
      <c r="M787" s="26" t="s">
        <v>109</v>
      </c>
      <c r="N787" s="26" t="s">
        <v>286</v>
      </c>
      <c r="O787" s="22" t="str">
        <f t="shared" si="95"/>
        <v>View</v>
      </c>
      <c r="P787" s="27"/>
    </row>
    <row r="788">
      <c r="A788" s="19">
        <v>42705.830196759256</v>
      </c>
      <c r="B788" s="20" t="str">
        <f t="shared" si="94"/>
        <v>@bermaxo09</v>
      </c>
      <c r="C788" s="21" t="s">
        <v>284</v>
      </c>
      <c r="D788" s="21" t="s">
        <v>1683</v>
      </c>
      <c r="E788" s="22" t="str">
        <f>HYPERLINK("https://twitter.com/bermaxo09/status/804413629386760192","804413629386760192")</f>
        <v>804413629386760192</v>
      </c>
      <c r="F788" s="23" t="s">
        <v>37</v>
      </c>
      <c r="G788" s="24">
        <v>193.0</v>
      </c>
      <c r="H788" s="24">
        <v>196.0</v>
      </c>
      <c r="I788" s="24">
        <v>0.0</v>
      </c>
      <c r="J788" s="24">
        <v>3.0</v>
      </c>
      <c r="K788" s="23" t="s">
        <v>27</v>
      </c>
      <c r="L788" s="25">
        <v>42689.441516203704</v>
      </c>
      <c r="M788" s="26" t="s">
        <v>109</v>
      </c>
      <c r="N788" s="26" t="s">
        <v>286</v>
      </c>
      <c r="O788" s="22" t="str">
        <f t="shared" si="95"/>
        <v>View</v>
      </c>
      <c r="P788" s="27"/>
    </row>
    <row r="789">
      <c r="A789" s="19">
        <v>42705.831041666665</v>
      </c>
      <c r="B789" s="20" t="str">
        <f>HYPERLINK("https://twitter.com/EmmamaryT","@EmmamaryT")</f>
        <v>@EmmamaryT</v>
      </c>
      <c r="C789" s="21" t="s">
        <v>1684</v>
      </c>
      <c r="D789" s="21" t="s">
        <v>1685</v>
      </c>
      <c r="E789" s="22" t="str">
        <f>HYPERLINK("https://twitter.com/EmmamaryT/status/804413936770682880","804413936770682880")</f>
        <v>804413936770682880</v>
      </c>
      <c r="F789" s="23" t="s">
        <v>26</v>
      </c>
      <c r="G789" s="24">
        <v>561.0</v>
      </c>
      <c r="H789" s="24">
        <v>1328.0</v>
      </c>
      <c r="I789" s="24">
        <v>1.0</v>
      </c>
      <c r="J789" s="24">
        <v>2.0</v>
      </c>
      <c r="K789" s="23" t="s">
        <v>27</v>
      </c>
      <c r="L789" s="25">
        <v>39913.818449074075</v>
      </c>
      <c r="M789" s="26" t="s">
        <v>1686</v>
      </c>
      <c r="N789" s="26" t="s">
        <v>1687</v>
      </c>
      <c r="O789" s="22" t="str">
        <f>HYPERLINK("https://pbs.twimg.com/profile_images/552592000244281344/bJEUsjQU_normal.jpeg","View")</f>
        <v>View</v>
      </c>
      <c r="P789" s="27"/>
    </row>
    <row r="790">
      <c r="A790" s="19">
        <v>42705.83195601852</v>
      </c>
      <c r="B790" s="20" t="str">
        <f>HYPERLINK("https://twitter.com/CanaryIslandsEN","@CanaryIslandsEN")</f>
        <v>@CanaryIslandsEN</v>
      </c>
      <c r="C790" s="21" t="s">
        <v>165</v>
      </c>
      <c r="D790" s="21" t="s">
        <v>1688</v>
      </c>
      <c r="E790" s="22" t="str">
        <f>HYPERLINK("https://twitter.com/CanaryIslandsEN/status/804414269890633728","804414269890633728")</f>
        <v>804414269890633728</v>
      </c>
      <c r="F790" s="23" t="s">
        <v>167</v>
      </c>
      <c r="G790" s="24">
        <v>14287.0</v>
      </c>
      <c r="H790" s="24">
        <v>1533.0</v>
      </c>
      <c r="I790" s="24">
        <v>1.0</v>
      </c>
      <c r="J790" s="24">
        <v>3.0</v>
      </c>
      <c r="K790" s="23" t="s">
        <v>27</v>
      </c>
      <c r="L790" s="25">
        <v>41264.365949074076</v>
      </c>
      <c r="M790" s="26" t="s">
        <v>168</v>
      </c>
      <c r="N790" s="26" t="s">
        <v>169</v>
      </c>
      <c r="O790" s="22" t="str">
        <f>HYPERLINK("https://pbs.twimg.com/profile_images/754960714704584704/14dQxsF8_normal.jpg","View")</f>
        <v>View</v>
      </c>
      <c r="P790" s="27"/>
    </row>
    <row r="791">
      <c r="A791" s="19">
        <v>42705.83226851852</v>
      </c>
      <c r="B791" s="20" t="str">
        <f>HYPERLINK("https://twitter.com/enduriaholidays","@enduriaholidays")</f>
        <v>@enduriaholidays</v>
      </c>
      <c r="C791" s="21" t="s">
        <v>173</v>
      </c>
      <c r="D791" s="21" t="s">
        <v>1689</v>
      </c>
      <c r="E791" s="22" t="str">
        <f>HYPERLINK("https://twitter.com/enduriaholidays/status/804414381757005825","804414381757005825")</f>
        <v>804414381757005825</v>
      </c>
      <c r="F791" s="23" t="s">
        <v>69</v>
      </c>
      <c r="G791" s="24">
        <v>319.0</v>
      </c>
      <c r="H791" s="24">
        <v>313.0</v>
      </c>
      <c r="I791" s="24">
        <v>0.0</v>
      </c>
      <c r="J791" s="24">
        <v>0.0</v>
      </c>
      <c r="K791" s="23" t="s">
        <v>27</v>
      </c>
      <c r="L791" s="25">
        <v>42489.5252662037</v>
      </c>
      <c r="M791" s="28"/>
      <c r="N791" s="28"/>
      <c r="O791" s="22" t="str">
        <f>HYPERLINK("https://pbs.twimg.com/profile_images/726026649356128258/xCSaP1IW_normal.jpg","View")</f>
        <v>View</v>
      </c>
      <c r="P791" s="27"/>
    </row>
    <row r="792">
      <c r="A792" s="19">
        <v>42705.83851851852</v>
      </c>
      <c r="B792" s="20" t="str">
        <f>HYPERLINK("https://twitter.com/zipporahs","@zipporahs")</f>
        <v>@zipporahs</v>
      </c>
      <c r="C792" s="21" t="s">
        <v>1690</v>
      </c>
      <c r="D792" s="21" t="s">
        <v>1691</v>
      </c>
      <c r="E792" s="22" t="str">
        <f>HYPERLINK("https://twitter.com/zipporahs/status/804416644533600257","804416644533600257")</f>
        <v>804416644533600257</v>
      </c>
      <c r="F792" s="23" t="s">
        <v>1074</v>
      </c>
      <c r="G792" s="24">
        <v>154099.0</v>
      </c>
      <c r="H792" s="24">
        <v>50542.0</v>
      </c>
      <c r="I792" s="24">
        <v>1.0</v>
      </c>
      <c r="J792" s="24">
        <v>0.0</v>
      </c>
      <c r="K792" s="23" t="s">
        <v>27</v>
      </c>
      <c r="L792" s="25">
        <v>39738.12626157407</v>
      </c>
      <c r="M792" s="26" t="s">
        <v>1692</v>
      </c>
      <c r="N792" s="26" t="s">
        <v>1693</v>
      </c>
      <c r="O792" s="22" t="str">
        <f>HYPERLINK("https://pbs.twimg.com/profile_images/435411830677057537/tVVekG4V_normal.jpeg","View")</f>
        <v>View</v>
      </c>
      <c r="P792" s="27"/>
    </row>
    <row r="793">
      <c r="A793" s="19">
        <v>42705.84313657407</v>
      </c>
      <c r="B793" s="20" t="str">
        <f t="shared" ref="B793:B794" si="96">HYPERLINK("https://twitter.com/bermaxo09","@bermaxo09")</f>
        <v>@bermaxo09</v>
      </c>
      <c r="C793" s="21" t="s">
        <v>284</v>
      </c>
      <c r="D793" s="21" t="s">
        <v>1694</v>
      </c>
      <c r="E793" s="22" t="str">
        <f>HYPERLINK("https://twitter.com/bermaxo09/status/804418320044736512","804418320044736512")</f>
        <v>804418320044736512</v>
      </c>
      <c r="F793" s="23" t="s">
        <v>37</v>
      </c>
      <c r="G793" s="24">
        <v>193.0</v>
      </c>
      <c r="H793" s="24">
        <v>196.0</v>
      </c>
      <c r="I793" s="24">
        <v>0.0</v>
      </c>
      <c r="J793" s="24">
        <v>2.0</v>
      </c>
      <c r="K793" s="23" t="s">
        <v>27</v>
      </c>
      <c r="L793" s="25">
        <v>42689.441516203704</v>
      </c>
      <c r="M793" s="26" t="s">
        <v>109</v>
      </c>
      <c r="N793" s="26" t="s">
        <v>286</v>
      </c>
      <c r="O793" s="22" t="str">
        <f t="shared" ref="O793:O794" si="97">HYPERLINK("https://pbs.twimg.com/profile_images/798476790478073856/iOD0HIRa_normal.jpg","View")</f>
        <v>View</v>
      </c>
      <c r="P793" s="27"/>
    </row>
    <row r="794">
      <c r="A794" s="19">
        <v>42705.844039351854</v>
      </c>
      <c r="B794" s="20" t="str">
        <f t="shared" si="96"/>
        <v>@bermaxo09</v>
      </c>
      <c r="C794" s="21" t="s">
        <v>284</v>
      </c>
      <c r="D794" s="21" t="s">
        <v>1695</v>
      </c>
      <c r="E794" s="22" t="str">
        <f>HYPERLINK("https://twitter.com/bermaxo09/status/804418645233274880","804418645233274880")</f>
        <v>804418645233274880</v>
      </c>
      <c r="F794" s="23" t="s">
        <v>37</v>
      </c>
      <c r="G794" s="24">
        <v>193.0</v>
      </c>
      <c r="H794" s="24">
        <v>196.0</v>
      </c>
      <c r="I794" s="24">
        <v>1.0</v>
      </c>
      <c r="J794" s="24">
        <v>4.0</v>
      </c>
      <c r="K794" s="23" t="s">
        <v>27</v>
      </c>
      <c r="L794" s="25">
        <v>42689.441516203704</v>
      </c>
      <c r="M794" s="26" t="s">
        <v>109</v>
      </c>
      <c r="N794" s="26" t="s">
        <v>286</v>
      </c>
      <c r="O794" s="22" t="str">
        <f t="shared" si="97"/>
        <v>View</v>
      </c>
      <c r="P794" s="27"/>
    </row>
    <row r="795">
      <c r="A795" s="19">
        <v>42705.844872685186</v>
      </c>
      <c r="B795" s="20" t="str">
        <f>HYPERLINK("https://twitter.com/Salamanca_SSV","@Salamanca_SSV")</f>
        <v>@Salamanca_SSV</v>
      </c>
      <c r="C795" s="21" t="s">
        <v>170</v>
      </c>
      <c r="D795" s="21" t="s">
        <v>1301</v>
      </c>
      <c r="E795" s="22" t="str">
        <f>HYPERLINK("https://twitter.com/Salamanca_SSV/status/804418948737499137","804418948737499137")</f>
        <v>804418948737499137</v>
      </c>
      <c r="F795" s="23" t="s">
        <v>41</v>
      </c>
      <c r="G795" s="24">
        <v>7240.0</v>
      </c>
      <c r="H795" s="24">
        <v>7824.0</v>
      </c>
      <c r="I795" s="24">
        <v>2.0</v>
      </c>
      <c r="J795" s="24">
        <v>0.0</v>
      </c>
      <c r="K795" s="23" t="s">
        <v>27</v>
      </c>
      <c r="L795" s="25">
        <v>41317.78532407407</v>
      </c>
      <c r="M795" s="26" t="s">
        <v>171</v>
      </c>
      <c r="N795" s="26" t="s">
        <v>172</v>
      </c>
      <c r="O795" s="22" t="str">
        <f>HYPERLINK("https://pbs.twimg.com/profile_images/3461850627/70f1c6c744e939681691ad3a09d64375_normal.png","View")</f>
        <v>View</v>
      </c>
      <c r="P795" s="27"/>
    </row>
    <row r="796">
      <c r="A796" s="19">
        <v>42705.85128472222</v>
      </c>
      <c r="B796" s="20" t="str">
        <f>HYPERLINK("https://twitter.com/canaryws","@canaryws")</f>
        <v>@canaryws</v>
      </c>
      <c r="C796" s="21" t="s">
        <v>1696</v>
      </c>
      <c r="D796" s="21" t="s">
        <v>1697</v>
      </c>
      <c r="E796" s="22" t="str">
        <f>HYPERLINK("https://twitter.com/canaryws/status/804421271597420548","804421271597420548")</f>
        <v>804421271597420548</v>
      </c>
      <c r="F796" s="23" t="s">
        <v>37</v>
      </c>
      <c r="G796" s="24">
        <v>51.0</v>
      </c>
      <c r="H796" s="24">
        <v>61.0</v>
      </c>
      <c r="I796" s="24">
        <v>0.0</v>
      </c>
      <c r="J796" s="24">
        <v>2.0</v>
      </c>
      <c r="K796" s="23" t="s">
        <v>27</v>
      </c>
      <c r="L796" s="25">
        <v>42236.447858796295</v>
      </c>
      <c r="M796" s="26" t="s">
        <v>1530</v>
      </c>
      <c r="N796" s="26" t="s">
        <v>1698</v>
      </c>
      <c r="O796" s="22" t="str">
        <f>HYPERLINK("https://pbs.twimg.com/profile_images/663806866137464832/Yf6LSNmM_normal.jpg","View")</f>
        <v>View</v>
      </c>
      <c r="P796" s="27"/>
    </row>
    <row r="797">
      <c r="A797" s="19">
        <v>42705.85685185185</v>
      </c>
      <c r="B797" s="20" t="str">
        <f>HYPERLINK("https://twitter.com/jakubhajost","@jakubhajost")</f>
        <v>@jakubhajost</v>
      </c>
      <c r="C797" s="21" t="s">
        <v>1699</v>
      </c>
      <c r="D797" s="21" t="s">
        <v>1700</v>
      </c>
      <c r="E797" s="22" t="str">
        <f>HYPERLINK("https://twitter.com/jakubhajost/status/804423291318439936","804423291318439936")</f>
        <v>804423291318439936</v>
      </c>
      <c r="F797" s="23" t="s">
        <v>69</v>
      </c>
      <c r="G797" s="24">
        <v>397.0</v>
      </c>
      <c r="H797" s="24">
        <v>126.0</v>
      </c>
      <c r="I797" s="24">
        <v>0.0</v>
      </c>
      <c r="J797" s="24">
        <v>0.0</v>
      </c>
      <c r="K797" s="23" t="s">
        <v>27</v>
      </c>
      <c r="L797" s="25">
        <v>40726.521620370375</v>
      </c>
      <c r="M797" s="26" t="s">
        <v>1701</v>
      </c>
      <c r="N797" s="26" t="s">
        <v>1702</v>
      </c>
      <c r="O797" s="22" t="str">
        <f>HYPERLINK("https://pbs.twimg.com/profile_images/805980325214060544/KRipS_ud_normal.jpg","View")</f>
        <v>View</v>
      </c>
      <c r="P797" s="27"/>
    </row>
    <row r="798">
      <c r="A798" s="19">
        <v>42705.86033564815</v>
      </c>
      <c r="B798" s="20" t="str">
        <f>HYPERLINK("https://twitter.com/greennomad61","@greennomad61")</f>
        <v>@greennomad61</v>
      </c>
      <c r="C798" s="21" t="s">
        <v>1703</v>
      </c>
      <c r="D798" s="21" t="s">
        <v>1704</v>
      </c>
      <c r="E798" s="22" t="str">
        <f>HYPERLINK("https://twitter.com/greennomad61/status/804424551849283584","804424551849283584")</f>
        <v>804424551849283584</v>
      </c>
      <c r="F798" s="23" t="s">
        <v>37</v>
      </c>
      <c r="G798" s="24">
        <v>7814.0</v>
      </c>
      <c r="H798" s="24">
        <v>5397.0</v>
      </c>
      <c r="I798" s="24">
        <v>1.0</v>
      </c>
      <c r="J798" s="24">
        <v>0.0</v>
      </c>
      <c r="K798" s="23" t="s">
        <v>27</v>
      </c>
      <c r="L798" s="25">
        <v>41836.688206018516</v>
      </c>
      <c r="M798" s="28"/>
      <c r="N798" s="26" t="s">
        <v>1705</v>
      </c>
      <c r="O798" s="22" t="str">
        <f>HYPERLINK("https://pbs.twimg.com/profile_images/668606311039299584/VlS0WD_Z_normal.jpg","View")</f>
        <v>View</v>
      </c>
      <c r="P798" s="27"/>
    </row>
    <row r="799">
      <c r="A799" s="19">
        <v>42705.866527777776</v>
      </c>
      <c r="B799" s="20" t="str">
        <f>HYPERLINK("https://twitter.com/de1969","@de1969")</f>
        <v>@de1969</v>
      </c>
      <c r="C799" s="21" t="s">
        <v>701</v>
      </c>
      <c r="D799" s="21" t="s">
        <v>1706</v>
      </c>
      <c r="E799" s="22" t="str">
        <f>HYPERLINK("https://twitter.com/de1969/status/804426796775022592","804426796775022592")</f>
        <v>804426796775022592</v>
      </c>
      <c r="F799" s="23" t="s">
        <v>37</v>
      </c>
      <c r="G799" s="24">
        <v>5161.0</v>
      </c>
      <c r="H799" s="24">
        <v>5644.0</v>
      </c>
      <c r="I799" s="24">
        <v>1.0</v>
      </c>
      <c r="J799" s="24">
        <v>0.0</v>
      </c>
      <c r="K799" s="23" t="s">
        <v>27</v>
      </c>
      <c r="L799" s="25">
        <v>40283.409687499996</v>
      </c>
      <c r="M799" s="26" t="s">
        <v>282</v>
      </c>
      <c r="N799" s="26" t="s">
        <v>703</v>
      </c>
      <c r="O799" s="22" t="str">
        <f>HYPERLINK("https://pbs.twimg.com/profile_images/1617162796/S4010009_normal.JPG","View")</f>
        <v>View</v>
      </c>
      <c r="P799" s="27"/>
    </row>
    <row r="800">
      <c r="A800" s="19">
        <v>42705.86667824074</v>
      </c>
      <c r="B800" s="20" t="str">
        <f>HYPERLINK("https://twitter.com/LuxuryCanarias","@LuxuryCanarias")</f>
        <v>@LuxuryCanarias</v>
      </c>
      <c r="C800" s="21" t="s">
        <v>1273</v>
      </c>
      <c r="D800" s="21" t="s">
        <v>112</v>
      </c>
      <c r="E800" s="22" t="str">
        <f>HYPERLINK("https://twitter.com/LuxuryCanarias/status/804426849828896768","804426849828896768")</f>
        <v>804426849828896768</v>
      </c>
      <c r="F800" s="23" t="s">
        <v>167</v>
      </c>
      <c r="G800" s="24">
        <v>264.0</v>
      </c>
      <c r="H800" s="24">
        <v>923.0</v>
      </c>
      <c r="I800" s="24">
        <v>63.0</v>
      </c>
      <c r="J800" s="24">
        <v>0.0</v>
      </c>
      <c r="K800" s="23" t="s">
        <v>27</v>
      </c>
      <c r="L800" s="25">
        <v>42380.85506944444</v>
      </c>
      <c r="M800" s="28"/>
      <c r="N800" s="26" t="s">
        <v>1275</v>
      </c>
      <c r="O800" s="22" t="str">
        <f>HYPERLINK("https://pbs.twimg.com/profile_images/731824986965594112/1_vJDvBr_normal.jpg","View")</f>
        <v>View</v>
      </c>
      <c r="P800" s="27"/>
    </row>
    <row r="801">
      <c r="A801" s="19">
        <v>42705.867256944446</v>
      </c>
      <c r="B801" s="20" t="str">
        <f>HYPERLINK("https://twitter.com/FriendsTravel","@FriendsTravel")</f>
        <v>@FriendsTravel</v>
      </c>
      <c r="C801" s="21" t="s">
        <v>1707</v>
      </c>
      <c r="D801" s="21" t="s">
        <v>1708</v>
      </c>
      <c r="E801" s="22" t="str">
        <f>HYPERLINK("https://twitter.com/FriendsTravel/status/804427059703533568","804427059703533568")</f>
        <v>804427059703533568</v>
      </c>
      <c r="F801" s="23" t="s">
        <v>59</v>
      </c>
      <c r="G801" s="24">
        <v>1649.0</v>
      </c>
      <c r="H801" s="24">
        <v>2754.0</v>
      </c>
      <c r="I801" s="24">
        <v>0.0</v>
      </c>
      <c r="J801" s="24">
        <v>0.0</v>
      </c>
      <c r="K801" s="23" t="s">
        <v>27</v>
      </c>
      <c r="L801" s="25">
        <v>39894.088009259256</v>
      </c>
      <c r="M801" s="26" t="s">
        <v>1709</v>
      </c>
      <c r="N801" s="26" t="s">
        <v>1710</v>
      </c>
      <c r="O801" s="22" t="str">
        <f>HYPERLINK("https://pbs.twimg.com/profile_images/452293828/Crystal_Globe_Names_normal.jpg","View")</f>
        <v>View</v>
      </c>
      <c r="P801" s="27"/>
    </row>
    <row r="802">
      <c r="A802" s="19">
        <v>42705.868206018524</v>
      </c>
      <c r="B802" s="20" t="str">
        <f>HYPERLINK("https://twitter.com/marty27","@marty27")</f>
        <v>@marty27</v>
      </c>
      <c r="C802" s="21" t="s">
        <v>1711</v>
      </c>
      <c r="D802" s="21" t="s">
        <v>1712</v>
      </c>
      <c r="E802" s="22" t="str">
        <f>HYPERLINK("https://twitter.com/marty27/status/804427403648901120","804427403648901120")</f>
        <v>804427403648901120</v>
      </c>
      <c r="F802" s="23" t="s">
        <v>37</v>
      </c>
      <c r="G802" s="24">
        <v>1202.0</v>
      </c>
      <c r="H802" s="24">
        <v>1213.0</v>
      </c>
      <c r="I802" s="24">
        <v>1.0</v>
      </c>
      <c r="J802" s="24">
        <v>0.0</v>
      </c>
      <c r="K802" s="23" t="s">
        <v>27</v>
      </c>
      <c r="L802" s="25">
        <v>42367.826678240745</v>
      </c>
      <c r="M802" s="26" t="s">
        <v>1713</v>
      </c>
      <c r="N802" s="26" t="s">
        <v>1714</v>
      </c>
      <c r="O802" s="22" t="str">
        <f>HYPERLINK("https://pbs.twimg.com/profile_images/792291617700970496/9WAKthSr_normal.jpg","View")</f>
        <v>View</v>
      </c>
      <c r="P802" s="27"/>
    </row>
    <row r="803">
      <c r="A803" s="19">
        <v>42705.86960648149</v>
      </c>
      <c r="B803" s="20" t="str">
        <f>HYPERLINK("https://twitter.com/luxuryrentspain","@luxuryrentspain")</f>
        <v>@luxuryrentspain</v>
      </c>
      <c r="C803" s="21" t="s">
        <v>520</v>
      </c>
      <c r="D803" s="21" t="s">
        <v>1715</v>
      </c>
      <c r="E803" s="22" t="str">
        <f>HYPERLINK("https://twitter.com/luxuryrentspain/status/804427913953062912","804427913953062912")</f>
        <v>804427913953062912</v>
      </c>
      <c r="F803" s="23" t="s">
        <v>37</v>
      </c>
      <c r="G803" s="24">
        <v>1188.0</v>
      </c>
      <c r="H803" s="24">
        <v>47.0</v>
      </c>
      <c r="I803" s="24">
        <v>1.0</v>
      </c>
      <c r="J803" s="24">
        <v>0.0</v>
      </c>
      <c r="K803" s="23" t="s">
        <v>27</v>
      </c>
      <c r="L803" s="25">
        <v>42681.65170138889</v>
      </c>
      <c r="M803" s="26" t="s">
        <v>163</v>
      </c>
      <c r="N803" s="26" t="s">
        <v>521</v>
      </c>
      <c r="O803" s="22" t="str">
        <f>HYPERLINK("https://pbs.twimg.com/profile_images/795652170276360192/0xFWq8GW_normal.jpg","View")</f>
        <v>View</v>
      </c>
      <c r="P803" s="27"/>
    </row>
    <row r="804">
      <c r="A804" s="19">
        <v>42705.87559027778</v>
      </c>
      <c r="B804" s="20" t="str">
        <f>HYPERLINK("https://twitter.com/navinkhemlani","@navinkhemlani")</f>
        <v>@navinkhemlani</v>
      </c>
      <c r="C804" s="21" t="s">
        <v>1716</v>
      </c>
      <c r="D804" s="21" t="s">
        <v>1717</v>
      </c>
      <c r="E804" s="22" t="str">
        <f>HYPERLINK("https://twitter.com/navinkhemlani/status/804430079111692289","804430079111692289")</f>
        <v>804430079111692289</v>
      </c>
      <c r="F804" s="23" t="s">
        <v>26</v>
      </c>
      <c r="G804" s="24">
        <v>594.0</v>
      </c>
      <c r="H804" s="24">
        <v>1122.0</v>
      </c>
      <c r="I804" s="24">
        <v>0.0</v>
      </c>
      <c r="J804" s="24">
        <v>1.0</v>
      </c>
      <c r="K804" s="23" t="s">
        <v>27</v>
      </c>
      <c r="L804" s="25">
        <v>39805.65938657407</v>
      </c>
      <c r="M804" s="26" t="s">
        <v>203</v>
      </c>
      <c r="N804" s="26" t="s">
        <v>1718</v>
      </c>
      <c r="O804" s="22" t="str">
        <f>HYPERLINK("https://pbs.twimg.com/profile_images/481915303346307073/9Ejk1bDM_normal.jpeg","View")</f>
        <v>View</v>
      </c>
      <c r="P804" s="27"/>
    </row>
    <row r="805">
      <c r="A805" s="19">
        <v>42705.88414351852</v>
      </c>
      <c r="B805" s="20" t="str">
        <f>HYPERLINK("https://twitter.com/6ersonDiaz","@6ersonDiaz")</f>
        <v>@6ersonDiaz</v>
      </c>
      <c r="C805" s="21" t="s">
        <v>1719</v>
      </c>
      <c r="D805" s="21" t="s">
        <v>1720</v>
      </c>
      <c r="E805" s="22" t="str">
        <f>HYPERLINK("https://twitter.com/6ersonDiaz/status/804433180891742208","804433180891742208")</f>
        <v>804433180891742208</v>
      </c>
      <c r="F805" s="23" t="s">
        <v>81</v>
      </c>
      <c r="G805" s="24">
        <v>135.0</v>
      </c>
      <c r="H805" s="24">
        <v>463.0</v>
      </c>
      <c r="I805" s="24">
        <v>0.0</v>
      </c>
      <c r="J805" s="24">
        <v>1.0</v>
      </c>
      <c r="K805" s="23" t="s">
        <v>27</v>
      </c>
      <c r="L805" s="25">
        <v>41573.866111111114</v>
      </c>
      <c r="M805" s="26" t="s">
        <v>168</v>
      </c>
      <c r="N805" s="26" t="s">
        <v>1721</v>
      </c>
      <c r="O805" s="22" t="str">
        <f>HYPERLINK("https://pbs.twimg.com/profile_images/378800000666218595/7831c17c37763bedcc1718183f686028_normal.jpeg","View")</f>
        <v>View</v>
      </c>
      <c r="P805" s="27"/>
    </row>
    <row r="806">
      <c r="A806" s="19">
        <v>42705.90950231481</v>
      </c>
      <c r="B806" s="20" t="str">
        <f>HYPERLINK("https://twitter.com/LesRandosdeCaco","@LesRandosdeCaco")</f>
        <v>@LesRandosdeCaco</v>
      </c>
      <c r="C806" s="21" t="s">
        <v>186</v>
      </c>
      <c r="D806" s="21" t="s">
        <v>1722</v>
      </c>
      <c r="E806" s="22" t="str">
        <f>HYPERLINK("https://twitter.com/LesRandosdeCaco/status/804442369106083840","804442369106083840")</f>
        <v>804442369106083840</v>
      </c>
      <c r="F806" s="23" t="s">
        <v>41</v>
      </c>
      <c r="G806" s="24">
        <v>7.0</v>
      </c>
      <c r="H806" s="24">
        <v>57.0</v>
      </c>
      <c r="I806" s="24">
        <v>0.0</v>
      </c>
      <c r="J806" s="24">
        <v>0.0</v>
      </c>
      <c r="K806" s="23" t="s">
        <v>27</v>
      </c>
      <c r="L806" s="25">
        <v>41643.68407407407</v>
      </c>
      <c r="M806" s="26" t="s">
        <v>188</v>
      </c>
      <c r="N806" s="26" t="s">
        <v>189</v>
      </c>
      <c r="O806" s="22" t="str">
        <f>HYPERLINK("https://pbs.twimg.com/profile_images/802073872866705408/wMHnHYch_normal.jpg","View")</f>
        <v>View</v>
      </c>
      <c r="P806" s="27"/>
    </row>
    <row r="807">
      <c r="A807" s="19">
        <v>42705.91193287037</v>
      </c>
      <c r="B807" s="20" t="str">
        <f>HYPERLINK("https://twitter.com/TherezaPrez","@TherezaPrez")</f>
        <v>@TherezaPrez</v>
      </c>
      <c r="C807" s="21" t="s">
        <v>1723</v>
      </c>
      <c r="D807" s="21" t="s">
        <v>1724</v>
      </c>
      <c r="E807" s="22" t="str">
        <f>HYPERLINK("https://twitter.com/TherezaPrez/status/804443249029115904","804443249029115904")</f>
        <v>804443249029115904</v>
      </c>
      <c r="F807" s="23" t="s">
        <v>41</v>
      </c>
      <c r="G807" s="24">
        <v>70.0</v>
      </c>
      <c r="H807" s="24">
        <v>99.0</v>
      </c>
      <c r="I807" s="24">
        <v>2.0</v>
      </c>
      <c r="J807" s="24">
        <v>11.0</v>
      </c>
      <c r="K807" s="23" t="s">
        <v>27</v>
      </c>
      <c r="L807" s="25">
        <v>41122.357199074075</v>
      </c>
      <c r="M807" s="26" t="s">
        <v>101</v>
      </c>
      <c r="N807" s="28"/>
      <c r="O807" s="22" t="str">
        <f>HYPERLINK("https://pbs.twimg.com/profile_images/634395015956070400/l1HFr-YM_normal.jpg","View")</f>
        <v>View</v>
      </c>
      <c r="P807" s="27"/>
    </row>
    <row r="808">
      <c r="A808" s="19">
        <v>42705.91210648148</v>
      </c>
      <c r="B808" s="20" t="str">
        <f>HYPERLINK("https://twitter.com/LesRandosdeCaco","@LesRandosdeCaco")</f>
        <v>@LesRandosdeCaco</v>
      </c>
      <c r="C808" s="21" t="s">
        <v>186</v>
      </c>
      <c r="D808" s="21" t="s">
        <v>1725</v>
      </c>
      <c r="E808" s="22" t="str">
        <f>HYPERLINK("https://twitter.com/LesRandosdeCaco/status/804443315672334337","804443315672334337")</f>
        <v>804443315672334337</v>
      </c>
      <c r="F808" s="23" t="s">
        <v>41</v>
      </c>
      <c r="G808" s="24">
        <v>7.0</v>
      </c>
      <c r="H808" s="24">
        <v>57.0</v>
      </c>
      <c r="I808" s="24">
        <v>0.0</v>
      </c>
      <c r="J808" s="24">
        <v>1.0</v>
      </c>
      <c r="K808" s="23" t="s">
        <v>27</v>
      </c>
      <c r="L808" s="25">
        <v>41643.68407407407</v>
      </c>
      <c r="M808" s="26" t="s">
        <v>188</v>
      </c>
      <c r="N808" s="26" t="s">
        <v>189</v>
      </c>
      <c r="O808" s="22" t="str">
        <f>HYPERLINK("https://pbs.twimg.com/profile_images/802073872866705408/wMHnHYch_normal.jpg","View")</f>
        <v>View</v>
      </c>
      <c r="P808" s="27"/>
    </row>
    <row r="809">
      <c r="A809" s="19">
        <v>42705.917499999996</v>
      </c>
      <c r="B809" s="20" t="str">
        <f>HYPERLINK("https://twitter.com/TherezaPrez","@TherezaPrez")</f>
        <v>@TherezaPrez</v>
      </c>
      <c r="C809" s="21" t="s">
        <v>1723</v>
      </c>
      <c r="D809" s="21" t="s">
        <v>1726</v>
      </c>
      <c r="E809" s="22" t="str">
        <f>HYPERLINK("https://twitter.com/TherezaPrez/status/804445267827298304","804445267827298304")</f>
        <v>804445267827298304</v>
      </c>
      <c r="F809" s="23" t="s">
        <v>41</v>
      </c>
      <c r="G809" s="24">
        <v>70.0</v>
      </c>
      <c r="H809" s="24">
        <v>99.0</v>
      </c>
      <c r="I809" s="24">
        <v>0.0</v>
      </c>
      <c r="J809" s="24">
        <v>3.0</v>
      </c>
      <c r="K809" s="23" t="s">
        <v>27</v>
      </c>
      <c r="L809" s="25">
        <v>41122.357199074075</v>
      </c>
      <c r="M809" s="26" t="s">
        <v>101</v>
      </c>
      <c r="N809" s="28"/>
      <c r="O809" s="22" t="str">
        <f>HYPERLINK("https://pbs.twimg.com/profile_images/634395015956070400/l1HFr-YM_normal.jpg","View")</f>
        <v>View</v>
      </c>
      <c r="P809" s="27"/>
    </row>
    <row r="810">
      <c r="A810" s="19">
        <v>42705.91841435185</v>
      </c>
      <c r="B810" s="20" t="str">
        <f>HYPERLINK("https://twitter.com/swisshop4uEs","@swisshop4uEs")</f>
        <v>@swisshop4uEs</v>
      </c>
      <c r="C810" s="21" t="s">
        <v>48</v>
      </c>
      <c r="D810" s="21" t="s">
        <v>1727</v>
      </c>
      <c r="E810" s="22" t="str">
        <f>HYPERLINK("https://twitter.com/swisshop4uEs/status/804445601421266944","804445601421266944")</f>
        <v>804445601421266944</v>
      </c>
      <c r="F810" s="23" t="s">
        <v>50</v>
      </c>
      <c r="G810" s="24">
        <v>455.0</v>
      </c>
      <c r="H810" s="24">
        <v>424.0</v>
      </c>
      <c r="I810" s="24">
        <v>0.0</v>
      </c>
      <c r="J810" s="24">
        <v>0.0</v>
      </c>
      <c r="K810" s="23" t="s">
        <v>27</v>
      </c>
      <c r="L810" s="25">
        <v>41468.93072916666</v>
      </c>
      <c r="M810" s="26" t="s">
        <v>51</v>
      </c>
      <c r="N810" s="26" t="s">
        <v>52</v>
      </c>
      <c r="O810" s="22" t="str">
        <f>HYPERLINK("https://pbs.twimg.com/profile_images/378800000213382003/4f562b59f92995b884d2d440f71fc5ce_normal.png","View")</f>
        <v>View</v>
      </c>
      <c r="P810" s="27"/>
    </row>
    <row r="811">
      <c r="A811" s="19">
        <v>42705.9294212963</v>
      </c>
      <c r="B811" s="20" t="str">
        <f>HYPERLINK("https://twitter.com/Arte8Pop","@Arte8Pop")</f>
        <v>@Arte8Pop</v>
      </c>
      <c r="C811" s="21" t="s">
        <v>486</v>
      </c>
      <c r="D811" s="21" t="s">
        <v>1728</v>
      </c>
      <c r="E811" s="22" t="str">
        <f>HYPERLINK("https://twitter.com/Arte8Pop/status/804449587192860672","804449587192860672")</f>
        <v>804449587192860672</v>
      </c>
      <c r="F811" s="23" t="s">
        <v>59</v>
      </c>
      <c r="G811" s="24">
        <v>243.0</v>
      </c>
      <c r="H811" s="24">
        <v>489.0</v>
      </c>
      <c r="I811" s="24">
        <v>0.0</v>
      </c>
      <c r="J811" s="24">
        <v>0.0</v>
      </c>
      <c r="K811" s="23" t="s">
        <v>27</v>
      </c>
      <c r="L811" s="25">
        <v>41633.79451388889</v>
      </c>
      <c r="M811" s="26" t="s">
        <v>488</v>
      </c>
      <c r="N811" s="26" t="s">
        <v>486</v>
      </c>
      <c r="O811" s="22" t="str">
        <f>HYPERLINK("https://pbs.twimg.com/profile_images/664416561084686336/4IvWuK-e_normal.jpg","View")</f>
        <v>View</v>
      </c>
      <c r="P811" s="27"/>
    </row>
    <row r="812">
      <c r="A812" s="19">
        <v>42705.936319444445</v>
      </c>
      <c r="B812" s="20" t="str">
        <f>HYPERLINK("https://twitter.com/IbizaLuci","@IbizaLuci")</f>
        <v>@IbizaLuci</v>
      </c>
      <c r="C812" s="21" t="s">
        <v>1729</v>
      </c>
      <c r="D812" s="21" t="s">
        <v>1730</v>
      </c>
      <c r="E812" s="22" t="str">
        <f>HYPERLINK("https://twitter.com/IbizaLuci/status/804452089980129280","804452089980129280")</f>
        <v>804452089980129280</v>
      </c>
      <c r="F812" s="23" t="s">
        <v>41</v>
      </c>
      <c r="G812" s="24">
        <v>37137.0</v>
      </c>
      <c r="H812" s="24">
        <v>406.0</v>
      </c>
      <c r="I812" s="24">
        <v>38.0</v>
      </c>
      <c r="J812" s="24">
        <v>134.0</v>
      </c>
      <c r="K812" s="23" t="s">
        <v>27</v>
      </c>
      <c r="L812" s="25">
        <v>41289.50199074074</v>
      </c>
      <c r="M812" s="26" t="s">
        <v>1731</v>
      </c>
      <c r="N812" s="26" t="s">
        <v>1732</v>
      </c>
      <c r="O812" s="22" t="str">
        <f>HYPERLINK("https://pbs.twimg.com/profile_images/767082146238492672/2sMov7Cp_normal.jpg","View")</f>
        <v>View</v>
      </c>
      <c r="P812" s="27"/>
    </row>
    <row r="813">
      <c r="A813" s="19">
        <v>42705.93653935185</v>
      </c>
      <c r="B813" s="20" t="str">
        <f>HYPERLINK("https://twitter.com/JanaCovaJailed","@JanaCovaJailed")</f>
        <v>@JanaCovaJailed</v>
      </c>
      <c r="C813" s="21" t="s">
        <v>1733</v>
      </c>
      <c r="D813" s="21" t="s">
        <v>1734</v>
      </c>
      <c r="E813" s="22" t="str">
        <f>HYPERLINK("https://twitter.com/JanaCovaJailed/status/804452166798745600","804452166798745600")</f>
        <v>804452166798745600</v>
      </c>
      <c r="F813" s="23" t="s">
        <v>37</v>
      </c>
      <c r="G813" s="24">
        <v>77906.0</v>
      </c>
      <c r="H813" s="24">
        <v>438.0</v>
      </c>
      <c r="I813" s="24">
        <v>38.0</v>
      </c>
      <c r="J813" s="24">
        <v>0.0</v>
      </c>
      <c r="K813" s="23" t="s">
        <v>27</v>
      </c>
      <c r="L813" s="25">
        <v>41948.61131944445</v>
      </c>
      <c r="M813" s="26" t="s">
        <v>1735</v>
      </c>
      <c r="N813" s="26" t="s">
        <v>1736</v>
      </c>
      <c r="O813" s="22" t="str">
        <f>HYPERLINK("https://pbs.twimg.com/profile_images/796042138769190912/DMbZjoya_normal.jpg","View")</f>
        <v>View</v>
      </c>
      <c r="P813" s="27"/>
    </row>
    <row r="814">
      <c r="A814" s="19">
        <v>42705.940289351856</v>
      </c>
      <c r="B814" s="20" t="str">
        <f>HYPERLINK("https://twitter.com/B_Elena__","@B_Elena__")</f>
        <v>@B_Elena__</v>
      </c>
      <c r="C814" s="21" t="s">
        <v>1737</v>
      </c>
      <c r="D814" s="21" t="s">
        <v>1734</v>
      </c>
      <c r="E814" s="22" t="str">
        <f>HYPERLINK("https://twitter.com/B_Elena__/status/804453527535947776","804453527535947776")</f>
        <v>804453527535947776</v>
      </c>
      <c r="F814" s="23" t="s">
        <v>26</v>
      </c>
      <c r="G814" s="24">
        <v>1817.0</v>
      </c>
      <c r="H814" s="24">
        <v>2486.0</v>
      </c>
      <c r="I814" s="24">
        <v>38.0</v>
      </c>
      <c r="J814" s="24">
        <v>0.0</v>
      </c>
      <c r="K814" s="23" t="s">
        <v>27</v>
      </c>
      <c r="L814" s="25">
        <v>42503.75643518519</v>
      </c>
      <c r="M814" s="26" t="s">
        <v>130</v>
      </c>
      <c r="N814" s="26" t="s">
        <v>1738</v>
      </c>
      <c r="O814" s="22" t="str">
        <f>HYPERLINK("https://pbs.twimg.com/profile_images/737173151034003456/g3JvSgoM_normal.jpg","View")</f>
        <v>View</v>
      </c>
      <c r="P814" s="27"/>
    </row>
    <row r="815">
      <c r="A815" s="19">
        <v>42705.95212962963</v>
      </c>
      <c r="B815" s="20" t="str">
        <f>HYPERLINK("https://twitter.com/WilfBen","@WilfBen")</f>
        <v>@WilfBen</v>
      </c>
      <c r="C815" s="21" t="s">
        <v>713</v>
      </c>
      <c r="D815" s="21" t="s">
        <v>1504</v>
      </c>
      <c r="E815" s="22" t="str">
        <f>HYPERLINK("https://twitter.com/WilfBen/status/804457817491042305","804457817491042305")</f>
        <v>804457817491042305</v>
      </c>
      <c r="F815" s="23" t="s">
        <v>41</v>
      </c>
      <c r="G815" s="24">
        <v>199.0</v>
      </c>
      <c r="H815" s="24">
        <v>227.0</v>
      </c>
      <c r="I815" s="24">
        <v>16.0</v>
      </c>
      <c r="J815" s="24">
        <v>0.0</v>
      </c>
      <c r="K815" s="23" t="s">
        <v>27</v>
      </c>
      <c r="L815" s="25">
        <v>41308.62605324074</v>
      </c>
      <c r="M815" s="28"/>
      <c r="N815" s="28"/>
      <c r="O815" s="22" t="str">
        <f>HYPERLINK("https://pbs.twimg.com/profile_images/593861736261939201/5IpELztZ_normal.jpg","View")</f>
        <v>View</v>
      </c>
      <c r="P815" s="27"/>
    </row>
    <row r="816">
      <c r="A816" s="19">
        <v>42705.9540625</v>
      </c>
      <c r="B816" s="20" t="str">
        <f>HYPERLINK("https://twitter.com/udut74","@udut74")</f>
        <v>@udut74</v>
      </c>
      <c r="C816" s="21" t="s">
        <v>1739</v>
      </c>
      <c r="D816" s="21" t="s">
        <v>1734</v>
      </c>
      <c r="E816" s="22" t="str">
        <f>HYPERLINK("https://twitter.com/udut74/status/804458519818706945","804458519818706945")</f>
        <v>804458519818706945</v>
      </c>
      <c r="F816" s="23" t="s">
        <v>37</v>
      </c>
      <c r="G816" s="24">
        <v>181.0</v>
      </c>
      <c r="H816" s="24">
        <v>633.0</v>
      </c>
      <c r="I816" s="24">
        <v>38.0</v>
      </c>
      <c r="J816" s="24">
        <v>0.0</v>
      </c>
      <c r="K816" s="23" t="s">
        <v>27</v>
      </c>
      <c r="L816" s="25">
        <v>41418.840636574074</v>
      </c>
      <c r="M816" s="28"/>
      <c r="N816" s="28"/>
      <c r="O816" s="22" t="str">
        <f>HYPERLINK("https://pbs.twimg.com/profile_images/765443327126827008/cznnCiC5_normal.jpg","View")</f>
        <v>View</v>
      </c>
      <c r="P816" s="27"/>
    </row>
    <row r="817">
      <c r="A817" s="19">
        <v>42705.96055555556</v>
      </c>
      <c r="B817" s="20" t="str">
        <f>HYPERLINK("https://twitter.com/Lover_of_Legs","@Lover_of_Legs")</f>
        <v>@Lover_of_Legs</v>
      </c>
      <c r="C817" s="21" t="s">
        <v>1740</v>
      </c>
      <c r="D817" s="21" t="s">
        <v>1734</v>
      </c>
      <c r="E817" s="22" t="str">
        <f>HYPERLINK("https://twitter.com/Lover_of_Legs/status/804460872487858180","804460872487858180")</f>
        <v>804460872487858180</v>
      </c>
      <c r="F817" s="23" t="s">
        <v>26</v>
      </c>
      <c r="G817" s="24">
        <v>304010.0</v>
      </c>
      <c r="H817" s="24">
        <v>659.0</v>
      </c>
      <c r="I817" s="24">
        <v>38.0</v>
      </c>
      <c r="J817" s="24">
        <v>0.0</v>
      </c>
      <c r="K817" s="23" t="s">
        <v>27</v>
      </c>
      <c r="L817" s="25">
        <v>41273.17018518518</v>
      </c>
      <c r="M817" s="26" t="s">
        <v>1741</v>
      </c>
      <c r="N817" s="26" t="s">
        <v>1742</v>
      </c>
      <c r="O817" s="22" t="str">
        <f>HYPERLINK("https://pbs.twimg.com/profile_images/703669404572123136/_ajlY9TJ_normal.jpg","View")</f>
        <v>View</v>
      </c>
      <c r="P817" s="27"/>
    </row>
    <row r="818">
      <c r="A818" s="19">
        <v>42705.96724537037</v>
      </c>
      <c r="B818" s="20" t="str">
        <f>HYPERLINK("https://twitter.com/B_more_horny","@B_more_horny")</f>
        <v>@B_more_horny</v>
      </c>
      <c r="C818" s="21" t="s">
        <v>1743</v>
      </c>
      <c r="D818" s="21" t="s">
        <v>1734</v>
      </c>
      <c r="E818" s="22" t="str">
        <f>HYPERLINK("https://twitter.com/B_more_horny/status/804463294639730688","804463294639730688")</f>
        <v>804463294639730688</v>
      </c>
      <c r="F818" s="23" t="s">
        <v>41</v>
      </c>
      <c r="G818" s="24">
        <v>33247.0</v>
      </c>
      <c r="H818" s="24">
        <v>958.0</v>
      </c>
      <c r="I818" s="24">
        <v>38.0</v>
      </c>
      <c r="J818" s="24">
        <v>0.0</v>
      </c>
      <c r="K818" s="23" t="s">
        <v>27</v>
      </c>
      <c r="L818" s="25">
        <v>42522.903761574074</v>
      </c>
      <c r="M818" s="26" t="s">
        <v>1744</v>
      </c>
      <c r="N818" s="26" t="s">
        <v>1745</v>
      </c>
      <c r="O818" s="22" t="str">
        <f>HYPERLINK("https://pbs.twimg.com/profile_images/766377840573083648/gFZmkwth_normal.jpg","View")</f>
        <v>View</v>
      </c>
      <c r="P818" s="27"/>
    </row>
    <row r="819">
      <c r="A819" s="19">
        <v>42705.96743055555</v>
      </c>
      <c r="B819" s="20" t="str">
        <f>HYPERLINK("https://twitter.com/Selhso","@Selhso")</f>
        <v>@Selhso</v>
      </c>
      <c r="C819" s="21" t="s">
        <v>194</v>
      </c>
      <c r="D819" s="21" t="s">
        <v>1746</v>
      </c>
      <c r="E819" s="22" t="str">
        <f>HYPERLINK("https://twitter.com/Selhso/status/804463363187212288","804463363187212288")</f>
        <v>804463363187212288</v>
      </c>
      <c r="F819" s="23" t="s">
        <v>37</v>
      </c>
      <c r="G819" s="24">
        <v>1615.0</v>
      </c>
      <c r="H819" s="24">
        <v>1661.0</v>
      </c>
      <c r="I819" s="24">
        <v>5.0</v>
      </c>
      <c r="J819" s="24">
        <v>9.0</v>
      </c>
      <c r="K819" s="23" t="s">
        <v>27</v>
      </c>
      <c r="L819" s="25">
        <v>40372.68681712963</v>
      </c>
      <c r="M819" s="26" t="s">
        <v>196</v>
      </c>
      <c r="N819" s="26" t="s">
        <v>109</v>
      </c>
      <c r="O819" s="22" t="str">
        <f>HYPERLINK("https://pbs.twimg.com/profile_images/800845512836579328/cKh_5hB2_normal.jpg","View")</f>
        <v>View</v>
      </c>
      <c r="P819" s="27"/>
    </row>
    <row r="820">
      <c r="A820" s="19">
        <v>42705.96822916667</v>
      </c>
      <c r="B820" s="20" t="str">
        <f>HYPERLINK("https://twitter.com/ASkulltie","@ASkulltie")</f>
        <v>@ASkulltie</v>
      </c>
      <c r="C820" s="21" t="s">
        <v>1747</v>
      </c>
      <c r="D820" s="21" t="s">
        <v>1734</v>
      </c>
      <c r="E820" s="22" t="str">
        <f>HYPERLINK("https://twitter.com/ASkulltie/status/804463651512025100","804463651512025100")</f>
        <v>804463651512025100</v>
      </c>
      <c r="F820" s="23" t="s">
        <v>1603</v>
      </c>
      <c r="G820" s="24">
        <v>996.0</v>
      </c>
      <c r="H820" s="24">
        <v>1459.0</v>
      </c>
      <c r="I820" s="24">
        <v>38.0</v>
      </c>
      <c r="J820" s="24">
        <v>0.0</v>
      </c>
      <c r="K820" s="23" t="s">
        <v>27</v>
      </c>
      <c r="L820" s="25">
        <v>41297.821875</v>
      </c>
      <c r="M820" s="26" t="s">
        <v>1748</v>
      </c>
      <c r="N820" s="26" t="s">
        <v>1749</v>
      </c>
      <c r="O820" s="22" t="str">
        <f>HYPERLINK("https://pbs.twimg.com/profile_images/753340623336243200/Tl1-0HPk_normal.jpg","View")</f>
        <v>View</v>
      </c>
      <c r="P820" s="27"/>
    </row>
    <row r="821">
      <c r="A821" s="19">
        <v>42705.97387731481</v>
      </c>
      <c r="B821" s="20" t="str">
        <f>HYPERLINK("https://twitter.com/JustHotChicks","@JustHotChicks")</f>
        <v>@JustHotChicks</v>
      </c>
      <c r="C821" s="21" t="s">
        <v>1750</v>
      </c>
      <c r="D821" s="21" t="s">
        <v>1734</v>
      </c>
      <c r="E821" s="22" t="str">
        <f>HYPERLINK("https://twitter.com/JustHotChicks/status/804465698797821952","804465698797821952")</f>
        <v>804465698797821952</v>
      </c>
      <c r="F821" s="23" t="s">
        <v>37</v>
      </c>
      <c r="G821" s="24">
        <v>79315.0</v>
      </c>
      <c r="H821" s="24">
        <v>930.0</v>
      </c>
      <c r="I821" s="24">
        <v>38.0</v>
      </c>
      <c r="J821" s="24">
        <v>0.0</v>
      </c>
      <c r="K821" s="23" t="s">
        <v>27</v>
      </c>
      <c r="L821" s="25">
        <v>41273.10858796296</v>
      </c>
      <c r="M821" s="26" t="s">
        <v>1751</v>
      </c>
      <c r="N821" s="26" t="s">
        <v>1752</v>
      </c>
      <c r="O821" s="22" t="str">
        <f>HYPERLINK("https://pbs.twimg.com/profile_images/3039859296/bc8ec34e4e655d48d6c4cfd6af98c075_normal.jpeg","View")</f>
        <v>View</v>
      </c>
      <c r="P821" s="27"/>
    </row>
    <row r="822">
      <c r="A822" s="19">
        <v>42705.97443287037</v>
      </c>
      <c r="B822" s="20" t="str">
        <f>HYPERLINK("https://twitter.com/MariolaTNFGC84","@MariolaTNFGC84")</f>
        <v>@MariolaTNFGC84</v>
      </c>
      <c r="C822" s="21" t="s">
        <v>385</v>
      </c>
      <c r="D822" s="21" t="s">
        <v>384</v>
      </c>
      <c r="E822" s="22" t="str">
        <f>HYPERLINK("https://twitter.com/MariolaTNFGC84/status/804465901496107008","804465901496107008")</f>
        <v>804465901496107008</v>
      </c>
      <c r="F822" s="23" t="s">
        <v>37</v>
      </c>
      <c r="G822" s="24">
        <v>391.0</v>
      </c>
      <c r="H822" s="24">
        <v>891.0</v>
      </c>
      <c r="I822" s="24">
        <v>5.0</v>
      </c>
      <c r="J822" s="24">
        <v>0.0</v>
      </c>
      <c r="K822" s="23" t="s">
        <v>27</v>
      </c>
      <c r="L822" s="25">
        <v>42181.55790509259</v>
      </c>
      <c r="M822" s="28"/>
      <c r="N822" s="28"/>
      <c r="O822" s="22" t="str">
        <f>HYPERLINK("https://pbs.twimg.com/profile_images/765266327804190720/3kytWWcC_normal.jpg","View")</f>
        <v>View</v>
      </c>
      <c r="P822" s="27"/>
    </row>
    <row r="823">
      <c r="A823" s="19">
        <v>42705.97739583333</v>
      </c>
      <c r="B823" s="20" t="str">
        <f>HYPERLINK("https://twitter.com/huntxrhayes","@huntxrhayes")</f>
        <v>@huntxrhayes</v>
      </c>
      <c r="C823" s="21" t="s">
        <v>1753</v>
      </c>
      <c r="D823" s="21" t="s">
        <v>1754</v>
      </c>
      <c r="E823" s="22" t="str">
        <f>HYPERLINK("https://twitter.com/huntxrhayes/status/804466972922613762","804466972922613762")</f>
        <v>804466972922613762</v>
      </c>
      <c r="F823" s="23" t="s">
        <v>37</v>
      </c>
      <c r="G823" s="24">
        <v>562.0</v>
      </c>
      <c r="H823" s="24">
        <v>397.0</v>
      </c>
      <c r="I823" s="24">
        <v>1.0</v>
      </c>
      <c r="J823" s="24">
        <v>0.0</v>
      </c>
      <c r="K823" s="23" t="s">
        <v>27</v>
      </c>
      <c r="L823" s="25">
        <v>41302.03680555556</v>
      </c>
      <c r="M823" s="26" t="s">
        <v>1755</v>
      </c>
      <c r="N823" s="26" t="s">
        <v>1756</v>
      </c>
      <c r="O823" s="22" t="str">
        <f>HYPERLINK("https://pbs.twimg.com/profile_images/800637256402948097/IMe_R7ze_normal.jpg","View")</f>
        <v>View</v>
      </c>
      <c r="P823" s="27"/>
    </row>
    <row r="824">
      <c r="A824" s="19">
        <v>42705.98423611111</v>
      </c>
      <c r="B824" s="20" t="str">
        <f>HYPERLINK("https://twitter.com/JulioAl18175505","@JulioAl18175505")</f>
        <v>@JulioAl18175505</v>
      </c>
      <c r="C824" s="21" t="s">
        <v>248</v>
      </c>
      <c r="D824" s="21" t="s">
        <v>570</v>
      </c>
      <c r="E824" s="22" t="str">
        <f>HYPERLINK("https://twitter.com/JulioAl18175505/status/804469454491025409","804469454491025409")</f>
        <v>804469454491025409</v>
      </c>
      <c r="F824" s="23" t="s">
        <v>41</v>
      </c>
      <c r="G824" s="24">
        <v>3883.0</v>
      </c>
      <c r="H824" s="24">
        <v>3761.0</v>
      </c>
      <c r="I824" s="24">
        <v>5.0</v>
      </c>
      <c r="J824" s="24">
        <v>0.0</v>
      </c>
      <c r="K824" s="23" t="s">
        <v>27</v>
      </c>
      <c r="L824" s="25">
        <v>41713.45993055555</v>
      </c>
      <c r="M824" s="26" t="s">
        <v>250</v>
      </c>
      <c r="N824" s="26" t="s">
        <v>251</v>
      </c>
      <c r="O824" s="22" t="str">
        <f>HYPERLINK("https://pbs.twimg.com/profile_images/706839494851436544/7igsf91D_normal.jpg","View")</f>
        <v>View</v>
      </c>
      <c r="P824" s="27"/>
    </row>
    <row r="825">
      <c r="A825" s="19">
        <v>42705.98541666666</v>
      </c>
      <c r="B825" s="20" t="str">
        <f>HYPERLINK("https://twitter.com/CanariasCycling","@CanariasCycling")</f>
        <v>@CanariasCycling</v>
      </c>
      <c r="C825" s="21" t="s">
        <v>1757</v>
      </c>
      <c r="D825" s="21" t="s">
        <v>1758</v>
      </c>
      <c r="E825" s="22" t="str">
        <f>HYPERLINK("https://twitter.com/CanariasCycling/status/804469881349533696","804469881349533696")</f>
        <v>804469881349533696</v>
      </c>
      <c r="F825" s="23" t="s">
        <v>26</v>
      </c>
      <c r="G825" s="24">
        <v>5026.0</v>
      </c>
      <c r="H825" s="24">
        <v>5441.0</v>
      </c>
      <c r="I825" s="24">
        <v>0.0</v>
      </c>
      <c r="J825" s="24">
        <v>0.0</v>
      </c>
      <c r="K825" s="23" t="s">
        <v>27</v>
      </c>
      <c r="L825" s="25">
        <v>41166.927766203706</v>
      </c>
      <c r="M825" s="28"/>
      <c r="N825" s="26" t="s">
        <v>1759</v>
      </c>
      <c r="O825" s="22" t="str">
        <f>HYPERLINK("https://pbs.twimg.com/profile_images/555770822682345472/hTRAEe9G_normal.png","View")</f>
        <v>View</v>
      </c>
      <c r="P825" s="27"/>
    </row>
    <row r="826">
      <c r="A826" s="19">
        <v>42705.989282407405</v>
      </c>
      <c r="B826" s="20" t="str">
        <f>HYPERLINK("https://twitter.com/pepeiito","@pepeiito")</f>
        <v>@pepeiito</v>
      </c>
      <c r="C826" s="21" t="s">
        <v>1760</v>
      </c>
      <c r="D826" s="21" t="s">
        <v>1734</v>
      </c>
      <c r="E826" s="22" t="str">
        <f>HYPERLINK("https://twitter.com/pepeiito/status/804471281890553857","804471281890553857")</f>
        <v>804471281890553857</v>
      </c>
      <c r="F826" s="23" t="s">
        <v>780</v>
      </c>
      <c r="G826" s="24">
        <v>174.0</v>
      </c>
      <c r="H826" s="24">
        <v>504.0</v>
      </c>
      <c r="I826" s="24">
        <v>38.0</v>
      </c>
      <c r="J826" s="24">
        <v>0.0</v>
      </c>
      <c r="K826" s="23" t="s">
        <v>27</v>
      </c>
      <c r="L826" s="25">
        <v>40646.91541666667</v>
      </c>
      <c r="M826" s="28"/>
      <c r="N826" s="26" t="s">
        <v>1761</v>
      </c>
      <c r="O826" s="22" t="str">
        <f>HYPERLINK("https://pbs.twimg.com/profile_images/777354828804595713/wI4E3ccg_normal.jpg","View")</f>
        <v>View</v>
      </c>
      <c r="P826" s="27"/>
    </row>
    <row r="827">
      <c r="A827" s="19">
        <v>42705.99078703704</v>
      </c>
      <c r="B827" s="20" t="str">
        <f>HYPERLINK("https://twitter.com/SimonTurkas","@SimonTurkas")</f>
        <v>@SimonTurkas</v>
      </c>
      <c r="C827" s="21" t="s">
        <v>326</v>
      </c>
      <c r="D827" s="21" t="s">
        <v>1762</v>
      </c>
      <c r="E827" s="22" t="str">
        <f>HYPERLINK("https://twitter.com/SimonTurkas/status/804471828555165696","804471828555165696")</f>
        <v>804471828555165696</v>
      </c>
      <c r="F827" s="23" t="s">
        <v>37</v>
      </c>
      <c r="G827" s="24">
        <v>14914.0</v>
      </c>
      <c r="H827" s="24">
        <v>10736.0</v>
      </c>
      <c r="I827" s="24">
        <v>6.0</v>
      </c>
      <c r="J827" s="24">
        <v>0.0</v>
      </c>
      <c r="K827" s="23" t="s">
        <v>27</v>
      </c>
      <c r="L827" s="25">
        <v>41019.515069444446</v>
      </c>
      <c r="M827" s="26" t="s">
        <v>328</v>
      </c>
      <c r="N827" s="26" t="s">
        <v>329</v>
      </c>
      <c r="O827" s="22" t="str">
        <f>HYPERLINK("https://pbs.twimg.com/profile_images/800292908008144896/TiECGUpd_normal.jpg","View")</f>
        <v>View</v>
      </c>
      <c r="P827" s="27"/>
    </row>
    <row r="828">
      <c r="A828" s="19">
        <v>42705.99144675926</v>
      </c>
      <c r="B828" s="20" t="str">
        <f>HYPERLINK("https://twitter.com/play_avi","@play_avi")</f>
        <v>@play_avi</v>
      </c>
      <c r="C828" s="21" t="s">
        <v>1763</v>
      </c>
      <c r="D828" s="21" t="s">
        <v>1734</v>
      </c>
      <c r="E828" s="22" t="str">
        <f>HYPERLINK("https://twitter.com/play_avi/status/804472065176772608","804472065176772608")</f>
        <v>804472065176772608</v>
      </c>
      <c r="F828" s="23" t="s">
        <v>1764</v>
      </c>
      <c r="G828" s="24">
        <v>5048.0</v>
      </c>
      <c r="H828" s="24">
        <v>1716.0</v>
      </c>
      <c r="I828" s="24">
        <v>38.0</v>
      </c>
      <c r="J828" s="24">
        <v>0.0</v>
      </c>
      <c r="K828" s="23" t="s">
        <v>27</v>
      </c>
      <c r="L828" s="25">
        <v>40033.51069444444</v>
      </c>
      <c r="M828" s="26" t="s">
        <v>1765</v>
      </c>
      <c r="N828" s="26" t="s">
        <v>1766</v>
      </c>
      <c r="O828" s="22" t="str">
        <f>HYPERLINK("https://pbs.twimg.com/profile_images/773521456416174080/gO2G4MEG_normal.jpg","View")</f>
        <v>View</v>
      </c>
      <c r="P828" s="27"/>
    </row>
    <row r="829">
      <c r="A829" s="19">
        <v>42705.993634259255</v>
      </c>
      <c r="B829" s="20" t="str">
        <f>HYPERLINK("https://twitter.com/paisajecanario","@paisajecanario")</f>
        <v>@paisajecanario</v>
      </c>
      <c r="C829" s="21" t="s">
        <v>70</v>
      </c>
      <c r="D829" s="21" t="s">
        <v>384</v>
      </c>
      <c r="E829" s="22" t="str">
        <f>HYPERLINK("https://twitter.com/paisajecanario/status/804472857287860224","804472857287860224")</f>
        <v>804472857287860224</v>
      </c>
      <c r="F829" s="23" t="s">
        <v>26</v>
      </c>
      <c r="G829" s="24">
        <v>13324.0</v>
      </c>
      <c r="H829" s="24">
        <v>434.0</v>
      </c>
      <c r="I829" s="24">
        <v>5.0</v>
      </c>
      <c r="J829" s="24">
        <v>0.0</v>
      </c>
      <c r="K829" s="23" t="s">
        <v>27</v>
      </c>
      <c r="L829" s="25">
        <v>41815.714641203704</v>
      </c>
      <c r="M829" s="26" t="s">
        <v>71</v>
      </c>
      <c r="N829" s="26" t="s">
        <v>72</v>
      </c>
      <c r="O829" s="22" t="str">
        <f>HYPERLINK("https://pbs.twimg.com/profile_images/789364630850240512/Mw90qAlM_normal.jpg","View")</f>
        <v>View</v>
      </c>
      <c r="P829" s="27"/>
    </row>
    <row r="830">
      <c r="A830" s="19">
        <v>42706.00150462963</v>
      </c>
      <c r="B830" s="20" t="str">
        <f>HYPERLINK("https://twitter.com/swisshop4uEs","@swisshop4uEs")</f>
        <v>@swisshop4uEs</v>
      </c>
      <c r="C830" s="21" t="s">
        <v>48</v>
      </c>
      <c r="D830" s="21" t="s">
        <v>1767</v>
      </c>
      <c r="E830" s="22" t="str">
        <f>HYPERLINK("https://twitter.com/swisshop4uEs/status/804475711750803464","804475711750803464")</f>
        <v>804475711750803464</v>
      </c>
      <c r="F830" s="23" t="s">
        <v>50</v>
      </c>
      <c r="G830" s="24">
        <v>455.0</v>
      </c>
      <c r="H830" s="24">
        <v>424.0</v>
      </c>
      <c r="I830" s="24">
        <v>0.0</v>
      </c>
      <c r="J830" s="24">
        <v>0.0</v>
      </c>
      <c r="K830" s="23" t="s">
        <v>27</v>
      </c>
      <c r="L830" s="25">
        <v>41468.93072916666</v>
      </c>
      <c r="M830" s="26" t="s">
        <v>51</v>
      </c>
      <c r="N830" s="26" t="s">
        <v>52</v>
      </c>
      <c r="O830" s="22" t="str">
        <f>HYPERLINK("https://pbs.twimg.com/profile_images/378800000213382003/4f562b59f92995b884d2d440f71fc5ce_normal.png","View")</f>
        <v>View</v>
      </c>
      <c r="P830" s="27"/>
    </row>
    <row r="831">
      <c r="A831" s="19">
        <v>42706.01149305556</v>
      </c>
      <c r="B831" s="20" t="str">
        <f>HYPERLINK("https://twitter.com/spysc","@spysc")</f>
        <v>@spysc</v>
      </c>
      <c r="C831" s="21" t="s">
        <v>1768</v>
      </c>
      <c r="D831" s="21" t="s">
        <v>1734</v>
      </c>
      <c r="E831" s="22" t="str">
        <f>HYPERLINK("https://twitter.com/spysc/status/804479330747301888","804479330747301888")</f>
        <v>804479330747301888</v>
      </c>
      <c r="F831" s="23" t="s">
        <v>41</v>
      </c>
      <c r="G831" s="24">
        <v>507.0</v>
      </c>
      <c r="H831" s="24">
        <v>603.0</v>
      </c>
      <c r="I831" s="24">
        <v>38.0</v>
      </c>
      <c r="J831" s="24">
        <v>0.0</v>
      </c>
      <c r="K831" s="23" t="s">
        <v>27</v>
      </c>
      <c r="L831" s="25">
        <v>41127.550578703704</v>
      </c>
      <c r="M831" s="26" t="s">
        <v>1769</v>
      </c>
      <c r="N831" s="26" t="s">
        <v>1770</v>
      </c>
      <c r="O831" s="22" t="str">
        <f>HYPERLINK("https://pbs.twimg.com/profile_images/3162944145/8a2c6f12ac31c352f802d6ec02c3b720_normal.jpeg","View")</f>
        <v>View</v>
      </c>
      <c r="P831" s="27"/>
    </row>
    <row r="832">
      <c r="A832" s="19">
        <v>42706.01623842593</v>
      </c>
      <c r="B832" s="20" t="str">
        <f>HYPERLINK("https://twitter.com/casacanarias","@casacanarias")</f>
        <v>@casacanarias</v>
      </c>
      <c r="C832" s="21" t="s">
        <v>1771</v>
      </c>
      <c r="D832" s="21" t="s">
        <v>1772</v>
      </c>
      <c r="E832" s="22" t="str">
        <f>HYPERLINK("https://twitter.com/casacanarias/status/804481050571313152","804481050571313152")</f>
        <v>804481050571313152</v>
      </c>
      <c r="F832" s="23" t="s">
        <v>37</v>
      </c>
      <c r="G832" s="24">
        <v>30.0</v>
      </c>
      <c r="H832" s="24">
        <v>39.0</v>
      </c>
      <c r="I832" s="24">
        <v>0.0</v>
      </c>
      <c r="J832" s="24">
        <v>2.0</v>
      </c>
      <c r="K832" s="23" t="s">
        <v>27</v>
      </c>
      <c r="L832" s="25">
        <v>42365.87599537037</v>
      </c>
      <c r="M832" s="26" t="s">
        <v>51</v>
      </c>
      <c r="N832" s="26" t="s">
        <v>1773</v>
      </c>
      <c r="O832" s="22" t="str">
        <f>HYPERLINK("https://pbs.twimg.com/profile_images/681222709368455169/gZ_mKXvL_normal.jpg","View")</f>
        <v>View</v>
      </c>
      <c r="P832" s="27"/>
    </row>
    <row r="833">
      <c r="A833" s="19">
        <v>42706.046377314815</v>
      </c>
      <c r="B833" s="20" t="str">
        <f>HYPERLINK("https://twitter.com/Honey_B69","@Honey_B69")</f>
        <v>@Honey_B69</v>
      </c>
      <c r="C833" s="21" t="s">
        <v>1774</v>
      </c>
      <c r="D833" s="21" t="s">
        <v>1734</v>
      </c>
      <c r="E833" s="22" t="str">
        <f>HYPERLINK("https://twitter.com/Honey_B69/status/804491970521481217","804491970521481217")</f>
        <v>804491970521481217</v>
      </c>
      <c r="F833" s="23" t="s">
        <v>41</v>
      </c>
      <c r="G833" s="24">
        <v>509943.0</v>
      </c>
      <c r="H833" s="24">
        <v>1440.0</v>
      </c>
      <c r="I833" s="24">
        <v>38.0</v>
      </c>
      <c r="J833" s="24">
        <v>0.0</v>
      </c>
      <c r="K833" s="23" t="s">
        <v>27</v>
      </c>
      <c r="L833" s="25">
        <v>41652.18900462963</v>
      </c>
      <c r="M833" s="26" t="s">
        <v>1775</v>
      </c>
      <c r="N833" s="26" t="s">
        <v>1776</v>
      </c>
      <c r="O833" s="22" t="str">
        <f>HYPERLINK("https://pbs.twimg.com/profile_images/435262182088269824/LFXgWoQL_normal.jpeg","View")</f>
        <v>View</v>
      </c>
      <c r="P833" s="27"/>
    </row>
    <row r="834">
      <c r="A834" s="19">
        <v>42706.0893287037</v>
      </c>
      <c r="B834" s="20" t="str">
        <f>HYPERLINK("https://twitter.com/asierbaquero","@asierbaquero")</f>
        <v>@asierbaquero</v>
      </c>
      <c r="C834" s="21" t="s">
        <v>201</v>
      </c>
      <c r="D834" s="21" t="s">
        <v>1777</v>
      </c>
      <c r="E834" s="22" t="str">
        <f>HYPERLINK("https://twitter.com/asierbaquero/status/804507537244561408","804507537244561408")</f>
        <v>804507537244561408</v>
      </c>
      <c r="F834" s="23" t="s">
        <v>81</v>
      </c>
      <c r="G834" s="24">
        <v>11368.0</v>
      </c>
      <c r="H834" s="24">
        <v>11204.0</v>
      </c>
      <c r="I834" s="24">
        <v>0.0</v>
      </c>
      <c r="J834" s="24">
        <v>2.0</v>
      </c>
      <c r="K834" s="23" t="s">
        <v>27</v>
      </c>
      <c r="L834" s="25">
        <v>39982.34755787037</v>
      </c>
      <c r="M834" s="26" t="s">
        <v>203</v>
      </c>
      <c r="N834" s="26" t="s">
        <v>204</v>
      </c>
      <c r="O834" s="22" t="str">
        <f>HYPERLINK("https://pbs.twimg.com/profile_images/3497575836/b2ae6be61f3184c86257069654bfa8d6_normal.jpeg","View")</f>
        <v>View</v>
      </c>
      <c r="P834" s="27" t="str">
        <f>HYPERLINK("https://ctrlq.org/maps/address/#28.1,-15.4","Map")</f>
        <v>#ERROR!</v>
      </c>
    </row>
    <row r="835">
      <c r="A835" s="19">
        <v>42706.11684027778</v>
      </c>
      <c r="B835" s="20" t="str">
        <f>HYPERLINK("https://twitter.com/Gus_texeda","@Gus_texeda")</f>
        <v>@Gus_texeda</v>
      </c>
      <c r="C835" s="21" t="s">
        <v>1778</v>
      </c>
      <c r="D835" s="21" t="s">
        <v>1614</v>
      </c>
      <c r="E835" s="22" t="str">
        <f>HYPERLINK("https://twitter.com/Gus_texeda/status/804517508342489088","804517508342489088")</f>
        <v>804517508342489088</v>
      </c>
      <c r="F835" s="23" t="s">
        <v>37</v>
      </c>
      <c r="G835" s="24">
        <v>284.0</v>
      </c>
      <c r="H835" s="24">
        <v>27.0</v>
      </c>
      <c r="I835" s="24">
        <v>4.0</v>
      </c>
      <c r="J835" s="24">
        <v>0.0</v>
      </c>
      <c r="K835" s="23" t="s">
        <v>27</v>
      </c>
      <c r="L835" s="25">
        <v>41662.90178240741</v>
      </c>
      <c r="M835" s="26" t="s">
        <v>1779</v>
      </c>
      <c r="N835" s="26" t="s">
        <v>1780</v>
      </c>
      <c r="O835" s="22" t="str">
        <f>HYPERLINK("https://pbs.twimg.com/profile_images/778948558615699456/WR4Gti1j_normal.jpg","View")</f>
        <v>View</v>
      </c>
      <c r="P835" s="27"/>
    </row>
    <row r="836">
      <c r="A836" s="19">
        <v>42706.1531712963</v>
      </c>
      <c r="B836" s="20" t="str">
        <f>HYPERLINK("https://twitter.com/sonal_2","@sonal_2")</f>
        <v>@sonal_2</v>
      </c>
      <c r="C836" s="21" t="s">
        <v>1781</v>
      </c>
      <c r="D836" s="21" t="s">
        <v>1734</v>
      </c>
      <c r="E836" s="22" t="str">
        <f>HYPERLINK("https://twitter.com/sonal_2/status/804530673197326338","804530673197326338")</f>
        <v>804530673197326338</v>
      </c>
      <c r="F836" s="23" t="s">
        <v>41</v>
      </c>
      <c r="G836" s="24">
        <v>342417.0</v>
      </c>
      <c r="H836" s="24">
        <v>381.0</v>
      </c>
      <c r="I836" s="24">
        <v>38.0</v>
      </c>
      <c r="J836" s="24">
        <v>0.0</v>
      </c>
      <c r="K836" s="23" t="s">
        <v>27</v>
      </c>
      <c r="L836" s="25">
        <v>41850.88092592593</v>
      </c>
      <c r="M836" s="28"/>
      <c r="N836" s="28"/>
      <c r="O836" s="22" t="str">
        <f>HYPERLINK("https://pbs.twimg.com/profile_images/805490160414527488/BhaBtFH-_normal.jpg","View")</f>
        <v>View</v>
      </c>
      <c r="P836" s="27"/>
    </row>
    <row r="837">
      <c r="A837" s="19">
        <v>42706.15565972222</v>
      </c>
      <c r="B837" s="20" t="str">
        <f>HYPERLINK("https://twitter.com/beststarsofporn","@beststarsofporn")</f>
        <v>@beststarsofporn</v>
      </c>
      <c r="C837" s="21" t="s">
        <v>1782</v>
      </c>
      <c r="D837" s="21" t="s">
        <v>1734</v>
      </c>
      <c r="E837" s="22" t="str">
        <f>HYPERLINK("https://twitter.com/beststarsofporn/status/804531573651451904","804531573651451904")</f>
        <v>804531573651451904</v>
      </c>
      <c r="F837" s="23" t="s">
        <v>37</v>
      </c>
      <c r="G837" s="24">
        <v>360.0</v>
      </c>
      <c r="H837" s="24">
        <v>631.0</v>
      </c>
      <c r="I837" s="24">
        <v>38.0</v>
      </c>
      <c r="J837" s="24">
        <v>0.0</v>
      </c>
      <c r="K837" s="23" t="s">
        <v>27</v>
      </c>
      <c r="L837" s="25">
        <v>41911.121712962966</v>
      </c>
      <c r="M837" s="26" t="s">
        <v>1783</v>
      </c>
      <c r="N837" s="26" t="s">
        <v>1784</v>
      </c>
      <c r="O837" s="22" t="str">
        <f>HYPERLINK("https://pbs.twimg.com/profile_images/644589060376395776/Z28AH7rc_normal.jpg","View")</f>
        <v>View</v>
      </c>
      <c r="P837" s="27"/>
    </row>
    <row r="838">
      <c r="A838" s="19">
        <v>42706.16166666667</v>
      </c>
      <c r="B838" s="20" t="str">
        <f>HYPERLINK("https://twitter.com/RitoVieira","@RitoVieira")</f>
        <v>@RitoVieira</v>
      </c>
      <c r="C838" s="21" t="s">
        <v>1785</v>
      </c>
      <c r="D838" s="21" t="s">
        <v>1734</v>
      </c>
      <c r="E838" s="22" t="str">
        <f>HYPERLINK("https://twitter.com/RitoVieira/status/804533750684151808","804533750684151808")</f>
        <v>804533750684151808</v>
      </c>
      <c r="F838" s="23" t="s">
        <v>41</v>
      </c>
      <c r="G838" s="24">
        <v>458.0</v>
      </c>
      <c r="H838" s="24">
        <v>440.0</v>
      </c>
      <c r="I838" s="24">
        <v>38.0</v>
      </c>
      <c r="J838" s="24">
        <v>0.0</v>
      </c>
      <c r="K838" s="23" t="s">
        <v>27</v>
      </c>
      <c r="L838" s="25">
        <v>41245.469664351855</v>
      </c>
      <c r="M838" s="26" t="s">
        <v>1786</v>
      </c>
      <c r="N838" s="26" t="s">
        <v>1787</v>
      </c>
      <c r="O838" s="22" t="str">
        <f>HYPERLINK("https://pbs.twimg.com/profile_images/411975980937269248/DC66o80U_normal.jpeg","View")</f>
        <v>View</v>
      </c>
      <c r="P838" s="27"/>
    </row>
    <row r="839">
      <c r="A839" s="19">
        <v>42706.164814814816</v>
      </c>
      <c r="B839" s="20" t="str">
        <f>HYPERLINK("https://twitter.com/reveroncheche","@reveroncheche")</f>
        <v>@reveroncheche</v>
      </c>
      <c r="C839" s="21" t="s">
        <v>1788</v>
      </c>
      <c r="D839" s="21" t="s">
        <v>1332</v>
      </c>
      <c r="E839" s="22" t="str">
        <f>HYPERLINK("https://twitter.com/reveroncheche/status/804534893506101248","804534893506101248")</f>
        <v>804534893506101248</v>
      </c>
      <c r="F839" s="23" t="s">
        <v>41</v>
      </c>
      <c r="G839" s="24">
        <v>698.0</v>
      </c>
      <c r="H839" s="24">
        <v>1615.0</v>
      </c>
      <c r="I839" s="24">
        <v>12.0</v>
      </c>
      <c r="J839" s="24">
        <v>0.0</v>
      </c>
      <c r="K839" s="23" t="s">
        <v>27</v>
      </c>
      <c r="L839" s="25">
        <v>40926.91699074074</v>
      </c>
      <c r="M839" s="26" t="s">
        <v>1769</v>
      </c>
      <c r="N839" s="26" t="s">
        <v>1789</v>
      </c>
      <c r="O839" s="22" t="str">
        <f>HYPERLINK("https://pbs.twimg.com/profile_images/635895484595478528/XJad-ZxV_normal.jpg","View")</f>
        <v>View</v>
      </c>
      <c r="P839" s="27"/>
    </row>
    <row r="840">
      <c r="A840" s="19">
        <v>42706.16616898148</v>
      </c>
      <c r="B840" s="20" t="str">
        <f>HYPERLINK("https://twitter.com/firehot841","@firehot841")</f>
        <v>@firehot841</v>
      </c>
      <c r="C840" s="21" t="s">
        <v>1790</v>
      </c>
      <c r="D840" s="21" t="s">
        <v>1734</v>
      </c>
      <c r="E840" s="22" t="str">
        <f>HYPERLINK("https://twitter.com/firehot841/status/804535381131726850","804535381131726850")</f>
        <v>804535381131726850</v>
      </c>
      <c r="F840" s="23" t="s">
        <v>41</v>
      </c>
      <c r="G840" s="24">
        <v>839.0</v>
      </c>
      <c r="H840" s="24">
        <v>1297.0</v>
      </c>
      <c r="I840" s="24">
        <v>38.0</v>
      </c>
      <c r="J840" s="24">
        <v>0.0</v>
      </c>
      <c r="K840" s="23" t="s">
        <v>27</v>
      </c>
      <c r="L840" s="25">
        <v>41435.04320601852</v>
      </c>
      <c r="M840" s="26" t="s">
        <v>1791</v>
      </c>
      <c r="N840" s="26" t="s">
        <v>1792</v>
      </c>
      <c r="O840" s="22" t="str">
        <f>HYPERLINK("https://pbs.twimg.com/profile_images/554159262981967872/8lvKm50B_normal.jpeg","View")</f>
        <v>View</v>
      </c>
      <c r="P840" s="27"/>
    </row>
    <row r="841">
      <c r="A841" s="19">
        <v>42706.16892361111</v>
      </c>
      <c r="B841" s="20" t="str">
        <f>HYPERLINK("https://twitter.com/SandraDanby","@SandraDanby")</f>
        <v>@SandraDanby</v>
      </c>
      <c r="C841" s="21" t="s">
        <v>415</v>
      </c>
      <c r="D841" s="21" t="s">
        <v>1793</v>
      </c>
      <c r="E841" s="22" t="str">
        <f>HYPERLINK("https://twitter.com/SandraDanby/status/804536380663758850","804536380663758850")</f>
        <v>804536380663758850</v>
      </c>
      <c r="F841" s="23" t="s">
        <v>77</v>
      </c>
      <c r="G841" s="24">
        <v>864.0</v>
      </c>
      <c r="H841" s="24">
        <v>414.0</v>
      </c>
      <c r="I841" s="24">
        <v>1.0</v>
      </c>
      <c r="J841" s="24">
        <v>2.0</v>
      </c>
      <c r="K841" s="23" t="s">
        <v>27</v>
      </c>
      <c r="L841" s="25">
        <v>41698.47079861111</v>
      </c>
      <c r="M841" s="26" t="s">
        <v>353</v>
      </c>
      <c r="N841" s="26" t="s">
        <v>417</v>
      </c>
      <c r="O841" s="22" t="str">
        <f>HYPERLINK("https://pbs.twimg.com/profile_images/664118244702310400/CgCkt2Uu_normal.jpg","View")</f>
        <v>View</v>
      </c>
      <c r="P841" s="27"/>
    </row>
    <row r="842">
      <c r="A842" s="19">
        <v>42706.22167824074</v>
      </c>
      <c r="B842" s="20" t="str">
        <f>HYPERLINK("https://twitter.com/pedivoet","@pedivoet")</f>
        <v>@pedivoet</v>
      </c>
      <c r="C842" s="21" t="s">
        <v>1794</v>
      </c>
      <c r="D842" s="21" t="s">
        <v>1734</v>
      </c>
      <c r="E842" s="22" t="str">
        <f>HYPERLINK("https://twitter.com/pedivoet/status/804555499836506112","804555499836506112")</f>
        <v>804555499836506112</v>
      </c>
      <c r="F842" s="23" t="s">
        <v>41</v>
      </c>
      <c r="G842" s="24">
        <v>22165.0</v>
      </c>
      <c r="H842" s="24">
        <v>1007.0</v>
      </c>
      <c r="I842" s="24">
        <v>38.0</v>
      </c>
      <c r="J842" s="24">
        <v>0.0</v>
      </c>
      <c r="K842" s="23" t="s">
        <v>27</v>
      </c>
      <c r="L842" s="25">
        <v>41298.88287037037</v>
      </c>
      <c r="M842" s="28"/>
      <c r="N842" s="26" t="s">
        <v>1795</v>
      </c>
      <c r="O842" s="22" t="str">
        <f>HYPERLINK("https://pbs.twimg.com/profile_images/717234265713352704/SpyGMAuJ_normal.jpg","View")</f>
        <v>View</v>
      </c>
      <c r="P842" s="27"/>
    </row>
    <row r="843">
      <c r="A843" s="19">
        <v>42706.22587962963</v>
      </c>
      <c r="B843" s="20" t="str">
        <f>HYPERLINK("https://twitter.com/Arte8Pop","@Arte8Pop")</f>
        <v>@Arte8Pop</v>
      </c>
      <c r="C843" s="21" t="s">
        <v>486</v>
      </c>
      <c r="D843" s="21" t="s">
        <v>1796</v>
      </c>
      <c r="E843" s="22" t="str">
        <f>HYPERLINK("https://twitter.com/Arte8Pop/status/804557019588005889","804557019588005889")</f>
        <v>804557019588005889</v>
      </c>
      <c r="F843" s="23" t="s">
        <v>59</v>
      </c>
      <c r="G843" s="24">
        <v>243.0</v>
      </c>
      <c r="H843" s="24">
        <v>489.0</v>
      </c>
      <c r="I843" s="24">
        <v>0.0</v>
      </c>
      <c r="J843" s="24">
        <v>0.0</v>
      </c>
      <c r="K843" s="23" t="s">
        <v>27</v>
      </c>
      <c r="L843" s="25">
        <v>41633.79451388889</v>
      </c>
      <c r="M843" s="26" t="s">
        <v>488</v>
      </c>
      <c r="N843" s="26" t="s">
        <v>486</v>
      </c>
      <c r="O843" s="22" t="str">
        <f>HYPERLINK("https://pbs.twimg.com/profile_images/664416561084686336/4IvWuK-e_normal.jpg","View")</f>
        <v>View</v>
      </c>
      <c r="P843" s="27"/>
    </row>
    <row r="844">
      <c r="A844" s="19">
        <v>42706.230520833335</v>
      </c>
      <c r="B844" s="20" t="str">
        <f t="shared" ref="B844:B850" si="98">HYPERLINK("https://twitter.com/bermaxo09","@bermaxo09")</f>
        <v>@bermaxo09</v>
      </c>
      <c r="C844" s="21" t="s">
        <v>284</v>
      </c>
      <c r="D844" s="21" t="s">
        <v>1797</v>
      </c>
      <c r="E844" s="22" t="str">
        <f>HYPERLINK("https://twitter.com/bermaxo09/status/804558701227024384","804558701227024384")</f>
        <v>804558701227024384</v>
      </c>
      <c r="F844" s="23" t="s">
        <v>37</v>
      </c>
      <c r="G844" s="24">
        <v>193.0</v>
      </c>
      <c r="H844" s="24">
        <v>196.0</v>
      </c>
      <c r="I844" s="24">
        <v>0.0</v>
      </c>
      <c r="J844" s="24">
        <v>2.0</v>
      </c>
      <c r="K844" s="23" t="s">
        <v>27</v>
      </c>
      <c r="L844" s="25">
        <v>42689.441516203704</v>
      </c>
      <c r="M844" s="26" t="s">
        <v>109</v>
      </c>
      <c r="N844" s="26" t="s">
        <v>286</v>
      </c>
      <c r="O844" s="22" t="str">
        <f t="shared" ref="O844:O850" si="99">HYPERLINK("https://pbs.twimg.com/profile_images/798476790478073856/iOD0HIRa_normal.jpg","View")</f>
        <v>View</v>
      </c>
      <c r="P844" s="27"/>
    </row>
    <row r="845">
      <c r="A845" s="19">
        <v>42706.23265046296</v>
      </c>
      <c r="B845" s="20" t="str">
        <f t="shared" si="98"/>
        <v>@bermaxo09</v>
      </c>
      <c r="C845" s="21" t="s">
        <v>284</v>
      </c>
      <c r="D845" s="21" t="s">
        <v>1798</v>
      </c>
      <c r="E845" s="22" t="str">
        <f>HYPERLINK("https://twitter.com/bermaxo09/status/804559473918480384","804559473918480384")</f>
        <v>804559473918480384</v>
      </c>
      <c r="F845" s="23" t="s">
        <v>37</v>
      </c>
      <c r="G845" s="24">
        <v>193.0</v>
      </c>
      <c r="H845" s="24">
        <v>196.0</v>
      </c>
      <c r="I845" s="24">
        <v>0.0</v>
      </c>
      <c r="J845" s="24">
        <v>4.0</v>
      </c>
      <c r="K845" s="23" t="s">
        <v>27</v>
      </c>
      <c r="L845" s="25">
        <v>42689.441516203704</v>
      </c>
      <c r="M845" s="26" t="s">
        <v>109</v>
      </c>
      <c r="N845" s="26" t="s">
        <v>286</v>
      </c>
      <c r="O845" s="22" t="str">
        <f t="shared" si="99"/>
        <v>View</v>
      </c>
      <c r="P845" s="27"/>
    </row>
    <row r="846">
      <c r="A846" s="19">
        <v>42706.23571759259</v>
      </c>
      <c r="B846" s="20" t="str">
        <f t="shared" si="98"/>
        <v>@bermaxo09</v>
      </c>
      <c r="C846" s="21" t="s">
        <v>284</v>
      </c>
      <c r="D846" s="21" t="s">
        <v>1799</v>
      </c>
      <c r="E846" s="22" t="str">
        <f>HYPERLINK("https://twitter.com/bermaxo09/status/804560585237155840","804560585237155840")</f>
        <v>804560585237155840</v>
      </c>
      <c r="F846" s="23" t="s">
        <v>37</v>
      </c>
      <c r="G846" s="24">
        <v>193.0</v>
      </c>
      <c r="H846" s="24">
        <v>196.0</v>
      </c>
      <c r="I846" s="24">
        <v>0.0</v>
      </c>
      <c r="J846" s="24">
        <v>3.0</v>
      </c>
      <c r="K846" s="23" t="s">
        <v>27</v>
      </c>
      <c r="L846" s="25">
        <v>42689.441516203704</v>
      </c>
      <c r="M846" s="26" t="s">
        <v>109</v>
      </c>
      <c r="N846" s="26" t="s">
        <v>286</v>
      </c>
      <c r="O846" s="22" t="str">
        <f t="shared" si="99"/>
        <v>View</v>
      </c>
      <c r="P846" s="27"/>
    </row>
    <row r="847">
      <c r="A847" s="19">
        <v>42706.23841435185</v>
      </c>
      <c r="B847" s="20" t="str">
        <f t="shared" si="98"/>
        <v>@bermaxo09</v>
      </c>
      <c r="C847" s="21" t="s">
        <v>284</v>
      </c>
      <c r="D847" s="21" t="s">
        <v>1800</v>
      </c>
      <c r="E847" s="22" t="str">
        <f>HYPERLINK("https://twitter.com/bermaxo09/status/804561563692711936","804561563692711936")</f>
        <v>804561563692711936</v>
      </c>
      <c r="F847" s="23" t="s">
        <v>37</v>
      </c>
      <c r="G847" s="24">
        <v>193.0</v>
      </c>
      <c r="H847" s="24">
        <v>196.0</v>
      </c>
      <c r="I847" s="24">
        <v>1.0</v>
      </c>
      <c r="J847" s="24">
        <v>4.0</v>
      </c>
      <c r="K847" s="23" t="s">
        <v>27</v>
      </c>
      <c r="L847" s="25">
        <v>42689.441516203704</v>
      </c>
      <c r="M847" s="26" t="s">
        <v>109</v>
      </c>
      <c r="N847" s="26" t="s">
        <v>286</v>
      </c>
      <c r="O847" s="22" t="str">
        <f t="shared" si="99"/>
        <v>View</v>
      </c>
      <c r="P847" s="27"/>
    </row>
    <row r="848">
      <c r="A848" s="19">
        <v>42706.23958333333</v>
      </c>
      <c r="B848" s="20" t="str">
        <f t="shared" si="98"/>
        <v>@bermaxo09</v>
      </c>
      <c r="C848" s="21" t="s">
        <v>284</v>
      </c>
      <c r="D848" s="21" t="s">
        <v>1801</v>
      </c>
      <c r="E848" s="22" t="str">
        <f>HYPERLINK("https://twitter.com/bermaxo09/status/804561986746982400","804561986746982400")</f>
        <v>804561986746982400</v>
      </c>
      <c r="F848" s="23" t="s">
        <v>37</v>
      </c>
      <c r="G848" s="24">
        <v>193.0</v>
      </c>
      <c r="H848" s="24">
        <v>196.0</v>
      </c>
      <c r="I848" s="24">
        <v>0.0</v>
      </c>
      <c r="J848" s="24">
        <v>2.0</v>
      </c>
      <c r="K848" s="23" t="s">
        <v>27</v>
      </c>
      <c r="L848" s="25">
        <v>42689.441516203704</v>
      </c>
      <c r="M848" s="26" t="s">
        <v>109</v>
      </c>
      <c r="N848" s="26" t="s">
        <v>286</v>
      </c>
      <c r="O848" s="22" t="str">
        <f t="shared" si="99"/>
        <v>View</v>
      </c>
      <c r="P848" s="27"/>
    </row>
    <row r="849">
      <c r="A849" s="19">
        <v>42706.24059027778</v>
      </c>
      <c r="B849" s="20" t="str">
        <f t="shared" si="98"/>
        <v>@bermaxo09</v>
      </c>
      <c r="C849" s="21" t="s">
        <v>284</v>
      </c>
      <c r="D849" s="21" t="s">
        <v>1802</v>
      </c>
      <c r="E849" s="22" t="str">
        <f>HYPERLINK("https://twitter.com/bermaxo09/status/804562353434071040","804562353434071040")</f>
        <v>804562353434071040</v>
      </c>
      <c r="F849" s="23" t="s">
        <v>37</v>
      </c>
      <c r="G849" s="24">
        <v>193.0</v>
      </c>
      <c r="H849" s="24">
        <v>196.0</v>
      </c>
      <c r="I849" s="24">
        <v>0.0</v>
      </c>
      <c r="J849" s="24">
        <v>4.0</v>
      </c>
      <c r="K849" s="23" t="s">
        <v>27</v>
      </c>
      <c r="L849" s="25">
        <v>42689.441516203704</v>
      </c>
      <c r="M849" s="26" t="s">
        <v>109</v>
      </c>
      <c r="N849" s="26" t="s">
        <v>286</v>
      </c>
      <c r="O849" s="22" t="str">
        <f t="shared" si="99"/>
        <v>View</v>
      </c>
      <c r="P849" s="27"/>
    </row>
    <row r="850">
      <c r="A850" s="19">
        <v>42706.24197916666</v>
      </c>
      <c r="B850" s="20" t="str">
        <f t="shared" si="98"/>
        <v>@bermaxo09</v>
      </c>
      <c r="C850" s="21" t="s">
        <v>284</v>
      </c>
      <c r="D850" s="21" t="s">
        <v>1803</v>
      </c>
      <c r="E850" s="22" t="str">
        <f>HYPERLINK("https://twitter.com/bermaxo09/status/804562856415035392","804562856415035392")</f>
        <v>804562856415035392</v>
      </c>
      <c r="F850" s="23" t="s">
        <v>37</v>
      </c>
      <c r="G850" s="24">
        <v>193.0</v>
      </c>
      <c r="H850" s="24">
        <v>196.0</v>
      </c>
      <c r="I850" s="24">
        <v>0.0</v>
      </c>
      <c r="J850" s="24">
        <v>2.0</v>
      </c>
      <c r="K850" s="23" t="s">
        <v>27</v>
      </c>
      <c r="L850" s="25">
        <v>42689.441516203704</v>
      </c>
      <c r="M850" s="26" t="s">
        <v>109</v>
      </c>
      <c r="N850" s="26" t="s">
        <v>286</v>
      </c>
      <c r="O850" s="22" t="str">
        <f t="shared" si="99"/>
        <v>View</v>
      </c>
      <c r="P850" s="27"/>
    </row>
    <row r="851">
      <c r="A851" s="19">
        <v>42706.27543981481</v>
      </c>
      <c r="B851" s="20" t="str">
        <f>HYPERLINK("https://twitter.com/somoslavlav","@somoslavlav")</f>
        <v>@somoslavlav</v>
      </c>
      <c r="C851" s="21" t="s">
        <v>1804</v>
      </c>
      <c r="D851" s="21" t="s">
        <v>1805</v>
      </c>
      <c r="E851" s="22" t="str">
        <f>HYPERLINK("https://twitter.com/somoslavlav/status/804574983439663104","804574983439663104")</f>
        <v>804574983439663104</v>
      </c>
      <c r="F851" s="23" t="s">
        <v>59</v>
      </c>
      <c r="G851" s="24">
        <v>45.0</v>
      </c>
      <c r="H851" s="24">
        <v>79.0</v>
      </c>
      <c r="I851" s="24">
        <v>0.0</v>
      </c>
      <c r="J851" s="24">
        <v>0.0</v>
      </c>
      <c r="K851" s="23" t="s">
        <v>27</v>
      </c>
      <c r="L851" s="25">
        <v>42449.738287037035</v>
      </c>
      <c r="M851" s="26" t="s">
        <v>991</v>
      </c>
      <c r="N851" s="26" t="s">
        <v>1806</v>
      </c>
      <c r="O851" s="22" t="str">
        <f>HYPERLINK("https://pbs.twimg.com/profile_images/786985359024553984/o5mbTns9_normal.jpg","View")</f>
        <v>View</v>
      </c>
      <c r="P851" s="27"/>
    </row>
    <row r="852">
      <c r="A852" s="19">
        <v>42706.286990740744</v>
      </c>
      <c r="B852" s="20" t="str">
        <f>HYPERLINK("https://twitter.com/Micoo7","@Micoo7")</f>
        <v>@Micoo7</v>
      </c>
      <c r="C852" s="21" t="s">
        <v>1807</v>
      </c>
      <c r="D852" s="21" t="s">
        <v>1734</v>
      </c>
      <c r="E852" s="22" t="str">
        <f>HYPERLINK("https://twitter.com/Micoo7/status/804579166574231552","804579166574231552")</f>
        <v>804579166574231552</v>
      </c>
      <c r="F852" s="23" t="s">
        <v>41</v>
      </c>
      <c r="G852" s="24">
        <v>203.0</v>
      </c>
      <c r="H852" s="24">
        <v>1008.0</v>
      </c>
      <c r="I852" s="24">
        <v>38.0</v>
      </c>
      <c r="J852" s="24">
        <v>0.0</v>
      </c>
      <c r="K852" s="23" t="s">
        <v>27</v>
      </c>
      <c r="L852" s="25">
        <v>42498.340370370366</v>
      </c>
      <c r="M852" s="26" t="s">
        <v>1808</v>
      </c>
      <c r="N852" s="26" t="s">
        <v>1809</v>
      </c>
      <c r="O852" s="22" t="str">
        <f>HYPERLINK("https://pbs.twimg.com/profile_images/767621754898579456/rs-lOg2T_normal.jpg","View")</f>
        <v>View</v>
      </c>
      <c r="P852" s="27"/>
    </row>
    <row r="853">
      <c r="A853" s="19">
        <v>42706.28974537037</v>
      </c>
      <c r="B853" s="20" t="str">
        <f>HYPERLINK("https://twitter.com/mrgaryhollywood","@mrgaryhollywood")</f>
        <v>@mrgaryhollywood</v>
      </c>
      <c r="C853" s="21" t="s">
        <v>1495</v>
      </c>
      <c r="D853" s="21" t="s">
        <v>1810</v>
      </c>
      <c r="E853" s="22" t="str">
        <f>HYPERLINK("https://twitter.com/mrgaryhollywood/status/804580164952854528","804580164952854528")</f>
        <v>804580164952854528</v>
      </c>
      <c r="F853" s="23" t="s">
        <v>26</v>
      </c>
      <c r="G853" s="24">
        <v>1935.0</v>
      </c>
      <c r="H853" s="24">
        <v>347.0</v>
      </c>
      <c r="I853" s="24">
        <v>1.0</v>
      </c>
      <c r="J853" s="24">
        <v>23.0</v>
      </c>
      <c r="K853" s="23" t="s">
        <v>27</v>
      </c>
      <c r="L853" s="25">
        <v>42605.49872685185</v>
      </c>
      <c r="M853" s="26" t="s">
        <v>305</v>
      </c>
      <c r="N853" s="26" t="s">
        <v>1497</v>
      </c>
      <c r="O853" s="22" t="str">
        <f>HYPERLINK("https://pbs.twimg.com/profile_images/768044411976646656/on8rcxYg_normal.jpg","View")</f>
        <v>View</v>
      </c>
      <c r="P853" s="27"/>
    </row>
    <row r="854">
      <c r="A854" s="19">
        <v>42706.29077546296</v>
      </c>
      <c r="B854" s="20" t="str">
        <f t="shared" ref="B854:B855" si="100">HYPERLINK("https://twitter.com/asierbaquero","@asierbaquero")</f>
        <v>@asierbaquero</v>
      </c>
      <c r="C854" s="21" t="s">
        <v>201</v>
      </c>
      <c r="D854" s="21" t="s">
        <v>1811</v>
      </c>
      <c r="E854" s="22" t="str">
        <f>HYPERLINK("https://twitter.com/asierbaquero/status/804580537474150400","804580537474150400")</f>
        <v>804580537474150400</v>
      </c>
      <c r="F854" s="23" t="s">
        <v>81</v>
      </c>
      <c r="G854" s="24">
        <v>11368.0</v>
      </c>
      <c r="H854" s="24">
        <v>11204.0</v>
      </c>
      <c r="I854" s="24">
        <v>0.0</v>
      </c>
      <c r="J854" s="24">
        <v>1.0</v>
      </c>
      <c r="K854" s="23" t="s">
        <v>27</v>
      </c>
      <c r="L854" s="25">
        <v>39982.34755787037</v>
      </c>
      <c r="M854" s="26" t="s">
        <v>203</v>
      </c>
      <c r="N854" s="26" t="s">
        <v>204</v>
      </c>
      <c r="O854" s="22" t="str">
        <f t="shared" ref="O854:O855" si="101">HYPERLINK("https://pbs.twimg.com/profile_images/3497575836/b2ae6be61f3184c86257069654bfa8d6_normal.jpeg","View")</f>
        <v>View</v>
      </c>
      <c r="P854" s="27" t="str">
        <f t="shared" ref="P854:P855" si="102">HYPERLINK("https://ctrlq.org/maps/address/#28.1,-15.4","Map")</f>
        <v>#ERROR!</v>
      </c>
    </row>
    <row r="855">
      <c r="A855" s="19">
        <v>42706.29362268519</v>
      </c>
      <c r="B855" s="20" t="str">
        <f t="shared" si="100"/>
        <v>@asierbaquero</v>
      </c>
      <c r="C855" s="21" t="s">
        <v>201</v>
      </c>
      <c r="D855" s="21" t="s">
        <v>1812</v>
      </c>
      <c r="E855" s="22" t="str">
        <f>HYPERLINK("https://twitter.com/asierbaquero/status/804581571617505280","804581571617505280")</f>
        <v>804581571617505280</v>
      </c>
      <c r="F855" s="23" t="s">
        <v>81</v>
      </c>
      <c r="G855" s="24">
        <v>11368.0</v>
      </c>
      <c r="H855" s="24">
        <v>11204.0</v>
      </c>
      <c r="I855" s="24">
        <v>0.0</v>
      </c>
      <c r="J855" s="24">
        <v>0.0</v>
      </c>
      <c r="K855" s="23" t="s">
        <v>27</v>
      </c>
      <c r="L855" s="25">
        <v>39982.34755787037</v>
      </c>
      <c r="M855" s="26" t="s">
        <v>203</v>
      </c>
      <c r="N855" s="26" t="s">
        <v>204</v>
      </c>
      <c r="O855" s="22" t="str">
        <f t="shared" si="101"/>
        <v>View</v>
      </c>
      <c r="P855" s="27" t="str">
        <f t="shared" si="102"/>
        <v>#ERROR!</v>
      </c>
    </row>
    <row r="856">
      <c r="A856" s="19">
        <v>42706.302870370375</v>
      </c>
      <c r="B856" s="20" t="str">
        <f>HYPERLINK("https://twitter.com/MedCruiseGuide","@MedCruiseGuide")</f>
        <v>@MedCruiseGuide</v>
      </c>
      <c r="C856" s="21" t="s">
        <v>75</v>
      </c>
      <c r="D856" s="21" t="s">
        <v>1813</v>
      </c>
      <c r="E856" s="22" t="str">
        <f>HYPERLINK("https://twitter.com/MedCruiseGuide/status/804584923155886080","804584923155886080")</f>
        <v>804584923155886080</v>
      </c>
      <c r="F856" s="23" t="s">
        <v>77</v>
      </c>
      <c r="G856" s="24">
        <v>20863.0</v>
      </c>
      <c r="H856" s="24">
        <v>19280.0</v>
      </c>
      <c r="I856" s="24">
        <v>0.0</v>
      </c>
      <c r="J856" s="24">
        <v>1.0</v>
      </c>
      <c r="K856" s="23" t="s">
        <v>27</v>
      </c>
      <c r="L856" s="25">
        <v>40592.49048611111</v>
      </c>
      <c r="M856" s="28"/>
      <c r="N856" s="26" t="s">
        <v>78</v>
      </c>
      <c r="O856" s="22" t="str">
        <f>HYPERLINK("https://pbs.twimg.com/profile_images/805484536301780992/2tho24Rf_normal.jpg","View")</f>
        <v>View</v>
      </c>
      <c r="P856" s="27"/>
    </row>
    <row r="857">
      <c r="A857" s="19">
        <v>42706.303761574076</v>
      </c>
      <c r="B857" s="20" t="str">
        <f>HYPERLINK("https://twitter.com/_TenDive","@_TenDive")</f>
        <v>@_TenDive</v>
      </c>
      <c r="C857" s="21" t="s">
        <v>103</v>
      </c>
      <c r="D857" s="21" t="s">
        <v>1814</v>
      </c>
      <c r="E857" s="22" t="str">
        <f>HYPERLINK("https://twitter.com/_TenDive/status/804585243797848064","804585243797848064")</f>
        <v>804585243797848064</v>
      </c>
      <c r="F857" s="23" t="s">
        <v>37</v>
      </c>
      <c r="G857" s="24">
        <v>235.0</v>
      </c>
      <c r="H857" s="24">
        <v>118.0</v>
      </c>
      <c r="I857" s="24">
        <v>1.0</v>
      </c>
      <c r="J857" s="24">
        <v>3.0</v>
      </c>
      <c r="K857" s="23" t="s">
        <v>27</v>
      </c>
      <c r="L857" s="25">
        <v>41385.479999999996</v>
      </c>
      <c r="M857" s="26" t="s">
        <v>105</v>
      </c>
      <c r="N857" s="26" t="s">
        <v>106</v>
      </c>
      <c r="O857" s="22" t="str">
        <f>HYPERLINK("https://pbs.twimg.com/profile_images/694439157893107712/KkG57Zcq_normal.jpg","View")</f>
        <v>View</v>
      </c>
      <c r="P857" s="27"/>
    </row>
    <row r="858">
      <c r="A858" s="19">
        <v>42706.30621527778</v>
      </c>
      <c r="B858" s="20" t="str">
        <f>HYPERLINK("https://twitter.com/ScubaFlorida","@ScubaFlorida")</f>
        <v>@ScubaFlorida</v>
      </c>
      <c r="C858" s="21" t="s">
        <v>834</v>
      </c>
      <c r="D858" s="21" t="s">
        <v>835</v>
      </c>
      <c r="E858" s="22" t="str">
        <f>HYPERLINK("https://twitter.com/ScubaFlorida/status/804586134370140160","804586134370140160")</f>
        <v>804586134370140160</v>
      </c>
      <c r="F858" s="23" t="s">
        <v>836</v>
      </c>
      <c r="G858" s="24">
        <v>1481.0</v>
      </c>
      <c r="H858" s="24">
        <v>211.0</v>
      </c>
      <c r="I858" s="24">
        <v>1.0</v>
      </c>
      <c r="J858" s="24">
        <v>0.0</v>
      </c>
      <c r="K858" s="23" t="s">
        <v>27</v>
      </c>
      <c r="L858" s="25">
        <v>40015.46666666667</v>
      </c>
      <c r="M858" s="26" t="s">
        <v>837</v>
      </c>
      <c r="N858" s="26" t="s">
        <v>838</v>
      </c>
      <c r="O858" s="22" t="str">
        <f>HYPERLINK("https://pbs.twimg.com/profile_images/560310747914199040/HR4MGmME_normal.jpeg","View")</f>
        <v>View</v>
      </c>
      <c r="P858" s="27"/>
    </row>
    <row r="859">
      <c r="A859" s="19">
        <v>42706.32653935185</v>
      </c>
      <c r="B859" s="20" t="str">
        <f>HYPERLINK("https://twitter.com/aprilwilliams68","@aprilwilliams68")</f>
        <v>@aprilwilliams68</v>
      </c>
      <c r="C859" s="21" t="s">
        <v>1815</v>
      </c>
      <c r="D859" s="21" t="s">
        <v>1816</v>
      </c>
      <c r="E859" s="22" t="str">
        <f>HYPERLINK("https://twitter.com/aprilwilliams68/status/804593500985683968","804593500985683968")</f>
        <v>804593500985683968</v>
      </c>
      <c r="F859" s="23" t="s">
        <v>90</v>
      </c>
      <c r="G859" s="24">
        <v>5126.0</v>
      </c>
      <c r="H859" s="24">
        <v>5099.0</v>
      </c>
      <c r="I859" s="24">
        <v>1.0</v>
      </c>
      <c r="J859" s="24">
        <v>0.0</v>
      </c>
      <c r="K859" s="23" t="s">
        <v>27</v>
      </c>
      <c r="L859" s="25">
        <v>42398.1436574074</v>
      </c>
      <c r="M859" s="26" t="s">
        <v>1817</v>
      </c>
      <c r="N859" s="26" t="s">
        <v>1818</v>
      </c>
      <c r="O859" s="22" t="str">
        <f>HYPERLINK("https://pbs.twimg.com/profile_images/804566392041304064/rJ_mjnIh_normal.jpg","View")</f>
        <v>View</v>
      </c>
      <c r="P859" s="27"/>
    </row>
    <row r="860">
      <c r="A860" s="19">
        <v>42706.33446759259</v>
      </c>
      <c r="B860" s="20" t="str">
        <f>HYPERLINK("https://twitter.com/UCAmIIWAAL","@UCAmIIWAAL")</f>
        <v>@UCAmIIWAAL</v>
      </c>
      <c r="C860" s="21" t="s">
        <v>1196</v>
      </c>
      <c r="D860" s="21" t="s">
        <v>1819</v>
      </c>
      <c r="E860" s="22" t="str">
        <f>HYPERLINK("https://twitter.com/UCAmIIWAAL/status/804596371869368320","804596371869368320")</f>
        <v>804596371869368320</v>
      </c>
      <c r="F860" s="23" t="s">
        <v>41</v>
      </c>
      <c r="G860" s="24">
        <v>72.0</v>
      </c>
      <c r="H860" s="24">
        <v>13.0</v>
      </c>
      <c r="I860" s="24">
        <v>0.0</v>
      </c>
      <c r="J860" s="24">
        <v>0.0</v>
      </c>
      <c r="K860" s="23" t="s">
        <v>27</v>
      </c>
      <c r="L860" s="25">
        <v>40895.47292824074</v>
      </c>
      <c r="M860" s="28"/>
      <c r="N860" s="26" t="s">
        <v>1198</v>
      </c>
      <c r="O860" s="22" t="str">
        <f>HYPERLINK("https://pbs.twimg.com/profile_images/713310925701427200/i_WxL0Us_normal.jpg","View")</f>
        <v>View</v>
      </c>
      <c r="P860" s="27"/>
    </row>
    <row r="861">
      <c r="A861" s="19">
        <v>42706.347395833334</v>
      </c>
      <c r="B861" s="20" t="str">
        <f>HYPERLINK("https://twitter.com/DunasHoteles","@DunasHoteles")</f>
        <v>@DunasHoteles</v>
      </c>
      <c r="C861" s="21" t="s">
        <v>1233</v>
      </c>
      <c r="D861" s="21" t="s">
        <v>1820</v>
      </c>
      <c r="E861" s="22" t="str">
        <f>HYPERLINK("https://twitter.com/DunasHoteles/status/804601057045336064","804601057045336064")</f>
        <v>804601057045336064</v>
      </c>
      <c r="F861" s="23" t="s">
        <v>401</v>
      </c>
      <c r="G861" s="24">
        <v>2603.0</v>
      </c>
      <c r="H861" s="24">
        <v>2117.0</v>
      </c>
      <c r="I861" s="24">
        <v>0.0</v>
      </c>
      <c r="J861" s="24">
        <v>2.0</v>
      </c>
      <c r="K861" s="23" t="s">
        <v>27</v>
      </c>
      <c r="L861" s="25">
        <v>39769.46932870371</v>
      </c>
      <c r="M861" s="26" t="s">
        <v>109</v>
      </c>
      <c r="N861" s="26" t="s">
        <v>1235</v>
      </c>
      <c r="O861" s="22" t="str">
        <f>HYPERLINK("https://pbs.twimg.com/profile_images/461470205227454465/4u4KGofw_normal.jpeg","View")</f>
        <v>View</v>
      </c>
      <c r="P861" s="27"/>
    </row>
    <row r="862">
      <c r="A862" s="19">
        <v>42706.35417824074</v>
      </c>
      <c r="B862" s="20" t="str">
        <f>HYPERLINK("https://twitter.com/SuneHolidays","@SuneHolidays")</f>
        <v>@SuneHolidays</v>
      </c>
      <c r="C862" s="21" t="s">
        <v>62</v>
      </c>
      <c r="D862" s="21" t="s">
        <v>1821</v>
      </c>
      <c r="E862" s="22" t="str">
        <f>HYPERLINK("https://twitter.com/SuneHolidays/status/804603514211049472","804603514211049472")</f>
        <v>804603514211049472</v>
      </c>
      <c r="F862" s="23" t="s">
        <v>64</v>
      </c>
      <c r="G862" s="24">
        <v>396.0</v>
      </c>
      <c r="H862" s="24">
        <v>990.0</v>
      </c>
      <c r="I862" s="24">
        <v>2.0</v>
      </c>
      <c r="J862" s="24">
        <v>2.0</v>
      </c>
      <c r="K862" s="23" t="s">
        <v>27</v>
      </c>
      <c r="L862" s="25">
        <v>40929.92998842592</v>
      </c>
      <c r="M862" s="26" t="s">
        <v>65</v>
      </c>
      <c r="N862" s="26" t="s">
        <v>66</v>
      </c>
      <c r="O862" s="22" t="str">
        <f>HYPERLINK("https://pbs.twimg.com/profile_images/686922727480029184/9ztyb32p_normal.jpg","View")</f>
        <v>View</v>
      </c>
      <c r="P862" s="27"/>
    </row>
    <row r="863">
      <c r="A863" s="19">
        <v>42706.35628472222</v>
      </c>
      <c r="B863" s="20" t="str">
        <f>HYPERLINK("https://twitter.com/UCAmIIWAAL","@UCAmIIWAAL")</f>
        <v>@UCAmIIWAAL</v>
      </c>
      <c r="C863" s="21" t="s">
        <v>1196</v>
      </c>
      <c r="D863" s="21" t="s">
        <v>1822</v>
      </c>
      <c r="E863" s="22" t="str">
        <f>HYPERLINK("https://twitter.com/UCAmIIWAAL/status/804604278635634689","804604278635634689")</f>
        <v>804604278635634689</v>
      </c>
      <c r="F863" s="23" t="s">
        <v>41</v>
      </c>
      <c r="G863" s="24">
        <v>72.0</v>
      </c>
      <c r="H863" s="24">
        <v>13.0</v>
      </c>
      <c r="I863" s="24">
        <v>0.0</v>
      </c>
      <c r="J863" s="24">
        <v>0.0</v>
      </c>
      <c r="K863" s="23" t="s">
        <v>27</v>
      </c>
      <c r="L863" s="25">
        <v>40895.47292824074</v>
      </c>
      <c r="M863" s="28"/>
      <c r="N863" s="26" t="s">
        <v>1198</v>
      </c>
      <c r="O863" s="22" t="str">
        <f>HYPERLINK("https://pbs.twimg.com/profile_images/713310925701427200/i_WxL0Us_normal.jpg","View")</f>
        <v>View</v>
      </c>
      <c r="P863" s="27"/>
    </row>
    <row r="864">
      <c r="A864" s="19">
        <v>42706.36350694444</v>
      </c>
      <c r="B864" s="20" t="str">
        <f>HYPERLINK("https://twitter.com/figbarton","@figbarton")</f>
        <v>@figbarton</v>
      </c>
      <c r="C864" s="21" t="s">
        <v>1823</v>
      </c>
      <c r="D864" s="21" t="s">
        <v>1824</v>
      </c>
      <c r="E864" s="22" t="str">
        <f>HYPERLINK("https://twitter.com/figbarton/status/804606893884899328","804606893884899328")</f>
        <v>804606893884899328</v>
      </c>
      <c r="F864" s="23" t="s">
        <v>26</v>
      </c>
      <c r="G864" s="24">
        <v>1987.0</v>
      </c>
      <c r="H864" s="24">
        <v>1324.0</v>
      </c>
      <c r="I864" s="24">
        <v>1.0</v>
      </c>
      <c r="J864" s="24">
        <v>0.0</v>
      </c>
      <c r="K864" s="23" t="s">
        <v>27</v>
      </c>
      <c r="L864" s="25">
        <v>40868.602488425924</v>
      </c>
      <c r="M864" s="26" t="s">
        <v>495</v>
      </c>
      <c r="N864" s="26" t="s">
        <v>1825</v>
      </c>
      <c r="O864" s="22" t="str">
        <f>HYPERLINK("https://pbs.twimg.com/profile_images/622772755490930688/ZM_kU0Pk_normal.jpg","View")</f>
        <v>View</v>
      </c>
      <c r="P864" s="27"/>
    </row>
    <row r="865">
      <c r="A865" s="19">
        <v>42706.37106481481</v>
      </c>
      <c r="B865" s="20" t="str">
        <f>HYPERLINK("https://twitter.com/CoCoLingua_","@CoCoLingua_")</f>
        <v>@CoCoLingua_</v>
      </c>
      <c r="C865" s="21" t="s">
        <v>1826</v>
      </c>
      <c r="D865" s="21" t="s">
        <v>1827</v>
      </c>
      <c r="E865" s="22" t="str">
        <f>HYPERLINK("https://twitter.com/CoCoLingua_/status/804609632685670400","804609632685670400")</f>
        <v>804609632685670400</v>
      </c>
      <c r="F865" s="23" t="s">
        <v>37</v>
      </c>
      <c r="G865" s="24">
        <v>323.0</v>
      </c>
      <c r="H865" s="24">
        <v>692.0</v>
      </c>
      <c r="I865" s="24">
        <v>2.0</v>
      </c>
      <c r="J865" s="24">
        <v>0.0</v>
      </c>
      <c r="K865" s="23" t="s">
        <v>27</v>
      </c>
      <c r="L865" s="25">
        <v>41416.618009259255</v>
      </c>
      <c r="M865" s="26" t="s">
        <v>1828</v>
      </c>
      <c r="N865" s="26" t="s">
        <v>1829</v>
      </c>
      <c r="O865" s="22" t="str">
        <f>HYPERLINK("https://pbs.twimg.com/profile_images/580786474833948672/7Y9OJHj2_normal.jpg","View")</f>
        <v>View</v>
      </c>
      <c r="P865" s="27"/>
    </row>
    <row r="866">
      <c r="A866" s="19">
        <v>42706.3771412037</v>
      </c>
      <c r="B866" s="20" t="str">
        <f>HYPERLINK("https://twitter.com/karakule7711","@karakule7711")</f>
        <v>@karakule7711</v>
      </c>
      <c r="C866" s="21" t="s">
        <v>1830</v>
      </c>
      <c r="D866" s="21" t="s">
        <v>1734</v>
      </c>
      <c r="E866" s="22" t="str">
        <f>HYPERLINK("https://twitter.com/karakule7711/status/804611835882250240","804611835882250240")</f>
        <v>804611835882250240</v>
      </c>
      <c r="F866" s="23" t="s">
        <v>26</v>
      </c>
      <c r="G866" s="24">
        <v>2384.0</v>
      </c>
      <c r="H866" s="24">
        <v>4959.0</v>
      </c>
      <c r="I866" s="24">
        <v>38.0</v>
      </c>
      <c r="J866" s="24">
        <v>0.0</v>
      </c>
      <c r="K866" s="23" t="s">
        <v>27</v>
      </c>
      <c r="L866" s="25">
        <v>42273.94248842592</v>
      </c>
      <c r="M866" s="28"/>
      <c r="N866" s="26" t="s">
        <v>1831</v>
      </c>
      <c r="O866" s="22" t="str">
        <f>HYPERLINK("https://pbs.twimg.com/profile_images/653911720864403456/WPvTVK2-_normal.jpg","View")</f>
        <v>View</v>
      </c>
      <c r="P866" s="27"/>
    </row>
    <row r="867">
      <c r="A867" s="19">
        <v>42706.381689814814</v>
      </c>
      <c r="B867" s="20" t="str">
        <f>HYPERLINK("https://twitter.com/LpaVisit","@LpaVisit")</f>
        <v>@LpaVisit</v>
      </c>
      <c r="C867" s="21" t="s">
        <v>141</v>
      </c>
      <c r="D867" s="21" t="s">
        <v>384</v>
      </c>
      <c r="E867" s="22" t="str">
        <f>HYPERLINK("https://twitter.com/LpaVisit/status/804613483346219008","804613483346219008")</f>
        <v>804613483346219008</v>
      </c>
      <c r="F867" s="23" t="s">
        <v>37</v>
      </c>
      <c r="G867" s="24">
        <v>9640.0</v>
      </c>
      <c r="H867" s="24">
        <v>554.0</v>
      </c>
      <c r="I867" s="24">
        <v>5.0</v>
      </c>
      <c r="J867" s="24">
        <v>0.0</v>
      </c>
      <c r="K867" s="23" t="s">
        <v>27</v>
      </c>
      <c r="L867" s="25">
        <v>40866.561064814814</v>
      </c>
      <c r="M867" s="26" t="s">
        <v>109</v>
      </c>
      <c r="N867" s="26" t="s">
        <v>142</v>
      </c>
      <c r="O867" s="22" t="str">
        <f>HYPERLINK("https://pbs.twimg.com/profile_images/656385242819907584/6_e-4aUc_normal.jpg","View")</f>
        <v>View</v>
      </c>
      <c r="P867" s="27"/>
    </row>
    <row r="868">
      <c r="A868" s="19">
        <v>42706.38297453704</v>
      </c>
      <c r="B868" s="20" t="str">
        <f>HYPERLINK("https://twitter.com/Lanzaroteba","@Lanzaroteba")</f>
        <v>@Lanzaroteba</v>
      </c>
      <c r="C868" s="21" t="s">
        <v>1832</v>
      </c>
      <c r="D868" s="21" t="s">
        <v>1833</v>
      </c>
      <c r="E868" s="22" t="str">
        <f>HYPERLINK("https://twitter.com/Lanzaroteba/status/804613949719277568","804613949719277568")</f>
        <v>804613949719277568</v>
      </c>
      <c r="F868" s="23" t="s">
        <v>37</v>
      </c>
      <c r="G868" s="24">
        <v>2167.0</v>
      </c>
      <c r="H868" s="24">
        <v>1762.0</v>
      </c>
      <c r="I868" s="24">
        <v>0.0</v>
      </c>
      <c r="J868" s="24">
        <v>2.0</v>
      </c>
      <c r="K868" s="23" t="s">
        <v>27</v>
      </c>
      <c r="L868" s="25">
        <v>40053.49665509259</v>
      </c>
      <c r="M868" s="26" t="s">
        <v>33</v>
      </c>
      <c r="N868" s="26" t="s">
        <v>1834</v>
      </c>
      <c r="O868" s="22" t="str">
        <f>HYPERLINK("https://pbs.twimg.com/profile_images/711838698464268288/wRTBEDbG_normal.jpg","View")</f>
        <v>View</v>
      </c>
      <c r="P868" s="27"/>
    </row>
    <row r="869">
      <c r="A869" s="19">
        <v>42706.38899305556</v>
      </c>
      <c r="B869" s="20" t="str">
        <f>HYPERLINK("https://twitter.com/CanaryIslandsEN","@CanaryIslandsEN")</f>
        <v>@CanaryIslandsEN</v>
      </c>
      <c r="C869" s="21" t="s">
        <v>165</v>
      </c>
      <c r="D869" s="21" t="s">
        <v>1835</v>
      </c>
      <c r="E869" s="22" t="str">
        <f>HYPERLINK("https://twitter.com/CanaryIslandsEN/status/804616130472148992","804616130472148992")</f>
        <v>804616130472148992</v>
      </c>
      <c r="F869" s="23" t="s">
        <v>167</v>
      </c>
      <c r="G869" s="24">
        <v>14287.0</v>
      </c>
      <c r="H869" s="24">
        <v>1533.0</v>
      </c>
      <c r="I869" s="24">
        <v>5.0</v>
      </c>
      <c r="J869" s="24">
        <v>15.0</v>
      </c>
      <c r="K869" s="23" t="s">
        <v>27</v>
      </c>
      <c r="L869" s="25">
        <v>41264.365949074076</v>
      </c>
      <c r="M869" s="26" t="s">
        <v>168</v>
      </c>
      <c r="N869" s="26" t="s">
        <v>169</v>
      </c>
      <c r="O869" s="22" t="str">
        <f>HYPERLINK("https://pbs.twimg.com/profile_images/754960714704584704/14dQxsF8_normal.jpg","View")</f>
        <v>View</v>
      </c>
      <c r="P869" s="27"/>
    </row>
    <row r="870">
      <c r="A870" s="19">
        <v>42706.39090277778</v>
      </c>
      <c r="B870" s="20" t="str">
        <f>HYPERLINK("https://twitter.com/Salamanca_SSV","@Salamanca_SSV")</f>
        <v>@Salamanca_SSV</v>
      </c>
      <c r="C870" s="21" t="s">
        <v>170</v>
      </c>
      <c r="D870" s="21" t="s">
        <v>384</v>
      </c>
      <c r="E870" s="22" t="str">
        <f>HYPERLINK("https://twitter.com/Salamanca_SSV/status/804616824432316416","804616824432316416")</f>
        <v>804616824432316416</v>
      </c>
      <c r="F870" s="23" t="s">
        <v>41</v>
      </c>
      <c r="G870" s="24">
        <v>7240.0</v>
      </c>
      <c r="H870" s="24">
        <v>7824.0</v>
      </c>
      <c r="I870" s="24">
        <v>5.0</v>
      </c>
      <c r="J870" s="24">
        <v>0.0</v>
      </c>
      <c r="K870" s="23" t="s">
        <v>27</v>
      </c>
      <c r="L870" s="25">
        <v>41317.78532407407</v>
      </c>
      <c r="M870" s="26" t="s">
        <v>171</v>
      </c>
      <c r="N870" s="26" t="s">
        <v>172</v>
      </c>
      <c r="O870" s="22" t="str">
        <f>HYPERLINK("https://pbs.twimg.com/profile_images/3461850627/70f1c6c744e939681691ad3a09d64375_normal.png","View")</f>
        <v>View</v>
      </c>
      <c r="P870" s="27"/>
    </row>
    <row r="871">
      <c r="A871" s="19">
        <v>42706.39439814815</v>
      </c>
      <c r="B871" s="20" t="str">
        <f t="shared" ref="B871:B872" si="103">HYPERLINK("https://twitter.com/alvarofb23","@alvarofb23")</f>
        <v>@alvarofb23</v>
      </c>
      <c r="C871" s="21" t="s">
        <v>1836</v>
      </c>
      <c r="D871" s="21" t="s">
        <v>1837</v>
      </c>
      <c r="E871" s="22" t="str">
        <f>HYPERLINK("https://twitter.com/alvarofb23/status/804618089300115456","804618089300115456")</f>
        <v>804618089300115456</v>
      </c>
      <c r="F871" s="23" t="s">
        <v>41</v>
      </c>
      <c r="G871" s="24">
        <v>15619.0</v>
      </c>
      <c r="H871" s="24">
        <v>11725.0</v>
      </c>
      <c r="I871" s="24">
        <v>5.0</v>
      </c>
      <c r="J871" s="24">
        <v>0.0</v>
      </c>
      <c r="K871" s="23" t="s">
        <v>27</v>
      </c>
      <c r="L871" s="25">
        <v>41796.529594907406</v>
      </c>
      <c r="M871" s="26" t="s">
        <v>877</v>
      </c>
      <c r="N871" s="26" t="s">
        <v>1838</v>
      </c>
      <c r="O871" s="22" t="str">
        <f t="shared" ref="O871:O872" si="104">HYPERLINK("https://pbs.twimg.com/profile_images/804651131787997184/H2OEoyo1_normal.jpg","View")</f>
        <v>View</v>
      </c>
      <c r="P871" s="27"/>
    </row>
    <row r="872">
      <c r="A872" s="19">
        <v>42706.39456018519</v>
      </c>
      <c r="B872" s="20" t="str">
        <f t="shared" si="103"/>
        <v>@alvarofb23</v>
      </c>
      <c r="C872" s="21" t="s">
        <v>1836</v>
      </c>
      <c r="D872" s="21" t="s">
        <v>1533</v>
      </c>
      <c r="E872" s="22" t="str">
        <f>HYPERLINK("https://twitter.com/alvarofb23/status/804618148834082816","804618148834082816")</f>
        <v>804618148834082816</v>
      </c>
      <c r="F872" s="23" t="s">
        <v>41</v>
      </c>
      <c r="G872" s="24">
        <v>15619.0</v>
      </c>
      <c r="H872" s="24">
        <v>11725.0</v>
      </c>
      <c r="I872" s="24">
        <v>10.0</v>
      </c>
      <c r="J872" s="24">
        <v>0.0</v>
      </c>
      <c r="K872" s="23" t="s">
        <v>27</v>
      </c>
      <c r="L872" s="25">
        <v>41796.529594907406</v>
      </c>
      <c r="M872" s="26" t="s">
        <v>877</v>
      </c>
      <c r="N872" s="26" t="s">
        <v>1838</v>
      </c>
      <c r="O872" s="22" t="str">
        <f t="shared" si="104"/>
        <v>View</v>
      </c>
      <c r="P872" s="27"/>
    </row>
    <row r="873">
      <c r="A873" s="19">
        <v>42706.402349537035</v>
      </c>
      <c r="B873" s="20" t="str">
        <f>HYPERLINK("https://twitter.com/liliana_dorina","@liliana_dorina")</f>
        <v>@liliana_dorina</v>
      </c>
      <c r="C873" s="21" t="s">
        <v>1839</v>
      </c>
      <c r="D873" s="21" t="s">
        <v>1840</v>
      </c>
      <c r="E873" s="22" t="str">
        <f>HYPERLINK("https://twitter.com/liliana_dorina/status/804620970333978625","804620970333978625")</f>
        <v>804620970333978625</v>
      </c>
      <c r="F873" s="23" t="s">
        <v>780</v>
      </c>
      <c r="G873" s="24">
        <v>11564.0</v>
      </c>
      <c r="H873" s="24">
        <v>11056.0</v>
      </c>
      <c r="I873" s="24">
        <v>13.0</v>
      </c>
      <c r="J873" s="24">
        <v>0.0</v>
      </c>
      <c r="K873" s="23" t="s">
        <v>27</v>
      </c>
      <c r="L873" s="25">
        <v>42127.83167824074</v>
      </c>
      <c r="M873" s="26" t="s">
        <v>1841</v>
      </c>
      <c r="N873" s="26" t="s">
        <v>1842</v>
      </c>
      <c r="O873" s="22" t="str">
        <f>HYPERLINK("https://pbs.twimg.com/profile_images/652527620391837696/hw51Y2Qv_normal.jpg","View")</f>
        <v>View</v>
      </c>
      <c r="P873" s="27"/>
    </row>
    <row r="874">
      <c r="A874" s="19">
        <v>42706.40283564814</v>
      </c>
      <c r="B874" s="20" t="str">
        <f>HYPERLINK("https://twitter.com/Centro_ApPROBA","@Centro_ApPROBA")</f>
        <v>@Centro_ApPROBA</v>
      </c>
      <c r="C874" s="21" t="s">
        <v>1843</v>
      </c>
      <c r="D874" s="21" t="s">
        <v>1844</v>
      </c>
      <c r="E874" s="22" t="str">
        <f>HYPERLINK("https://twitter.com/Centro_ApPROBA/status/804621148436725760","804621148436725760")</f>
        <v>804621148436725760</v>
      </c>
      <c r="F874" s="23" t="s">
        <v>1845</v>
      </c>
      <c r="G874" s="24">
        <v>1506.0</v>
      </c>
      <c r="H874" s="24">
        <v>1180.0</v>
      </c>
      <c r="I874" s="24">
        <v>0.0</v>
      </c>
      <c r="J874" s="24">
        <v>0.0</v>
      </c>
      <c r="K874" s="23" t="s">
        <v>27</v>
      </c>
      <c r="L874" s="25">
        <v>41262.65803240741</v>
      </c>
      <c r="M874" s="26" t="s">
        <v>109</v>
      </c>
      <c r="N874" s="26" t="s">
        <v>1846</v>
      </c>
      <c r="O874" s="22" t="str">
        <f>HYPERLINK("https://pbs.twimg.com/profile_images/540912800969666560/E4GNfI2Q_normal.jpeg","View")</f>
        <v>View</v>
      </c>
      <c r="P874" s="27"/>
    </row>
    <row r="875">
      <c r="A875" s="19">
        <v>42706.403437500005</v>
      </c>
      <c r="B875" s="20" t="str">
        <f>HYPERLINK("https://twitter.com/xavifillol","@xavifillol")</f>
        <v>@xavifillol</v>
      </c>
      <c r="C875" s="21" t="s">
        <v>1847</v>
      </c>
      <c r="D875" s="21" t="s">
        <v>1840</v>
      </c>
      <c r="E875" s="22" t="str">
        <f>HYPERLINK("https://twitter.com/xavifillol/status/804621367152967680","804621367152967680")</f>
        <v>804621367152967680</v>
      </c>
      <c r="F875" s="23" t="s">
        <v>41</v>
      </c>
      <c r="G875" s="24">
        <v>4556.0</v>
      </c>
      <c r="H875" s="24">
        <v>4848.0</v>
      </c>
      <c r="I875" s="24">
        <v>13.0</v>
      </c>
      <c r="J875" s="24">
        <v>0.0</v>
      </c>
      <c r="K875" s="23" t="s">
        <v>27</v>
      </c>
      <c r="L875" s="25">
        <v>41150.79539351852</v>
      </c>
      <c r="M875" s="26" t="s">
        <v>1848</v>
      </c>
      <c r="N875" s="26" t="s">
        <v>1849</v>
      </c>
      <c r="O875" s="22" t="str">
        <f>HYPERLINK("https://pbs.twimg.com/profile_images/749342121639968768/xqz2UqLW_normal.jpg","View")</f>
        <v>View</v>
      </c>
      <c r="P875" s="27"/>
    </row>
    <row r="876">
      <c r="A876" s="19">
        <v>42706.41006944445</v>
      </c>
      <c r="B876" s="20" t="str">
        <f>HYPERLINK("https://twitter.com/TwiTenerifeGolf","@TwiTenerifeGolf")</f>
        <v>@TwiTenerifeGolf</v>
      </c>
      <c r="C876" s="21" t="s">
        <v>879</v>
      </c>
      <c r="D876" s="21" t="s">
        <v>1850</v>
      </c>
      <c r="E876" s="22" t="str">
        <f>HYPERLINK("https://twitter.com/TwiTenerifeGolf/status/804623768207454209","804623768207454209")</f>
        <v>804623768207454209</v>
      </c>
      <c r="F876" s="23" t="s">
        <v>37</v>
      </c>
      <c r="G876" s="24">
        <v>1879.0</v>
      </c>
      <c r="H876" s="24">
        <v>937.0</v>
      </c>
      <c r="I876" s="24">
        <v>7.0</v>
      </c>
      <c r="J876" s="24">
        <v>10.0</v>
      </c>
      <c r="K876" s="23" t="s">
        <v>27</v>
      </c>
      <c r="L876" s="25">
        <v>41724.79984953704</v>
      </c>
      <c r="M876" s="26" t="s">
        <v>282</v>
      </c>
      <c r="N876" s="26" t="s">
        <v>881</v>
      </c>
      <c r="O876" s="22" t="str">
        <f>HYPERLINK("https://pbs.twimg.com/profile_images/723156330673000448/xa2FT8Re_normal.jpg","View")</f>
        <v>View</v>
      </c>
      <c r="P876" s="27"/>
    </row>
    <row r="877">
      <c r="A877" s="19">
        <v>42706.41202546297</v>
      </c>
      <c r="B877" s="20" t="str">
        <f>HYPERLINK("https://twitter.com/KeyserSoSo","@KeyserSoSo")</f>
        <v>@KeyserSoSo</v>
      </c>
      <c r="C877" s="21" t="s">
        <v>452</v>
      </c>
      <c r="D877" s="21" t="s">
        <v>1827</v>
      </c>
      <c r="E877" s="22" t="str">
        <f>HYPERLINK("https://twitter.com/KeyserSoSo/status/804624479779438592","804624479779438592")</f>
        <v>804624479779438592</v>
      </c>
      <c r="F877" s="23" t="s">
        <v>26</v>
      </c>
      <c r="G877" s="24">
        <v>65.0</v>
      </c>
      <c r="H877" s="24">
        <v>122.0</v>
      </c>
      <c r="I877" s="24">
        <v>2.0</v>
      </c>
      <c r="J877" s="24">
        <v>0.0</v>
      </c>
      <c r="K877" s="23" t="s">
        <v>27</v>
      </c>
      <c r="L877" s="25">
        <v>41843.658842592595</v>
      </c>
      <c r="M877" s="26" t="s">
        <v>292</v>
      </c>
      <c r="N877" s="28"/>
      <c r="O877" s="22" t="str">
        <f>HYPERLINK("https://pbs.twimg.com/profile_images/592798998773235713/aPa65SQO_normal.jpg","View")</f>
        <v>View</v>
      </c>
      <c r="P877" s="27"/>
    </row>
    <row r="878">
      <c r="A878" s="19">
        <v>42706.416030092594</v>
      </c>
      <c r="B878" s="20" t="str">
        <f>HYPERLINK("https://twitter.com/PowerOnFM","@PowerOnFM")</f>
        <v>@PowerOnFM</v>
      </c>
      <c r="C878" s="21" t="s">
        <v>1851</v>
      </c>
      <c r="D878" s="21" t="s">
        <v>1762</v>
      </c>
      <c r="E878" s="22" t="str">
        <f>HYPERLINK("https://twitter.com/PowerOnFM/status/804625928970182660","804625928970182660")</f>
        <v>804625928970182660</v>
      </c>
      <c r="F878" s="23" t="s">
        <v>37</v>
      </c>
      <c r="G878" s="24">
        <v>78.0</v>
      </c>
      <c r="H878" s="24">
        <v>340.0</v>
      </c>
      <c r="I878" s="24">
        <v>6.0</v>
      </c>
      <c r="J878" s="24">
        <v>0.0</v>
      </c>
      <c r="K878" s="23" t="s">
        <v>27</v>
      </c>
      <c r="L878" s="25">
        <v>42670.53784722222</v>
      </c>
      <c r="M878" s="26" t="s">
        <v>203</v>
      </c>
      <c r="N878" s="26" t="s">
        <v>1852</v>
      </c>
      <c r="O878" s="22" t="str">
        <f>HYPERLINK("https://pbs.twimg.com/profile_images/797783824990142464/8w4ba11z_normal.jpg","View")</f>
        <v>View</v>
      </c>
      <c r="P878" s="27"/>
    </row>
    <row r="879">
      <c r="A879" s="19">
        <v>42706.41716435185</v>
      </c>
      <c r="B879" s="20" t="str">
        <f>HYPERLINK("https://twitter.com/swisshop4uEs","@swisshop4uEs")</f>
        <v>@swisshop4uEs</v>
      </c>
      <c r="C879" s="21" t="s">
        <v>48</v>
      </c>
      <c r="D879" s="21" t="s">
        <v>1853</v>
      </c>
      <c r="E879" s="22" t="str">
        <f>HYPERLINK("https://twitter.com/swisshop4uEs/status/804626340318167040","804626340318167040")</f>
        <v>804626340318167040</v>
      </c>
      <c r="F879" s="23" t="s">
        <v>50</v>
      </c>
      <c r="G879" s="24">
        <v>455.0</v>
      </c>
      <c r="H879" s="24">
        <v>424.0</v>
      </c>
      <c r="I879" s="24">
        <v>0.0</v>
      </c>
      <c r="J879" s="24">
        <v>0.0</v>
      </c>
      <c r="K879" s="23" t="s">
        <v>27</v>
      </c>
      <c r="L879" s="25">
        <v>41468.93072916666</v>
      </c>
      <c r="M879" s="26" t="s">
        <v>51</v>
      </c>
      <c r="N879" s="26" t="s">
        <v>52</v>
      </c>
      <c r="O879" s="22" t="str">
        <f>HYPERLINK("https://pbs.twimg.com/profile_images/378800000213382003/4f562b59f92995b884d2d440f71fc5ce_normal.png","View")</f>
        <v>View</v>
      </c>
      <c r="P879" s="27"/>
    </row>
    <row r="880">
      <c r="A880" s="19">
        <v>42706.41766203704</v>
      </c>
      <c r="B880" s="20" t="str">
        <f>HYPERLINK("https://twitter.com/MeliaHacienda","@MeliaHacienda")</f>
        <v>@MeliaHacienda</v>
      </c>
      <c r="C880" s="21" t="s">
        <v>1616</v>
      </c>
      <c r="D880" s="21" t="s">
        <v>1854</v>
      </c>
      <c r="E880" s="22" t="str">
        <f>HYPERLINK("https://twitter.com/MeliaHacienda/status/804626520014721024","804626520014721024")</f>
        <v>804626520014721024</v>
      </c>
      <c r="F880" s="23" t="s">
        <v>401</v>
      </c>
      <c r="G880" s="24">
        <v>52.0</v>
      </c>
      <c r="H880" s="24">
        <v>127.0</v>
      </c>
      <c r="I880" s="24">
        <v>0.0</v>
      </c>
      <c r="J880" s="24">
        <v>1.0</v>
      </c>
      <c r="K880" s="23" t="s">
        <v>27</v>
      </c>
      <c r="L880" s="25">
        <v>42635.751192129625</v>
      </c>
      <c r="M880" s="26" t="s">
        <v>1618</v>
      </c>
      <c r="N880" s="26" t="s">
        <v>1619</v>
      </c>
      <c r="O880" s="22" t="str">
        <f>HYPERLINK("https://pbs.twimg.com/profile_images/793118609736339456/LMIq_8Rm_normal.jpg","View")</f>
        <v>View</v>
      </c>
      <c r="P880" s="27"/>
    </row>
    <row r="881">
      <c r="A881" s="19">
        <v>42706.4197337963</v>
      </c>
      <c r="B881" s="20" t="str">
        <f>HYPERLINK("https://twitter.com/paisajecanario","@paisajecanario")</f>
        <v>@paisajecanario</v>
      </c>
      <c r="C881" s="21" t="s">
        <v>70</v>
      </c>
      <c r="D881" s="21" t="s">
        <v>1855</v>
      </c>
      <c r="E881" s="22" t="str">
        <f>HYPERLINK("https://twitter.com/paisajecanario/status/804627272108048384","804627272108048384")</f>
        <v>804627272108048384</v>
      </c>
      <c r="F881" s="23" t="s">
        <v>26</v>
      </c>
      <c r="G881" s="24">
        <v>13324.0</v>
      </c>
      <c r="H881" s="24">
        <v>434.0</v>
      </c>
      <c r="I881" s="24">
        <v>7.0</v>
      </c>
      <c r="J881" s="24">
        <v>0.0</v>
      </c>
      <c r="K881" s="23" t="s">
        <v>27</v>
      </c>
      <c r="L881" s="25">
        <v>41815.714641203704</v>
      </c>
      <c r="M881" s="26" t="s">
        <v>71</v>
      </c>
      <c r="N881" s="26" t="s">
        <v>72</v>
      </c>
      <c r="O881" s="22" t="str">
        <f>HYPERLINK("https://pbs.twimg.com/profile_images/789364630850240512/Mw90qAlM_normal.jpg","View")</f>
        <v>View</v>
      </c>
      <c r="P881" s="27"/>
    </row>
    <row r="882">
      <c r="A882" s="19">
        <v>42706.41987268519</v>
      </c>
      <c r="B882" s="20" t="str">
        <f>HYPERLINK("https://twitter.com/fototenerife","@fototenerife")</f>
        <v>@fototenerife</v>
      </c>
      <c r="C882" s="21" t="s">
        <v>1856</v>
      </c>
      <c r="D882" s="21" t="s">
        <v>1855</v>
      </c>
      <c r="E882" s="22" t="str">
        <f>HYPERLINK("https://twitter.com/fototenerife/status/804627323735707649","804627323735707649")</f>
        <v>804627323735707649</v>
      </c>
      <c r="F882" s="23" t="s">
        <v>64</v>
      </c>
      <c r="G882" s="24">
        <v>618.0</v>
      </c>
      <c r="H882" s="24">
        <v>637.0</v>
      </c>
      <c r="I882" s="24">
        <v>7.0</v>
      </c>
      <c r="J882" s="24">
        <v>0.0</v>
      </c>
      <c r="K882" s="23" t="s">
        <v>27</v>
      </c>
      <c r="L882" s="25">
        <v>40963.58489583334</v>
      </c>
      <c r="M882" s="26" t="s">
        <v>1084</v>
      </c>
      <c r="N882" s="26" t="s">
        <v>1857</v>
      </c>
      <c r="O882" s="22" t="str">
        <f>HYPERLINK("https://pbs.twimg.com/profile_images/378800000784636596/e9ec8412fc34f7e0abc8244be9132c89_normal.jpeg","View")</f>
        <v>View</v>
      </c>
      <c r="P882" s="27"/>
    </row>
    <row r="883">
      <c r="A883" s="19">
        <v>42706.436747685184</v>
      </c>
      <c r="B883" s="20" t="str">
        <f>HYPERLINK("https://twitter.com/bethgarrotxa","@bethgarrotxa")</f>
        <v>@bethgarrotxa</v>
      </c>
      <c r="C883" s="21" t="s">
        <v>648</v>
      </c>
      <c r="D883" s="21" t="s">
        <v>1858</v>
      </c>
      <c r="E883" s="22" t="str">
        <f>HYPERLINK("https://twitter.com/bethgarrotxa/status/804633438611308545","804633438611308545")</f>
        <v>804633438611308545</v>
      </c>
      <c r="F883" s="23" t="s">
        <v>81</v>
      </c>
      <c r="G883" s="24">
        <v>189.0</v>
      </c>
      <c r="H883" s="24">
        <v>168.0</v>
      </c>
      <c r="I883" s="24">
        <v>0.0</v>
      </c>
      <c r="J883" s="24">
        <v>0.0</v>
      </c>
      <c r="K883" s="23" t="s">
        <v>27</v>
      </c>
      <c r="L883" s="25">
        <v>40609.69993055556</v>
      </c>
      <c r="M883" s="26" t="s">
        <v>455</v>
      </c>
      <c r="N883" s="26" t="s">
        <v>650</v>
      </c>
      <c r="O883" s="22" t="str">
        <f>HYPERLINK("https://pbs.twimg.com/profile_images/2784461956/37b6d95f5bcac37b93611f81029dd365_normal.jpeg","View")</f>
        <v>View</v>
      </c>
      <c r="P883" s="27" t="str">
        <f>HYPERLINK("https://ctrlq.org/maps/address/#28.12626311,-17.25753823","Map")</f>
        <v>#ERROR!</v>
      </c>
    </row>
    <row r="884">
      <c r="A884" s="19">
        <v>42706.4437962963</v>
      </c>
      <c r="B884" s="20" t="str">
        <f>HYPERLINK("https://twitter.com/TheCanaryNews","@TheCanaryNews")</f>
        <v>@TheCanaryNews</v>
      </c>
      <c r="C884" s="21" t="s">
        <v>1314</v>
      </c>
      <c r="D884" s="21" t="s">
        <v>1859</v>
      </c>
      <c r="E884" s="22" t="str">
        <f>HYPERLINK("https://twitter.com/TheCanaryNews/status/804635993416597508","804635993416597508")</f>
        <v>804635993416597508</v>
      </c>
      <c r="F884" s="23" t="s">
        <v>689</v>
      </c>
      <c r="G884" s="24">
        <v>1523.0</v>
      </c>
      <c r="H884" s="24">
        <v>1439.0</v>
      </c>
      <c r="I884" s="24">
        <v>0.0</v>
      </c>
      <c r="J884" s="24">
        <v>1.0</v>
      </c>
      <c r="K884" s="23" t="s">
        <v>27</v>
      </c>
      <c r="L884" s="25">
        <v>40520.84924768518</v>
      </c>
      <c r="M884" s="26" t="s">
        <v>109</v>
      </c>
      <c r="N884" s="26" t="s">
        <v>1316</v>
      </c>
      <c r="O884" s="22" t="str">
        <f>HYPERLINK("https://pbs.twimg.com/profile_images/422427750876463104/qmjyKloM_normal.png","View")</f>
        <v>View</v>
      </c>
      <c r="P884" s="27"/>
    </row>
    <row r="885">
      <c r="A885" s="19">
        <v>42706.44608796296</v>
      </c>
      <c r="B885" s="20" t="str">
        <f>HYPERLINK("https://twitter.com/JamesRossBooks","@JamesRossBooks")</f>
        <v>@JamesRossBooks</v>
      </c>
      <c r="C885" s="21" t="s">
        <v>1860</v>
      </c>
      <c r="D885" s="21" t="s">
        <v>1855</v>
      </c>
      <c r="E885" s="22" t="str">
        <f>HYPERLINK("https://twitter.com/JamesRossBooks/status/804636822622130176","804636822622130176")</f>
        <v>804636822622130176</v>
      </c>
      <c r="F885" s="23" t="s">
        <v>1074</v>
      </c>
      <c r="G885" s="24">
        <v>16130.0</v>
      </c>
      <c r="H885" s="24">
        <v>17031.0</v>
      </c>
      <c r="I885" s="24">
        <v>7.0</v>
      </c>
      <c r="J885" s="24">
        <v>0.0</v>
      </c>
      <c r="K885" s="23" t="s">
        <v>27</v>
      </c>
      <c r="L885" s="25">
        <v>39955.85936342592</v>
      </c>
      <c r="M885" s="26" t="s">
        <v>1861</v>
      </c>
      <c r="N885" s="26" t="s">
        <v>1862</v>
      </c>
      <c r="O885" s="22" t="str">
        <f>HYPERLINK("https://pbs.twimg.com/profile_images/698918327251390464/PrG5YIDa_normal.jpg","View")</f>
        <v>View</v>
      </c>
      <c r="P885" s="27"/>
    </row>
    <row r="886">
      <c r="A886" s="19">
        <v>42706.451585648145</v>
      </c>
      <c r="B886" s="20" t="str">
        <f>HYPERLINK("https://twitter.com/Perkui","@Perkui")</f>
        <v>@Perkui</v>
      </c>
      <c r="C886" s="21" t="s">
        <v>984</v>
      </c>
      <c r="D886" s="21" t="s">
        <v>1863</v>
      </c>
      <c r="E886" s="22" t="str">
        <f>HYPERLINK("https://twitter.com/Perkui/status/804638813226225664","804638813226225664")</f>
        <v>804638813226225664</v>
      </c>
      <c r="F886" s="23" t="s">
        <v>41</v>
      </c>
      <c r="G886" s="24">
        <v>536.0</v>
      </c>
      <c r="H886" s="24">
        <v>2073.0</v>
      </c>
      <c r="I886" s="24">
        <v>0.0</v>
      </c>
      <c r="J886" s="24">
        <v>0.0</v>
      </c>
      <c r="K886" s="23" t="s">
        <v>27</v>
      </c>
      <c r="L886" s="25">
        <v>40298.94517361111</v>
      </c>
      <c r="M886" s="26" t="s">
        <v>986</v>
      </c>
      <c r="N886" s="26" t="s">
        <v>987</v>
      </c>
      <c r="O886" s="22" t="str">
        <f>HYPERLINK("https://pbs.twimg.com/profile_images/1281914135/Imagenes_Pepe_023_normal.jpg","View")</f>
        <v>View</v>
      </c>
      <c r="P886" s="27"/>
    </row>
    <row r="887">
      <c r="A887" s="19">
        <v>42706.45335648148</v>
      </c>
      <c r="B887" s="20" t="str">
        <f>HYPERLINK("https://twitter.com/AlmunecarInfo","@AlmunecarInfo")</f>
        <v>@AlmunecarInfo</v>
      </c>
      <c r="C887" s="21" t="s">
        <v>1864</v>
      </c>
      <c r="D887" s="21" t="s">
        <v>1865</v>
      </c>
      <c r="E887" s="22" t="str">
        <f>HYPERLINK("https://twitter.com/AlmunecarInfo/status/804639456057638912","804639456057638912")</f>
        <v>804639456057638912</v>
      </c>
      <c r="F887" s="23" t="s">
        <v>37</v>
      </c>
      <c r="G887" s="24">
        <v>817.0</v>
      </c>
      <c r="H887" s="24">
        <v>1115.0</v>
      </c>
      <c r="I887" s="24">
        <v>0.0</v>
      </c>
      <c r="J887" s="24">
        <v>2.0</v>
      </c>
      <c r="K887" s="23" t="s">
        <v>27</v>
      </c>
      <c r="L887" s="25">
        <v>41365.771898148145</v>
      </c>
      <c r="M887" s="26" t="s">
        <v>1866</v>
      </c>
      <c r="N887" s="26" t="s">
        <v>1867</v>
      </c>
      <c r="O887" s="22" t="str">
        <f>HYPERLINK("https://pbs.twimg.com/profile_images/684372808869240832/muxt3lOJ_normal.jpg","View")</f>
        <v>View</v>
      </c>
      <c r="P887" s="27"/>
    </row>
    <row r="888">
      <c r="A888" s="19">
        <v>42706.455775462964</v>
      </c>
      <c r="B888" s="20" t="str">
        <f>HYPERLINK("https://twitter.com/wallacearnold22","@wallacearnold22")</f>
        <v>@wallacearnold22</v>
      </c>
      <c r="C888" s="21" t="s">
        <v>1868</v>
      </c>
      <c r="D888" s="21" t="s">
        <v>1855</v>
      </c>
      <c r="E888" s="22" t="str">
        <f>HYPERLINK("https://twitter.com/wallacearnold22/status/804640332776439808","804640332776439808")</f>
        <v>804640332776439808</v>
      </c>
      <c r="F888" s="23" t="s">
        <v>64</v>
      </c>
      <c r="G888" s="24">
        <v>32.0</v>
      </c>
      <c r="H888" s="24">
        <v>117.0</v>
      </c>
      <c r="I888" s="24">
        <v>7.0</v>
      </c>
      <c r="J888" s="24">
        <v>0.0</v>
      </c>
      <c r="K888" s="23" t="s">
        <v>27</v>
      </c>
      <c r="L888" s="25">
        <v>42306.85018518519</v>
      </c>
      <c r="M888" s="28"/>
      <c r="N888" s="28"/>
      <c r="O888" s="22" t="str">
        <f>HYPERLINK("https://pbs.twimg.com/profile_images/660112238225842176/M94GADEz_normal.jpg","View")</f>
        <v>View</v>
      </c>
      <c r="P888" s="27"/>
    </row>
    <row r="889">
      <c r="A889" s="19">
        <v>42706.45895833333</v>
      </c>
      <c r="B889" s="20" t="str">
        <f>HYPERLINK("https://twitter.com/swisshop4uEs","@swisshop4uEs")</f>
        <v>@swisshop4uEs</v>
      </c>
      <c r="C889" s="21" t="s">
        <v>48</v>
      </c>
      <c r="D889" s="21" t="s">
        <v>1869</v>
      </c>
      <c r="E889" s="22" t="str">
        <f>HYPERLINK("https://twitter.com/swisshop4uEs/status/804641484628697088","804641484628697088")</f>
        <v>804641484628697088</v>
      </c>
      <c r="F889" s="23" t="s">
        <v>50</v>
      </c>
      <c r="G889" s="24">
        <v>455.0</v>
      </c>
      <c r="H889" s="24">
        <v>424.0</v>
      </c>
      <c r="I889" s="24">
        <v>0.0</v>
      </c>
      <c r="J889" s="24">
        <v>0.0</v>
      </c>
      <c r="K889" s="23" t="s">
        <v>27</v>
      </c>
      <c r="L889" s="25">
        <v>41468.93072916666</v>
      </c>
      <c r="M889" s="26" t="s">
        <v>51</v>
      </c>
      <c r="N889" s="26" t="s">
        <v>52</v>
      </c>
      <c r="O889" s="22" t="str">
        <f>HYPERLINK("https://pbs.twimg.com/profile_images/378800000213382003/4f562b59f92995b884d2d440f71fc5ce_normal.png","View")</f>
        <v>View</v>
      </c>
      <c r="P889" s="27"/>
    </row>
    <row r="890">
      <c r="A890" s="19">
        <v>42706.46021990741</v>
      </c>
      <c r="B890" s="20" t="str">
        <f>HYPERLINK("https://twitter.com/AirbusHC","@AirbusHC")</f>
        <v>@AirbusHC</v>
      </c>
      <c r="C890" s="21" t="s">
        <v>1870</v>
      </c>
      <c r="D890" s="21" t="s">
        <v>1871</v>
      </c>
      <c r="E890" s="22" t="str">
        <f>HYPERLINK("https://twitter.com/AirbusHC/status/804641945465274371","804641945465274371")</f>
        <v>804641945465274371</v>
      </c>
      <c r="F890" s="23" t="s">
        <v>37</v>
      </c>
      <c r="G890" s="24">
        <v>72980.0</v>
      </c>
      <c r="H890" s="24">
        <v>528.0</v>
      </c>
      <c r="I890" s="24">
        <v>92.0</v>
      </c>
      <c r="J890" s="24">
        <v>138.0</v>
      </c>
      <c r="K890" s="23" t="s">
        <v>27</v>
      </c>
      <c r="L890" s="25">
        <v>40227.58769675926</v>
      </c>
      <c r="M890" s="28"/>
      <c r="N890" s="26" t="s">
        <v>1872</v>
      </c>
      <c r="O890" s="22" t="str">
        <f>HYPERLINK("https://pbs.twimg.com/profile_images/755307814944464896/YJZXLHva_normal.jpg","View")</f>
        <v>View</v>
      </c>
      <c r="P890" s="27"/>
    </row>
    <row r="891">
      <c r="A891" s="19">
        <v>42706.46136574074</v>
      </c>
      <c r="B891" s="20" t="str">
        <f>HYPERLINK("https://twitter.com/jlrios04","@jlrios04")</f>
        <v>@jlrios04</v>
      </c>
      <c r="C891" s="21" t="s">
        <v>1873</v>
      </c>
      <c r="D891" s="21" t="s">
        <v>1874</v>
      </c>
      <c r="E891" s="22" t="str">
        <f>HYPERLINK("https://twitter.com/jlrios04/status/804642356972716032","804642356972716032")</f>
        <v>804642356972716032</v>
      </c>
      <c r="F891" s="23" t="s">
        <v>41</v>
      </c>
      <c r="G891" s="24">
        <v>386.0</v>
      </c>
      <c r="H891" s="24">
        <v>806.0</v>
      </c>
      <c r="I891" s="24">
        <v>92.0</v>
      </c>
      <c r="J891" s="24">
        <v>0.0</v>
      </c>
      <c r="K891" s="23" t="s">
        <v>27</v>
      </c>
      <c r="L891" s="25">
        <v>41543.491018518514</v>
      </c>
      <c r="M891" s="28"/>
      <c r="N891" s="28"/>
      <c r="O891" s="22" t="str">
        <f>HYPERLINK("https://pbs.twimg.com/profile_images/771955443782578176/HnTKDsYe_normal.jpg","View")</f>
        <v>View</v>
      </c>
      <c r="P891" s="27"/>
    </row>
    <row r="892">
      <c r="A892" s="19">
        <v>42706.46214120371</v>
      </c>
      <c r="B892" s="20" t="str">
        <f>HYPERLINK("https://twitter.com/H225News","@H225News")</f>
        <v>@H225News</v>
      </c>
      <c r="C892" s="21" t="s">
        <v>1875</v>
      </c>
      <c r="D892" s="21" t="s">
        <v>1874</v>
      </c>
      <c r="E892" s="22" t="str">
        <f>HYPERLINK("https://twitter.com/H225News/status/804642641728180224","804642641728180224")</f>
        <v>804642641728180224</v>
      </c>
      <c r="F892" s="23" t="s">
        <v>26</v>
      </c>
      <c r="G892" s="24">
        <v>10.0</v>
      </c>
      <c r="H892" s="24">
        <v>3.0</v>
      </c>
      <c r="I892" s="24">
        <v>92.0</v>
      </c>
      <c r="J892" s="24">
        <v>0.0</v>
      </c>
      <c r="K892" s="23" t="s">
        <v>27</v>
      </c>
      <c r="L892" s="25">
        <v>42490.54416666667</v>
      </c>
      <c r="M892" s="28"/>
      <c r="N892" s="28"/>
      <c r="O892" s="22" t="str">
        <f>HYPERLINK("https://pbs.twimg.com/profile_images/799610378107973632/GLDhXEZb_normal.jpg","View")</f>
        <v>View</v>
      </c>
      <c r="P892" s="27"/>
    </row>
    <row r="893">
      <c r="A893" s="19">
        <v>42706.462175925924</v>
      </c>
      <c r="B893" s="20" t="str">
        <f>HYPERLINK("https://twitter.com/Prukfi","@Prukfi")</f>
        <v>@Prukfi</v>
      </c>
      <c r="C893" s="21" t="s">
        <v>1876</v>
      </c>
      <c r="D893" s="21" t="s">
        <v>1874</v>
      </c>
      <c r="E893" s="22" t="str">
        <f>HYPERLINK("https://twitter.com/Prukfi/status/804642652528541696","804642652528541696")</f>
        <v>804642652528541696</v>
      </c>
      <c r="F893" s="23" t="s">
        <v>37</v>
      </c>
      <c r="G893" s="24">
        <v>52.0</v>
      </c>
      <c r="H893" s="24">
        <v>148.0</v>
      </c>
      <c r="I893" s="24">
        <v>92.0</v>
      </c>
      <c r="J893" s="24">
        <v>0.0</v>
      </c>
      <c r="K893" s="23" t="s">
        <v>27</v>
      </c>
      <c r="L893" s="25">
        <v>42275.63119212963</v>
      </c>
      <c r="M893" s="26" t="s">
        <v>1877</v>
      </c>
      <c r="N893" s="28"/>
      <c r="O893" s="22" t="str">
        <f>HYPERLINK("https://pbs.twimg.com/profile_images/668394064212021248/-jk0X1qH_normal.jpg","View")</f>
        <v>View</v>
      </c>
      <c r="P893" s="27"/>
    </row>
    <row r="894">
      <c r="A894" s="19">
        <v>42706.46328703704</v>
      </c>
      <c r="B894" s="20" t="str">
        <f>HYPERLINK("https://twitter.com/lapalma24","@lapalma24")</f>
        <v>@lapalma24</v>
      </c>
      <c r="C894" s="21" t="s">
        <v>926</v>
      </c>
      <c r="D894" s="21" t="s">
        <v>1878</v>
      </c>
      <c r="E894" s="22" t="str">
        <f>HYPERLINK("https://twitter.com/lapalma24/status/804643053197754368","804643053197754368")</f>
        <v>804643053197754368</v>
      </c>
      <c r="F894" s="23" t="s">
        <v>37</v>
      </c>
      <c r="G894" s="24">
        <v>2029.0</v>
      </c>
      <c r="H894" s="24">
        <v>3704.0</v>
      </c>
      <c r="I894" s="24">
        <v>0.0</v>
      </c>
      <c r="J894" s="24">
        <v>0.0</v>
      </c>
      <c r="K894" s="23" t="s">
        <v>27</v>
      </c>
      <c r="L894" s="25">
        <v>40025.93230324074</v>
      </c>
      <c r="M894" s="26" t="s">
        <v>928</v>
      </c>
      <c r="N894" s="26" t="s">
        <v>929</v>
      </c>
      <c r="O894" s="22" t="str">
        <f>HYPERLINK("https://pbs.twimg.com/profile_images/3722341784/fa39d69a57bac26ec686d40f2bbf96ad_normal.jpeg","View")</f>
        <v>View</v>
      </c>
      <c r="P894" s="27"/>
    </row>
    <row r="895">
      <c r="A895" s="19">
        <v>42706.465266203704</v>
      </c>
      <c r="B895" s="20" t="str">
        <f>HYPERLINK("https://twitter.com/KayakBak","@KayakBak")</f>
        <v>@KayakBak</v>
      </c>
      <c r="C895" s="21" t="s">
        <v>1337</v>
      </c>
      <c r="D895" s="21" t="s">
        <v>1879</v>
      </c>
      <c r="E895" s="22" t="str">
        <f>HYPERLINK("https://twitter.com/KayakBak/status/804643774160916480","804643774160916480")</f>
        <v>804643774160916480</v>
      </c>
      <c r="F895" s="23" t="s">
        <v>69</v>
      </c>
      <c r="G895" s="24">
        <v>89.0</v>
      </c>
      <c r="H895" s="24">
        <v>283.0</v>
      </c>
      <c r="I895" s="24">
        <v>0.0</v>
      </c>
      <c r="J895" s="24">
        <v>1.0</v>
      </c>
      <c r="K895" s="23" t="s">
        <v>27</v>
      </c>
      <c r="L895" s="25">
        <v>41316.22059027778</v>
      </c>
      <c r="M895" s="26" t="s">
        <v>1339</v>
      </c>
      <c r="N895" s="26" t="s">
        <v>1340</v>
      </c>
      <c r="O895" s="22" t="str">
        <f>HYPERLINK("https://pbs.twimg.com/profile_images/694242395123236864/1Shv44NL_normal.jpg","View")</f>
        <v>View</v>
      </c>
      <c r="P895" s="27"/>
    </row>
    <row r="896">
      <c r="A896" s="19">
        <v>42706.465729166666</v>
      </c>
      <c r="B896" s="20" t="str">
        <f>HYPERLINK("https://twitter.com/AirbusDS","@AirbusDS")</f>
        <v>@AirbusDS</v>
      </c>
      <c r="C896" s="21" t="s">
        <v>1880</v>
      </c>
      <c r="D896" s="21" t="s">
        <v>1874</v>
      </c>
      <c r="E896" s="22" t="str">
        <f>HYPERLINK("https://twitter.com/AirbusDS/status/804643938699190272","804643938699190272")</f>
        <v>804643938699190272</v>
      </c>
      <c r="F896" s="23" t="s">
        <v>90</v>
      </c>
      <c r="G896" s="24">
        <v>78325.0</v>
      </c>
      <c r="H896" s="24">
        <v>275.0</v>
      </c>
      <c r="I896" s="24">
        <v>92.0</v>
      </c>
      <c r="J896" s="24">
        <v>0.0</v>
      </c>
      <c r="K896" s="23" t="s">
        <v>27</v>
      </c>
      <c r="L896" s="25">
        <v>40075.46513888889</v>
      </c>
      <c r="M896" s="28"/>
      <c r="N896" s="26" t="s">
        <v>1881</v>
      </c>
      <c r="O896" s="22" t="str">
        <f>HYPERLINK("https://pbs.twimg.com/profile_images/668772894286217216/duOcinvQ_normal.jpg","View")</f>
        <v>View</v>
      </c>
      <c r="P896" s="27"/>
    </row>
    <row r="897">
      <c r="A897" s="19">
        <v>42706.466307870374</v>
      </c>
      <c r="B897" s="20" t="str">
        <f>HYPERLINK("https://twitter.com/kcs39194","@kcs39194")</f>
        <v>@kcs39194</v>
      </c>
      <c r="C897" s="21" t="s">
        <v>1882</v>
      </c>
      <c r="D897" s="21" t="s">
        <v>1874</v>
      </c>
      <c r="E897" s="22" t="str">
        <f>HYPERLINK("https://twitter.com/kcs39194/status/804644149341192192","804644149341192192")</f>
        <v>804644149341192192</v>
      </c>
      <c r="F897" s="23" t="s">
        <v>41</v>
      </c>
      <c r="G897" s="24">
        <v>8113.0</v>
      </c>
      <c r="H897" s="24">
        <v>8925.0</v>
      </c>
      <c r="I897" s="24">
        <v>92.0</v>
      </c>
      <c r="J897" s="24">
        <v>0.0</v>
      </c>
      <c r="K897" s="23" t="s">
        <v>27</v>
      </c>
      <c r="L897" s="25">
        <v>41256.30431712963</v>
      </c>
      <c r="M897" s="26" t="s">
        <v>1883</v>
      </c>
      <c r="N897" s="26" t="s">
        <v>1884</v>
      </c>
      <c r="O897" s="22" t="str">
        <f>HYPERLINK("https://pbs.twimg.com/profile_images/782948047063961601/MGlSpaex_normal.jpg","View")</f>
        <v>View</v>
      </c>
      <c r="P897" s="27"/>
    </row>
    <row r="898">
      <c r="A898" s="19">
        <v>42706.467303240745</v>
      </c>
      <c r="B898" s="20" t="str">
        <f>HYPERLINK("https://twitter.com/briancoronas","@briancoronas")</f>
        <v>@briancoronas</v>
      </c>
      <c r="C898" s="21" t="s">
        <v>1885</v>
      </c>
      <c r="D898" s="21" t="s">
        <v>1874</v>
      </c>
      <c r="E898" s="22" t="str">
        <f>HYPERLINK("https://twitter.com/briancoronas/status/804644510265470976","804644510265470976")</f>
        <v>804644510265470976</v>
      </c>
      <c r="F898" s="23" t="s">
        <v>41</v>
      </c>
      <c r="G898" s="24">
        <v>191.0</v>
      </c>
      <c r="H898" s="24">
        <v>186.0</v>
      </c>
      <c r="I898" s="24">
        <v>92.0</v>
      </c>
      <c r="J898" s="24">
        <v>0.0</v>
      </c>
      <c r="K898" s="23" t="s">
        <v>27</v>
      </c>
      <c r="L898" s="25">
        <v>40623.94137731481</v>
      </c>
      <c r="M898" s="28"/>
      <c r="N898" s="26" t="s">
        <v>1886</v>
      </c>
      <c r="O898" s="22" t="str">
        <f>HYPERLINK("https://pbs.twimg.com/profile_images/795271000376168449/sAbad6b0_normal.jpg","View")</f>
        <v>View</v>
      </c>
      <c r="P898" s="27"/>
    </row>
    <row r="899">
      <c r="A899" s="19">
        <v>42706.469918981486</v>
      </c>
      <c r="B899" s="20" t="str">
        <f>HYPERLINK("https://twitter.com/IridiumMfg","@IridiumMfg")</f>
        <v>@IridiumMfg</v>
      </c>
      <c r="C899" s="21" t="s">
        <v>1887</v>
      </c>
      <c r="D899" s="21" t="s">
        <v>1874</v>
      </c>
      <c r="E899" s="22" t="str">
        <f>HYPERLINK("https://twitter.com/IridiumMfg/status/804645456361951232","804645456361951232")</f>
        <v>804645456361951232</v>
      </c>
      <c r="F899" s="23" t="s">
        <v>780</v>
      </c>
      <c r="G899" s="24">
        <v>10.0</v>
      </c>
      <c r="H899" s="24">
        <v>41.0</v>
      </c>
      <c r="I899" s="24">
        <v>92.0</v>
      </c>
      <c r="J899" s="24">
        <v>0.0</v>
      </c>
      <c r="K899" s="23" t="s">
        <v>27</v>
      </c>
      <c r="L899" s="25">
        <v>42552.80841435185</v>
      </c>
      <c r="M899" s="26" t="s">
        <v>1888</v>
      </c>
      <c r="N899" s="28"/>
      <c r="O899" s="22" t="str">
        <f>HYPERLINK("https://pbs.twimg.com/profile_images/748951379679608832/BFTF6c_d_normal.jpg","View")</f>
        <v>View</v>
      </c>
      <c r="P899" s="27"/>
    </row>
    <row r="900">
      <c r="A900" s="19">
        <v>42706.471180555556</v>
      </c>
      <c r="B900" s="20" t="str">
        <f>HYPERLINK("https://twitter.com/VikToreus","@VikToreus")</f>
        <v>@VikToreus</v>
      </c>
      <c r="C900" s="21" t="s">
        <v>1889</v>
      </c>
      <c r="D900" s="21" t="s">
        <v>1890</v>
      </c>
      <c r="E900" s="22" t="str">
        <f>HYPERLINK("https://twitter.com/VikToreus/status/804645913973182464","804645913973182464")</f>
        <v>804645913973182464</v>
      </c>
      <c r="F900" s="23" t="s">
        <v>69</v>
      </c>
      <c r="G900" s="24">
        <v>2077.0</v>
      </c>
      <c r="H900" s="24">
        <v>517.0</v>
      </c>
      <c r="I900" s="24">
        <v>0.0</v>
      </c>
      <c r="J900" s="24">
        <v>2.0</v>
      </c>
      <c r="K900" s="23" t="s">
        <v>27</v>
      </c>
      <c r="L900" s="25">
        <v>41154.912893518514</v>
      </c>
      <c r="M900" s="26" t="s">
        <v>1891</v>
      </c>
      <c r="N900" s="26" t="s">
        <v>1892</v>
      </c>
      <c r="O900" s="22" t="str">
        <f>HYPERLINK("https://pbs.twimg.com/profile_images/579814690181758976/qKyv4sZ8_normal.jpg","View")</f>
        <v>View</v>
      </c>
      <c r="P900" s="27"/>
    </row>
    <row r="901">
      <c r="A901" s="19">
        <v>42706.47424768518</v>
      </c>
      <c r="B901" s="20" t="str">
        <f>HYPERLINK("https://twitter.com/CombatAir","@CombatAir")</f>
        <v>@CombatAir</v>
      </c>
      <c r="C901" s="21" t="s">
        <v>1893</v>
      </c>
      <c r="D901" s="21" t="s">
        <v>1874</v>
      </c>
      <c r="E901" s="22" t="str">
        <f>HYPERLINK("https://twitter.com/CombatAir/status/804647028450095104","804647028450095104")</f>
        <v>804647028450095104</v>
      </c>
      <c r="F901" s="23" t="s">
        <v>37</v>
      </c>
      <c r="G901" s="24">
        <v>24111.0</v>
      </c>
      <c r="H901" s="24">
        <v>887.0</v>
      </c>
      <c r="I901" s="24">
        <v>92.0</v>
      </c>
      <c r="J901" s="24">
        <v>0.0</v>
      </c>
      <c r="K901" s="23" t="s">
        <v>27</v>
      </c>
      <c r="L901" s="25">
        <v>40588.481886574074</v>
      </c>
      <c r="M901" s="28"/>
      <c r="N901" s="26" t="s">
        <v>1894</v>
      </c>
      <c r="O901" s="22" t="str">
        <f>HYPERLINK("https://pbs.twimg.com/profile_images/1245143792/090622-N-7780S-777_normal.jpg","View")</f>
        <v>View</v>
      </c>
      <c r="P901" s="27"/>
    </row>
    <row r="902">
      <c r="A902" s="19">
        <v>42706.47446759259</v>
      </c>
      <c r="B902" s="20" t="str">
        <f>HYPERLINK("https://twitter.com/CmrLimited","@CmrLimited")</f>
        <v>@CmrLimited</v>
      </c>
      <c r="C902" s="21" t="s">
        <v>1895</v>
      </c>
      <c r="D902" s="21" t="s">
        <v>1874</v>
      </c>
      <c r="E902" s="22" t="str">
        <f>HYPERLINK("https://twitter.com/CmrLimited/status/804647107198119936","804647107198119936")</f>
        <v>804647107198119936</v>
      </c>
      <c r="F902" s="23" t="s">
        <v>41</v>
      </c>
      <c r="G902" s="24">
        <v>165.0</v>
      </c>
      <c r="H902" s="24">
        <v>314.0</v>
      </c>
      <c r="I902" s="24">
        <v>92.0</v>
      </c>
      <c r="J902" s="24">
        <v>0.0</v>
      </c>
      <c r="K902" s="23" t="s">
        <v>27</v>
      </c>
      <c r="L902" s="25">
        <v>42361.40969907407</v>
      </c>
      <c r="M902" s="26" t="s">
        <v>1896</v>
      </c>
      <c r="N902" s="26" t="s">
        <v>1897</v>
      </c>
      <c r="O902" s="22" t="str">
        <f>HYPERLINK("https://pbs.twimg.com/profile_images/803970770431000581/dcA5utoN_normal.jpg","View")</f>
        <v>View</v>
      </c>
      <c r="P902" s="27"/>
    </row>
    <row r="903">
      <c r="A903" s="19">
        <v>42706.47456018519</v>
      </c>
      <c r="B903" s="20" t="str">
        <f>HYPERLINK("https://twitter.com/TSNighthawk","@TSNighthawk")</f>
        <v>@TSNighthawk</v>
      </c>
      <c r="C903" s="21" t="s">
        <v>1898</v>
      </c>
      <c r="D903" s="21" t="s">
        <v>1874</v>
      </c>
      <c r="E903" s="22" t="str">
        <f>HYPERLINK("https://twitter.com/TSNighthawk/status/804647138466656256","804647138466656256")</f>
        <v>804647138466656256</v>
      </c>
      <c r="F903" s="23" t="s">
        <v>37</v>
      </c>
      <c r="G903" s="24">
        <v>21.0</v>
      </c>
      <c r="H903" s="24">
        <v>103.0</v>
      </c>
      <c r="I903" s="24">
        <v>92.0</v>
      </c>
      <c r="J903" s="24">
        <v>0.0</v>
      </c>
      <c r="K903" s="23" t="s">
        <v>27</v>
      </c>
      <c r="L903" s="25">
        <v>40623.81625</v>
      </c>
      <c r="M903" s="28"/>
      <c r="N903" s="28"/>
      <c r="O903" s="22" t="str">
        <f>HYPERLINK("https://pbs.twimg.com/profile_images/757106327223144448/YAzw5lNd_normal.jpg","View")</f>
        <v>View</v>
      </c>
      <c r="P903" s="27"/>
    </row>
    <row r="904">
      <c r="A904" s="19">
        <v>42706.475069444445</v>
      </c>
      <c r="B904" s="20" t="str">
        <f>HYPERLINK("https://twitter.com/mquirozt","@mquirozt")</f>
        <v>@mquirozt</v>
      </c>
      <c r="C904" s="21" t="s">
        <v>1899</v>
      </c>
      <c r="D904" s="21" t="s">
        <v>1874</v>
      </c>
      <c r="E904" s="22" t="str">
        <f>HYPERLINK("https://twitter.com/mquirozt/status/804647324328849408","804647324328849408")</f>
        <v>804647324328849408</v>
      </c>
      <c r="F904" s="23" t="s">
        <v>41</v>
      </c>
      <c r="G904" s="24">
        <v>2783.0</v>
      </c>
      <c r="H904" s="24">
        <v>2508.0</v>
      </c>
      <c r="I904" s="24">
        <v>92.0</v>
      </c>
      <c r="J904" s="24">
        <v>0.0</v>
      </c>
      <c r="K904" s="23" t="s">
        <v>27</v>
      </c>
      <c r="L904" s="25">
        <v>39921.25630787037</v>
      </c>
      <c r="M904" s="26" t="s">
        <v>1900</v>
      </c>
      <c r="N904" s="26" t="s">
        <v>1901</v>
      </c>
      <c r="O904" s="22" t="str">
        <f>HYPERLINK("https://pbs.twimg.com/profile_images/774447613529694208/WOMMOLSH_normal.jpg","View")</f>
        <v>View</v>
      </c>
      <c r="P904" s="27"/>
    </row>
    <row r="905">
      <c r="A905" s="19">
        <v>42706.47553240741</v>
      </c>
      <c r="B905" s="20" t="str">
        <f>HYPERLINK("https://twitter.com/hukubutyo2501","@hukubutyo2501")</f>
        <v>@hukubutyo2501</v>
      </c>
      <c r="C905" s="21" t="s">
        <v>1902</v>
      </c>
      <c r="D905" s="21" t="s">
        <v>1874</v>
      </c>
      <c r="E905" s="22" t="str">
        <f>HYPERLINK("https://twitter.com/hukubutyo2501/status/804647493371736064","804647493371736064")</f>
        <v>804647493371736064</v>
      </c>
      <c r="F905" s="23" t="s">
        <v>1603</v>
      </c>
      <c r="G905" s="24">
        <v>515.0</v>
      </c>
      <c r="H905" s="24">
        <v>1056.0</v>
      </c>
      <c r="I905" s="24">
        <v>92.0</v>
      </c>
      <c r="J905" s="24">
        <v>0.0</v>
      </c>
      <c r="K905" s="23" t="s">
        <v>27</v>
      </c>
      <c r="L905" s="25">
        <v>42131.93027777778</v>
      </c>
      <c r="M905" s="26" t="s">
        <v>1903</v>
      </c>
      <c r="N905" s="26" t="s">
        <v>1904</v>
      </c>
      <c r="O905" s="22" t="str">
        <f>HYPERLINK("https://pbs.twimg.com/profile_images/703565383265988608/abGmPVpV_normal.jpg","View")</f>
        <v>View</v>
      </c>
      <c r="P905" s="27"/>
    </row>
    <row r="906">
      <c r="A906" s="19">
        <v>42706.4762037037</v>
      </c>
      <c r="B906" s="20" t="str">
        <f>HYPERLINK("https://twitter.com/mundosefarad","@mundosefarad")</f>
        <v>@mundosefarad</v>
      </c>
      <c r="C906" s="21" t="s">
        <v>1905</v>
      </c>
      <c r="D906" s="21" t="s">
        <v>1874</v>
      </c>
      <c r="E906" s="22" t="str">
        <f>HYPERLINK("https://twitter.com/mundosefarad/status/804647733877493760","804647733877493760")</f>
        <v>804647733877493760</v>
      </c>
      <c r="F906" s="23" t="s">
        <v>37</v>
      </c>
      <c r="G906" s="24">
        <v>1392.0</v>
      </c>
      <c r="H906" s="24">
        <v>113.0</v>
      </c>
      <c r="I906" s="24">
        <v>92.0</v>
      </c>
      <c r="J906" s="24">
        <v>0.0</v>
      </c>
      <c r="K906" s="23" t="s">
        <v>27</v>
      </c>
      <c r="L906" s="25">
        <v>41775.39649305555</v>
      </c>
      <c r="M906" s="28"/>
      <c r="N906" s="28"/>
      <c r="O906" s="22" t="str">
        <f>HYPERLINK("https://pbs.twimg.com/profile_images/528085515124228096/9ofxGHOj_normal.jpeg","View")</f>
        <v>View</v>
      </c>
      <c r="P906" s="27"/>
    </row>
    <row r="907">
      <c r="A907" s="19">
        <v>42706.47916666667</v>
      </c>
      <c r="B907" s="20" t="str">
        <f>HYPERLINK("https://twitter.com/ManNam110","@ManNam110")</f>
        <v>@ManNam110</v>
      </c>
      <c r="C907" s="21" t="s">
        <v>1906</v>
      </c>
      <c r="D907" s="21" t="s">
        <v>1874</v>
      </c>
      <c r="E907" s="22" t="str">
        <f>HYPERLINK("https://twitter.com/ManNam110/status/804648808596566016","804648808596566016")</f>
        <v>804648808596566016</v>
      </c>
      <c r="F907" s="23" t="s">
        <v>26</v>
      </c>
      <c r="G907" s="24">
        <v>587.0</v>
      </c>
      <c r="H907" s="24">
        <v>118.0</v>
      </c>
      <c r="I907" s="24">
        <v>92.0</v>
      </c>
      <c r="J907" s="24">
        <v>0.0</v>
      </c>
      <c r="K907" s="23" t="s">
        <v>27</v>
      </c>
      <c r="L907" s="25">
        <v>41967.79001157408</v>
      </c>
      <c r="M907" s="26" t="s">
        <v>1907</v>
      </c>
      <c r="N907" s="26" t="s">
        <v>1908</v>
      </c>
      <c r="O907" s="22" t="str">
        <f>HYPERLINK("https://pbs.twimg.com/profile_images/751711463388090368/ME2XuG6a_normal.jpg","View")</f>
        <v>View</v>
      </c>
      <c r="P907" s="27"/>
    </row>
    <row r="908">
      <c r="A908" s="19">
        <v>42706.48489583333</v>
      </c>
      <c r="B908" s="20" t="str">
        <f>HYPERLINK("https://twitter.com/top_force","@top_force")</f>
        <v>@top_force</v>
      </c>
      <c r="C908" s="21" t="s">
        <v>1909</v>
      </c>
      <c r="D908" s="21" t="s">
        <v>1874</v>
      </c>
      <c r="E908" s="22" t="str">
        <f>HYPERLINK("https://twitter.com/top_force/status/804650885703942144","804650885703942144")</f>
        <v>804650885703942144</v>
      </c>
      <c r="F908" s="23" t="s">
        <v>37</v>
      </c>
      <c r="G908" s="24">
        <v>3402.0</v>
      </c>
      <c r="H908" s="24">
        <v>725.0</v>
      </c>
      <c r="I908" s="24">
        <v>92.0</v>
      </c>
      <c r="J908" s="24">
        <v>0.0</v>
      </c>
      <c r="K908" s="23" t="s">
        <v>27</v>
      </c>
      <c r="L908" s="25">
        <v>41380.829375</v>
      </c>
      <c r="M908" s="28"/>
      <c r="N908" s="26" t="s">
        <v>1910</v>
      </c>
      <c r="O908" s="22" t="str">
        <f>HYPERLINK("https://pbs.twimg.com/profile_images/378800000623377639/064e969e3d6ee61c50a4c36f8d3c30b7_normal.jpeg","View")</f>
        <v>View</v>
      </c>
      <c r="P908" s="27"/>
    </row>
    <row r="909">
      <c r="A909" s="19">
        <v>42706.48596064815</v>
      </c>
      <c r="B909" s="20" t="str">
        <f>HYPERLINK("https://twitter.com/Antwane29","@Antwane29")</f>
        <v>@Antwane29</v>
      </c>
      <c r="C909" s="21" t="s">
        <v>1911</v>
      </c>
      <c r="D909" s="21" t="s">
        <v>1874</v>
      </c>
      <c r="E909" s="22" t="str">
        <f>HYPERLINK("https://twitter.com/Antwane29/status/804651271223447552","804651271223447552")</f>
        <v>804651271223447552</v>
      </c>
      <c r="F909" s="23" t="s">
        <v>26</v>
      </c>
      <c r="G909" s="24">
        <v>263.0</v>
      </c>
      <c r="H909" s="24">
        <v>91.0</v>
      </c>
      <c r="I909" s="24">
        <v>92.0</v>
      </c>
      <c r="J909" s="24">
        <v>0.0</v>
      </c>
      <c r="K909" s="23" t="s">
        <v>27</v>
      </c>
      <c r="L909" s="25">
        <v>41725.85325231482</v>
      </c>
      <c r="M909" s="26" t="s">
        <v>1912</v>
      </c>
      <c r="N909" s="26" t="s">
        <v>1913</v>
      </c>
      <c r="O909" s="22" t="str">
        <f>HYPERLINK("https://pbs.twimg.com/profile_images/783336086433062912/iYH-r0S6_normal.jpg","View")</f>
        <v>View</v>
      </c>
      <c r="P909" s="27"/>
    </row>
    <row r="910">
      <c r="A910" s="19">
        <v>42706.489027777774</v>
      </c>
      <c r="B910" s="20" t="str">
        <f>HYPERLINK("https://twitter.com/KBandrovsky","@KBandrovsky")</f>
        <v>@KBandrovsky</v>
      </c>
      <c r="C910" s="21" t="s">
        <v>1914</v>
      </c>
      <c r="D910" s="21" t="s">
        <v>1874</v>
      </c>
      <c r="E910" s="22" t="str">
        <f>HYPERLINK("https://twitter.com/KBandrovsky/status/804652381799677952","804652381799677952")</f>
        <v>804652381799677952</v>
      </c>
      <c r="F910" s="23" t="s">
        <v>37</v>
      </c>
      <c r="G910" s="24">
        <v>617.0</v>
      </c>
      <c r="H910" s="24">
        <v>613.0</v>
      </c>
      <c r="I910" s="24">
        <v>92.0</v>
      </c>
      <c r="J910" s="24">
        <v>0.0</v>
      </c>
      <c r="K910" s="23" t="s">
        <v>27</v>
      </c>
      <c r="L910" s="25">
        <v>41169.693495370375</v>
      </c>
      <c r="M910" s="26" t="s">
        <v>1915</v>
      </c>
      <c r="N910" s="28"/>
      <c r="O910" s="22" t="str">
        <f>HYPERLINK("https://pbs.twimg.com/profile_images/799487403782184960/QmcGTSVd_normal.jpg","View")</f>
        <v>View</v>
      </c>
      <c r="P910" s="27"/>
    </row>
    <row r="911">
      <c r="A911" s="19">
        <v>42706.49114583334</v>
      </c>
      <c r="B911" s="20" t="str">
        <f>HYPERLINK("https://twitter.com/the_DNMI","@the_DNMI")</f>
        <v>@the_DNMI</v>
      </c>
      <c r="C911" s="21" t="s">
        <v>1916</v>
      </c>
      <c r="D911" s="21" t="s">
        <v>1874</v>
      </c>
      <c r="E911" s="22" t="str">
        <f>HYPERLINK("https://twitter.com/the_DNMI/status/804653150024175616","804653150024175616")</f>
        <v>804653150024175616</v>
      </c>
      <c r="F911" s="23" t="s">
        <v>41</v>
      </c>
      <c r="G911" s="24">
        <v>167.0</v>
      </c>
      <c r="H911" s="24">
        <v>600.0</v>
      </c>
      <c r="I911" s="24">
        <v>92.0</v>
      </c>
      <c r="J911" s="24">
        <v>0.0</v>
      </c>
      <c r="K911" s="23" t="s">
        <v>27</v>
      </c>
      <c r="L911" s="25">
        <v>41171.72625</v>
      </c>
      <c r="M911" s="26" t="s">
        <v>1917</v>
      </c>
      <c r="N911" s="26" t="s">
        <v>1918</v>
      </c>
      <c r="O911" s="22" t="str">
        <f>HYPERLINK("https://pbs.twimg.com/profile_images/740949790008172545/E23vEiil_normal.jpg","View")</f>
        <v>View</v>
      </c>
      <c r="P911" s="27"/>
    </row>
    <row r="912">
      <c r="A912" s="19">
        <v>42706.49481481481</v>
      </c>
      <c r="B912" s="20" t="str">
        <f>HYPERLINK("https://twitter.com/EjercitoAire","@EjercitoAire")</f>
        <v>@EjercitoAire</v>
      </c>
      <c r="C912" s="21" t="s">
        <v>1919</v>
      </c>
      <c r="D912" s="21" t="s">
        <v>1874</v>
      </c>
      <c r="E912" s="22" t="str">
        <f>HYPERLINK("https://twitter.com/EjercitoAire/status/804654479761096704","804654479761096704")</f>
        <v>804654479761096704</v>
      </c>
      <c r="F912" s="23" t="s">
        <v>401</v>
      </c>
      <c r="G912" s="24">
        <v>57770.0</v>
      </c>
      <c r="H912" s="24">
        <v>116.0</v>
      </c>
      <c r="I912" s="24">
        <v>92.0</v>
      </c>
      <c r="J912" s="24">
        <v>0.0</v>
      </c>
      <c r="K912" s="23" t="s">
        <v>27</v>
      </c>
      <c r="L912" s="25">
        <v>40963.39820601852</v>
      </c>
      <c r="M912" s="26" t="s">
        <v>1920</v>
      </c>
      <c r="N912" s="26" t="s">
        <v>1921</v>
      </c>
      <c r="O912" s="22" t="str">
        <f>HYPERLINK("https://pbs.twimg.com/profile_images/561092902185484288/7W4FpTHG_normal.jpeg","View")</f>
        <v>View</v>
      </c>
      <c r="P912" s="27"/>
    </row>
    <row r="913">
      <c r="A913" s="19">
        <v>42706.494999999995</v>
      </c>
      <c r="B913" s="20" t="str">
        <f>HYPERLINK("https://twitter.com/LuisMarCaceres","@LuisMarCaceres")</f>
        <v>@LuisMarCaceres</v>
      </c>
      <c r="C913" s="21" t="s">
        <v>1922</v>
      </c>
      <c r="D913" s="21" t="s">
        <v>1874</v>
      </c>
      <c r="E913" s="22" t="str">
        <f>HYPERLINK("https://twitter.com/LuisMarCaceres/status/804654548354744320","804654548354744320")</f>
        <v>804654548354744320</v>
      </c>
      <c r="F913" s="23" t="s">
        <v>41</v>
      </c>
      <c r="G913" s="24">
        <v>683.0</v>
      </c>
      <c r="H913" s="24">
        <v>1183.0</v>
      </c>
      <c r="I913" s="24">
        <v>92.0</v>
      </c>
      <c r="J913" s="24">
        <v>0.0</v>
      </c>
      <c r="K913" s="23" t="s">
        <v>27</v>
      </c>
      <c r="L913" s="25">
        <v>42400.021516203706</v>
      </c>
      <c r="M913" s="28"/>
      <c r="N913" s="28"/>
      <c r="O913" s="22" t="str">
        <f>HYPERLINK("https://pbs.twimg.com/profile_images/693594201481728000/n-ZhGMf1_normal.jpg","View")</f>
        <v>View</v>
      </c>
      <c r="P913" s="27"/>
    </row>
    <row r="914">
      <c r="A914" s="19">
        <v>42706.49508101852</v>
      </c>
      <c r="B914" s="20" t="str">
        <f>HYPERLINK("https://twitter.com/chaima_72","@chaima_72")</f>
        <v>@chaima_72</v>
      </c>
      <c r="C914" s="21" t="s">
        <v>1923</v>
      </c>
      <c r="D914" s="21" t="s">
        <v>1874</v>
      </c>
      <c r="E914" s="22" t="str">
        <f>HYPERLINK("https://twitter.com/chaima_72/status/804654578780303362","804654578780303362")</f>
        <v>804654578780303362</v>
      </c>
      <c r="F914" s="23" t="s">
        <v>90</v>
      </c>
      <c r="G914" s="24">
        <v>24.0</v>
      </c>
      <c r="H914" s="24">
        <v>49.0</v>
      </c>
      <c r="I914" s="24">
        <v>92.0</v>
      </c>
      <c r="J914" s="24">
        <v>0.0</v>
      </c>
      <c r="K914" s="23" t="s">
        <v>27</v>
      </c>
      <c r="L914" s="25">
        <v>40550.71517361111</v>
      </c>
      <c r="M914" s="28"/>
      <c r="N914" s="28"/>
      <c r="O914" s="22" t="str">
        <f>HYPERLINK("https://pbs.twimg.com/profile_images/3714475831/bb9ed1afcb8dfe3c225fa158e9c261c3_normal.jpeg","View")</f>
        <v>View</v>
      </c>
      <c r="P914" s="27"/>
    </row>
    <row r="915">
      <c r="A915" s="19">
        <v>42706.498032407406</v>
      </c>
      <c r="B915" s="20" t="str">
        <f>HYPERLINK("https://twitter.com/AnaSoriano63","@AnaSoriano63")</f>
        <v>@AnaSoriano63</v>
      </c>
      <c r="C915" s="21" t="s">
        <v>1924</v>
      </c>
      <c r="D915" s="21" t="s">
        <v>1874</v>
      </c>
      <c r="E915" s="22" t="str">
        <f>HYPERLINK("https://twitter.com/AnaSoriano63/status/804655645689610240","804655645689610240")</f>
        <v>804655645689610240</v>
      </c>
      <c r="F915" s="23" t="s">
        <v>41</v>
      </c>
      <c r="G915" s="24">
        <v>131.0</v>
      </c>
      <c r="H915" s="24">
        <v>63.0</v>
      </c>
      <c r="I915" s="24">
        <v>92.0</v>
      </c>
      <c r="J915" s="24">
        <v>0.0</v>
      </c>
      <c r="K915" s="23" t="s">
        <v>27</v>
      </c>
      <c r="L915" s="25">
        <v>41951.68371527777</v>
      </c>
      <c r="M915" s="28"/>
      <c r="N915" s="28"/>
      <c r="O915" s="22" t="str">
        <f>HYPERLINK("https://pbs.twimg.com/profile_images/531121521067302912/9aawcxgn_normal.jpeg","View")</f>
        <v>View</v>
      </c>
      <c r="P915" s="27"/>
    </row>
    <row r="916">
      <c r="A916" s="19">
        <v>42706.49896990741</v>
      </c>
      <c r="B916" s="20" t="str">
        <f>HYPERLINK("https://twitter.com/michalgajzler","@michalgajzler")</f>
        <v>@michalgajzler</v>
      </c>
      <c r="C916" s="21" t="s">
        <v>1925</v>
      </c>
      <c r="D916" s="21" t="s">
        <v>1874</v>
      </c>
      <c r="E916" s="22" t="str">
        <f>HYPERLINK("https://twitter.com/michalgajzler/status/804655985436622849","804655985436622849")</f>
        <v>804655985436622849</v>
      </c>
      <c r="F916" s="23" t="s">
        <v>41</v>
      </c>
      <c r="G916" s="24">
        <v>287.0</v>
      </c>
      <c r="H916" s="24">
        <v>396.0</v>
      </c>
      <c r="I916" s="24">
        <v>92.0</v>
      </c>
      <c r="J916" s="24">
        <v>0.0</v>
      </c>
      <c r="K916" s="23" t="s">
        <v>27</v>
      </c>
      <c r="L916" s="25">
        <v>41393.562256944446</v>
      </c>
      <c r="M916" s="26" t="s">
        <v>1926</v>
      </c>
      <c r="N916" s="31" t="s">
        <v>1927</v>
      </c>
      <c r="O916" s="22" t="str">
        <f>HYPERLINK("https://pbs.twimg.com/profile_images/3592029324/26a4ea58db7b869b21f250b932524e85_normal.jpeg","View")</f>
        <v>View</v>
      </c>
      <c r="P916" s="27"/>
    </row>
    <row r="917">
      <c r="A917" s="19">
        <v>42706.50033564815</v>
      </c>
      <c r="B917" s="20" t="str">
        <f>HYPERLINK("https://twitter.com/Teguileha","@Teguileha")</f>
        <v>@Teguileha</v>
      </c>
      <c r="C917" s="21" t="s">
        <v>1928</v>
      </c>
      <c r="D917" s="21" t="s">
        <v>1929</v>
      </c>
      <c r="E917" s="22" t="str">
        <f>HYPERLINK("https://twitter.com/Teguileha/status/804656481480089600","804656481480089600")</f>
        <v>804656481480089600</v>
      </c>
      <c r="F917" s="23" t="s">
        <v>81</v>
      </c>
      <c r="G917" s="24">
        <v>253.0</v>
      </c>
      <c r="H917" s="24">
        <v>194.0</v>
      </c>
      <c r="I917" s="24">
        <v>0.0</v>
      </c>
      <c r="J917" s="24">
        <v>0.0</v>
      </c>
      <c r="K917" s="23" t="s">
        <v>27</v>
      </c>
      <c r="L917" s="25">
        <v>40409.96722222222</v>
      </c>
      <c r="M917" s="26" t="s">
        <v>1930</v>
      </c>
      <c r="N917" s="26" t="s">
        <v>1931</v>
      </c>
      <c r="O917" s="22" t="str">
        <f>HYPERLINK("https://pbs.twimg.com/profile_images/787395230979031040/PLh2fUVB_normal.jpg","View")</f>
        <v>View</v>
      </c>
      <c r="P917" s="27"/>
    </row>
    <row r="918">
      <c r="A918" s="19">
        <v>42706.5003587963</v>
      </c>
      <c r="B918" s="20" t="str">
        <f>HYPERLINK("https://twitter.com/FelixMontanchez","@FelixMontanchez")</f>
        <v>@FelixMontanchez</v>
      </c>
      <c r="C918" s="21" t="s">
        <v>1932</v>
      </c>
      <c r="D918" s="21" t="s">
        <v>1933</v>
      </c>
      <c r="E918" s="22" t="str">
        <f>HYPERLINK("https://twitter.com/FelixMontanchez/status/804656487813484545","804656487813484545")</f>
        <v>804656487813484545</v>
      </c>
      <c r="F918" s="23" t="s">
        <v>69</v>
      </c>
      <c r="G918" s="24">
        <v>15.0</v>
      </c>
      <c r="H918" s="24">
        <v>167.0</v>
      </c>
      <c r="I918" s="24">
        <v>0.0</v>
      </c>
      <c r="J918" s="24">
        <v>0.0</v>
      </c>
      <c r="K918" s="23" t="s">
        <v>27</v>
      </c>
      <c r="L918" s="25">
        <v>42657.76810185185</v>
      </c>
      <c r="M918" s="26" t="s">
        <v>1934</v>
      </c>
      <c r="N918" s="26" t="s">
        <v>1935</v>
      </c>
      <c r="O918" s="22" t="str">
        <f>HYPERLINK("https://pbs.twimg.com/profile_images/786983148693360644/K6BB6qqg_normal.jpg","View")</f>
        <v>View</v>
      </c>
      <c r="P918" s="27"/>
    </row>
    <row r="919">
      <c r="A919" s="19">
        <v>42706.501435185186</v>
      </c>
      <c r="B919" s="20" t="str">
        <f>HYPERLINK("https://twitter.com/wickman_","@wickman_")</f>
        <v>@wickman_</v>
      </c>
      <c r="C919" s="21" t="s">
        <v>1936</v>
      </c>
      <c r="D919" s="21" t="s">
        <v>1874</v>
      </c>
      <c r="E919" s="22" t="str">
        <f>HYPERLINK("https://twitter.com/wickman_/status/804656881344147456","804656881344147456")</f>
        <v>804656881344147456</v>
      </c>
      <c r="F919" s="23" t="s">
        <v>41</v>
      </c>
      <c r="G919" s="24">
        <v>594.0</v>
      </c>
      <c r="H919" s="24">
        <v>1045.0</v>
      </c>
      <c r="I919" s="24">
        <v>92.0</v>
      </c>
      <c r="J919" s="24">
        <v>0.0</v>
      </c>
      <c r="K919" s="23" t="s">
        <v>27</v>
      </c>
      <c r="L919" s="25">
        <v>41225.921701388885</v>
      </c>
      <c r="M919" s="26" t="s">
        <v>1937</v>
      </c>
      <c r="N919" s="26" t="s">
        <v>1938</v>
      </c>
      <c r="O919" s="22" t="str">
        <f>HYPERLINK("https://pbs.twimg.com/profile_images/782999445982089217/IcXBIXVz_normal.jpg","View")</f>
        <v>View</v>
      </c>
      <c r="P919" s="27"/>
    </row>
    <row r="920">
      <c r="A920" s="19">
        <v>42706.5018287037</v>
      </c>
      <c r="B920" s="20" t="str">
        <f>HYPERLINK("https://twitter.com/sweetfellow2","@sweetfellow2")</f>
        <v>@sweetfellow2</v>
      </c>
      <c r="C920" s="21" t="s">
        <v>1939</v>
      </c>
      <c r="D920" s="21" t="s">
        <v>25</v>
      </c>
      <c r="E920" s="22" t="str">
        <f>HYPERLINK("https://twitter.com/sweetfellow2/status/804657020821536769","804657020821536769")</f>
        <v>804657020821536769</v>
      </c>
      <c r="F920" s="23" t="s">
        <v>41</v>
      </c>
      <c r="G920" s="24">
        <v>232.0</v>
      </c>
      <c r="H920" s="24">
        <v>296.0</v>
      </c>
      <c r="I920" s="24">
        <v>71.0</v>
      </c>
      <c r="J920" s="24">
        <v>0.0</v>
      </c>
      <c r="K920" s="23" t="s">
        <v>27</v>
      </c>
      <c r="L920" s="25">
        <v>42405.44459490741</v>
      </c>
      <c r="M920" s="26" t="s">
        <v>1940</v>
      </c>
      <c r="N920" s="26" t="s">
        <v>1941</v>
      </c>
      <c r="O920" s="22" t="str">
        <f>HYPERLINK("https://pbs.twimg.com/profile_images/749912616240291840/cxAKwzpP_normal.jpg","View")</f>
        <v>View</v>
      </c>
      <c r="P920" s="27"/>
    </row>
    <row r="921">
      <c r="A921" s="19">
        <v>42706.50520833333</v>
      </c>
      <c r="B921" s="20" t="str">
        <f>HYPERLINK("https://twitter.com/mariaIpedraja","@mariaIpedraja")</f>
        <v>@mariaIpedraja</v>
      </c>
      <c r="C921" s="21" t="s">
        <v>1942</v>
      </c>
      <c r="D921" s="21" t="s">
        <v>1874</v>
      </c>
      <c r="E921" s="22" t="str">
        <f>HYPERLINK("https://twitter.com/mariaIpedraja/status/804658245323235328","804658245323235328")</f>
        <v>804658245323235328</v>
      </c>
      <c r="F921" s="23" t="s">
        <v>41</v>
      </c>
      <c r="G921" s="24">
        <v>141.0</v>
      </c>
      <c r="H921" s="24">
        <v>77.0</v>
      </c>
      <c r="I921" s="24">
        <v>92.0</v>
      </c>
      <c r="J921" s="24">
        <v>0.0</v>
      </c>
      <c r="K921" s="23" t="s">
        <v>27</v>
      </c>
      <c r="L921" s="25">
        <v>42022.72644675926</v>
      </c>
      <c r="M921" s="28"/>
      <c r="N921" s="26" t="s">
        <v>1943</v>
      </c>
      <c r="O921" s="22" t="str">
        <f>HYPERLINK("https://pbs.twimg.com/profile_images/556942343744405504/0zIWcCQo_normal.jpeg","View")</f>
        <v>View</v>
      </c>
      <c r="P921" s="27"/>
    </row>
    <row r="922">
      <c r="A922" s="19">
        <v>42706.50582175926</v>
      </c>
      <c r="B922" s="20" t="str">
        <f>HYPERLINK("https://twitter.com/15Fuerteventura","@15Fuerteventura")</f>
        <v>@15Fuerteventura</v>
      </c>
      <c r="C922" s="21" t="s">
        <v>1148</v>
      </c>
      <c r="D922" s="21" t="s">
        <v>1837</v>
      </c>
      <c r="E922" s="22" t="str">
        <f>HYPERLINK("https://twitter.com/15Fuerteventura/status/804658469475323904","804658469475323904")</f>
        <v>804658469475323904</v>
      </c>
      <c r="F922" s="23" t="s">
        <v>26</v>
      </c>
      <c r="G922" s="24">
        <v>473.0</v>
      </c>
      <c r="H922" s="24">
        <v>272.0</v>
      </c>
      <c r="I922" s="24">
        <v>5.0</v>
      </c>
      <c r="J922" s="24">
        <v>0.0</v>
      </c>
      <c r="K922" s="23" t="s">
        <v>27</v>
      </c>
      <c r="L922" s="25">
        <v>40742.81895833333</v>
      </c>
      <c r="M922" s="26" t="s">
        <v>1149</v>
      </c>
      <c r="N922" s="26" t="s">
        <v>1150</v>
      </c>
      <c r="O922" s="22" t="str">
        <f>HYPERLINK("https://pbs.twimg.com/profile_images/1450740632/15_brand_pic_normal.jpg","View")</f>
        <v>View</v>
      </c>
      <c r="P922" s="27"/>
    </row>
    <row r="923">
      <c r="A923" s="19">
        <v>42706.50729166667</v>
      </c>
      <c r="B923" s="20" t="str">
        <f>HYPERLINK("https://twitter.com/auto_reisen","@auto_reisen")</f>
        <v>@auto_reisen</v>
      </c>
      <c r="C923" s="21" t="s">
        <v>479</v>
      </c>
      <c r="D923" s="21" t="s">
        <v>1944</v>
      </c>
      <c r="E923" s="22" t="str">
        <f>HYPERLINK("https://twitter.com/auto_reisen/status/804659001518596096","804659001518596096")</f>
        <v>804659001518596096</v>
      </c>
      <c r="F923" s="23" t="s">
        <v>37</v>
      </c>
      <c r="G923" s="24">
        <v>64.0</v>
      </c>
      <c r="H923" s="24">
        <v>12.0</v>
      </c>
      <c r="I923" s="24">
        <v>0.0</v>
      </c>
      <c r="J923" s="24">
        <v>1.0</v>
      </c>
      <c r="K923" s="23" t="s">
        <v>27</v>
      </c>
      <c r="L923" s="25">
        <v>40229.94081018519</v>
      </c>
      <c r="M923" s="26" t="s">
        <v>305</v>
      </c>
      <c r="N923" s="26" t="s">
        <v>481</v>
      </c>
      <c r="O923" s="22" t="str">
        <f>HYPERLINK("https://pbs.twimg.com/profile_images/753537830752845824/CAcHgdYu_normal.jpg","View")</f>
        <v>View</v>
      </c>
      <c r="P923" s="27"/>
    </row>
    <row r="924">
      <c r="A924" s="19">
        <v>42706.513657407406</v>
      </c>
      <c r="B924" s="20" t="str">
        <f>HYPERLINK("https://twitter.com/islaspromo","@islaspromo")</f>
        <v>@islaspromo</v>
      </c>
      <c r="C924" s="21" t="s">
        <v>215</v>
      </c>
      <c r="D924" s="21" t="s">
        <v>384</v>
      </c>
      <c r="E924" s="22" t="str">
        <f>HYPERLINK("https://twitter.com/islaspromo/status/804661310084567040","804661310084567040")</f>
        <v>804661310084567040</v>
      </c>
      <c r="F924" s="23" t="s">
        <v>37</v>
      </c>
      <c r="G924" s="24">
        <v>785.0</v>
      </c>
      <c r="H924" s="24">
        <v>591.0</v>
      </c>
      <c r="I924" s="24">
        <v>5.0</v>
      </c>
      <c r="J924" s="24">
        <v>0.0</v>
      </c>
      <c r="K924" s="23" t="s">
        <v>27</v>
      </c>
      <c r="L924" s="25">
        <v>42060.74221064815</v>
      </c>
      <c r="M924" s="26" t="s">
        <v>51</v>
      </c>
      <c r="N924" s="26" t="s">
        <v>216</v>
      </c>
      <c r="O924" s="22" t="str">
        <f>HYPERLINK("https://pbs.twimg.com/profile_images/570644453866483712/dvbC2x8W_normal.jpeg","View")</f>
        <v>View</v>
      </c>
      <c r="P924" s="27"/>
    </row>
    <row r="925">
      <c r="A925" s="19">
        <v>42706.51472222222</v>
      </c>
      <c r="B925" s="20" t="str">
        <f>HYPERLINK("https://twitter.com/solutions_board","@solutions_board")</f>
        <v>@solutions_board</v>
      </c>
      <c r="C925" s="21" t="s">
        <v>1945</v>
      </c>
      <c r="D925" s="21" t="s">
        <v>1946</v>
      </c>
      <c r="E925" s="22" t="str">
        <f>HYPERLINK("https://twitter.com/solutions_board/status/804661695419387904","804661695419387904")</f>
        <v>804661695419387904</v>
      </c>
      <c r="F925" s="23" t="s">
        <v>69</v>
      </c>
      <c r="G925" s="24">
        <v>501.0</v>
      </c>
      <c r="H925" s="24">
        <v>1176.0</v>
      </c>
      <c r="I925" s="24">
        <v>0.0</v>
      </c>
      <c r="J925" s="24">
        <v>0.0</v>
      </c>
      <c r="K925" s="23" t="s">
        <v>27</v>
      </c>
      <c r="L925" s="25">
        <v>40847.313576388886</v>
      </c>
      <c r="M925" s="26" t="s">
        <v>55</v>
      </c>
      <c r="N925" s="26" t="s">
        <v>1947</v>
      </c>
      <c r="O925" s="22" t="str">
        <f>HYPERLINK("https://pbs.twimg.com/profile_images/514748311559892993/QIp5AWD4_normal.jpeg","View")</f>
        <v>View</v>
      </c>
      <c r="P925" s="27"/>
    </row>
    <row r="926">
      <c r="A926" s="19">
        <v>42706.522199074076</v>
      </c>
      <c r="B926" s="20" t="str">
        <f>HYPERLINK("https://twitter.com/UCAmIIWAAL","@UCAmIIWAAL")</f>
        <v>@UCAmIIWAAL</v>
      </c>
      <c r="C926" s="21" t="s">
        <v>1196</v>
      </c>
      <c r="D926" s="21" t="s">
        <v>1948</v>
      </c>
      <c r="E926" s="22" t="str">
        <f>HYPERLINK("https://twitter.com/UCAmIIWAAL/status/804664403060789248","804664403060789248")</f>
        <v>804664403060789248</v>
      </c>
      <c r="F926" s="23" t="s">
        <v>41</v>
      </c>
      <c r="G926" s="24">
        <v>72.0</v>
      </c>
      <c r="H926" s="24">
        <v>13.0</v>
      </c>
      <c r="I926" s="24">
        <v>1.0</v>
      </c>
      <c r="J926" s="24">
        <v>1.0</v>
      </c>
      <c r="K926" s="23" t="s">
        <v>27</v>
      </c>
      <c r="L926" s="25">
        <v>40895.47292824074</v>
      </c>
      <c r="M926" s="28"/>
      <c r="N926" s="26" t="s">
        <v>1198</v>
      </c>
      <c r="O926" s="22" t="str">
        <f>HYPERLINK("https://pbs.twimg.com/profile_images/713310925701427200/i_WxL0Us_normal.jpg","View")</f>
        <v>View</v>
      </c>
      <c r="P926" s="27"/>
    </row>
    <row r="927">
      <c r="A927" s="19">
        <v>42706.52266203704</v>
      </c>
      <c r="B927" s="20" t="str">
        <f>HYPERLINK("https://twitter.com/emoji_fight","@emoji_fight")</f>
        <v>@emoji_fight</v>
      </c>
      <c r="C927" s="21" t="s">
        <v>1949</v>
      </c>
      <c r="D927" s="21" t="s">
        <v>1950</v>
      </c>
      <c r="E927" s="22" t="str">
        <f>HYPERLINK("https://twitter.com/emoji_fight/status/804664573471158272","804664573471158272")</f>
        <v>804664573471158272</v>
      </c>
      <c r="F927" s="23" t="s">
        <v>1951</v>
      </c>
      <c r="G927" s="24">
        <v>4.0</v>
      </c>
      <c r="H927" s="24">
        <v>15.0</v>
      </c>
      <c r="I927" s="24">
        <v>0.0</v>
      </c>
      <c r="J927" s="24">
        <v>0.0</v>
      </c>
      <c r="K927" s="23" t="s">
        <v>27</v>
      </c>
      <c r="L927" s="25">
        <v>42637.81388888889</v>
      </c>
      <c r="M927" s="28"/>
      <c r="N927" s="28"/>
      <c r="O927" s="22" t="str">
        <f>HYPERLINK("https://pbs.twimg.com/profile_images/780121500447825920/KgNX1k09_normal.jpg","View")</f>
        <v>View</v>
      </c>
      <c r="P927" s="27"/>
    </row>
    <row r="928">
      <c r="A928" s="19">
        <v>42706.52459490741</v>
      </c>
      <c r="B928" s="20" t="str">
        <f>HYPERLINK("https://twitter.com/conCospedal","@conCospedal")</f>
        <v>@conCospedal</v>
      </c>
      <c r="C928" s="21" t="s">
        <v>1952</v>
      </c>
      <c r="D928" s="21" t="s">
        <v>1874</v>
      </c>
      <c r="E928" s="22" t="str">
        <f>HYPERLINK("https://twitter.com/conCospedal/status/804665270467960833","804665270467960833")</f>
        <v>804665270467960833</v>
      </c>
      <c r="F928" s="23" t="s">
        <v>64</v>
      </c>
      <c r="G928" s="24">
        <v>14235.0</v>
      </c>
      <c r="H928" s="24">
        <v>12396.0</v>
      </c>
      <c r="I928" s="24">
        <v>92.0</v>
      </c>
      <c r="J928" s="24">
        <v>0.0</v>
      </c>
      <c r="K928" s="23" t="s">
        <v>27</v>
      </c>
      <c r="L928" s="25">
        <v>40220.59997685185</v>
      </c>
      <c r="M928" s="26" t="s">
        <v>65</v>
      </c>
      <c r="N928" s="28"/>
      <c r="O928" s="22" t="str">
        <f>HYPERLINK("https://pbs.twimg.com/profile_images/735780895240519680/rqPJXO4B_normal.jpg","View")</f>
        <v>View</v>
      </c>
      <c r="P928" s="27"/>
    </row>
    <row r="929">
      <c r="A929" s="19">
        <v>42706.52491898148</v>
      </c>
      <c r="B929" s="20" t="str">
        <f>HYPERLINK("https://twitter.com/sergiosillas19","@sergiosillas19")</f>
        <v>@sergiosillas19</v>
      </c>
      <c r="C929" s="21" t="s">
        <v>1953</v>
      </c>
      <c r="D929" s="21" t="s">
        <v>1874</v>
      </c>
      <c r="E929" s="22" t="str">
        <f>HYPERLINK("https://twitter.com/sergiosillas19/status/804665390810984448","804665390810984448")</f>
        <v>804665390810984448</v>
      </c>
      <c r="F929" s="23" t="s">
        <v>41</v>
      </c>
      <c r="G929" s="24">
        <v>191.0</v>
      </c>
      <c r="H929" s="24">
        <v>1383.0</v>
      </c>
      <c r="I929" s="24">
        <v>92.0</v>
      </c>
      <c r="J929" s="24">
        <v>0.0</v>
      </c>
      <c r="K929" s="23" t="s">
        <v>27</v>
      </c>
      <c r="L929" s="25">
        <v>41286.41804398148</v>
      </c>
      <c r="M929" s="26" t="s">
        <v>55</v>
      </c>
      <c r="N929" s="26" t="s">
        <v>1954</v>
      </c>
      <c r="O929" s="22" t="str">
        <f>HYPERLINK("https://pbs.twimg.com/profile_images/556591896097980417/0ETlQoSK_normal.jpeg","View")</f>
        <v>View</v>
      </c>
      <c r="P929" s="27"/>
    </row>
    <row r="930">
      <c r="A930" s="19">
        <v>42706.526550925926</v>
      </c>
      <c r="B930" s="20" t="str">
        <f>HYPERLINK("https://twitter.com/homesundersun","@homesundersun")</f>
        <v>@homesundersun</v>
      </c>
      <c r="C930" s="21" t="s">
        <v>1955</v>
      </c>
      <c r="D930" s="21" t="s">
        <v>1956</v>
      </c>
      <c r="E930" s="22" t="str">
        <f>HYPERLINK("https://twitter.com/homesundersun/status/804665982082043904","804665982082043904")</f>
        <v>804665982082043904</v>
      </c>
      <c r="F930" s="23" t="s">
        <v>167</v>
      </c>
      <c r="G930" s="24">
        <v>78.0</v>
      </c>
      <c r="H930" s="24">
        <v>89.0</v>
      </c>
      <c r="I930" s="24">
        <v>0.0</v>
      </c>
      <c r="J930" s="24">
        <v>0.0</v>
      </c>
      <c r="K930" s="23" t="s">
        <v>27</v>
      </c>
      <c r="L930" s="25">
        <v>42221.63381944444</v>
      </c>
      <c r="M930" s="26" t="s">
        <v>305</v>
      </c>
      <c r="N930" s="26" t="s">
        <v>1957</v>
      </c>
      <c r="O930" s="22" t="str">
        <f>HYPERLINK("https://pbs.twimg.com/profile_images/651017498373046272/9239SLpQ_normal.jpg","View")</f>
        <v>View</v>
      </c>
      <c r="P930" s="27"/>
    </row>
    <row r="931">
      <c r="A931" s="19">
        <v>42706.53386574074</v>
      </c>
      <c r="B931" s="20" t="str">
        <f>HYPERLINK("https://twitter.com/ElectroProjectL","@ElectroProjectL")</f>
        <v>@ElectroProjectL</v>
      </c>
      <c r="C931" s="21" t="s">
        <v>1958</v>
      </c>
      <c r="D931" s="21" t="s">
        <v>1874</v>
      </c>
      <c r="E931" s="22" t="str">
        <f>HYPERLINK("https://twitter.com/ElectroProjectL/status/804668632244645894","804668632244645894")</f>
        <v>804668632244645894</v>
      </c>
      <c r="F931" s="23" t="s">
        <v>26</v>
      </c>
      <c r="G931" s="24">
        <v>1541.0</v>
      </c>
      <c r="H931" s="24">
        <v>1537.0</v>
      </c>
      <c r="I931" s="24">
        <v>92.0</v>
      </c>
      <c r="J931" s="24">
        <v>0.0</v>
      </c>
      <c r="K931" s="23" t="s">
        <v>27</v>
      </c>
      <c r="L931" s="25">
        <v>42658.812256944446</v>
      </c>
      <c r="M931" s="26" t="s">
        <v>1959</v>
      </c>
      <c r="N931" s="26" t="s">
        <v>1960</v>
      </c>
      <c r="O931" s="22" t="str">
        <f>HYPERLINK("https://pbs.twimg.com/profile_images/787361035556642817/0oDYsbqk_normal.jpg","View")</f>
        <v>View</v>
      </c>
      <c r="P931" s="27"/>
    </row>
    <row r="932">
      <c r="A932" s="19">
        <v>42706.53467592593</v>
      </c>
      <c r="B932" s="20" t="str">
        <f>HYPERLINK("https://twitter.com/jesus_fontecha","@jesus_fontecha")</f>
        <v>@jesus_fontecha</v>
      </c>
      <c r="C932" s="21" t="s">
        <v>1512</v>
      </c>
      <c r="D932" s="21" t="s">
        <v>1961</v>
      </c>
      <c r="E932" s="22" t="str">
        <f>HYPERLINK("https://twitter.com/jesus_fontecha/status/804668925187420160","804668925187420160")</f>
        <v>804668925187420160</v>
      </c>
      <c r="F932" s="23" t="s">
        <v>41</v>
      </c>
      <c r="G932" s="24">
        <v>63.0</v>
      </c>
      <c r="H932" s="24">
        <v>192.0</v>
      </c>
      <c r="I932" s="24">
        <v>1.0</v>
      </c>
      <c r="J932" s="24">
        <v>0.0</v>
      </c>
      <c r="K932" s="23" t="s">
        <v>27</v>
      </c>
      <c r="L932" s="25">
        <v>40585.364282407405</v>
      </c>
      <c r="M932" s="28"/>
      <c r="N932" s="26" t="s">
        <v>1514</v>
      </c>
      <c r="O932" s="22" t="str">
        <f>HYPERLINK("https://pbs.twimg.com/profile_images/664582137182560256/lrFbiPa7_normal.jpg","View")</f>
        <v>View</v>
      </c>
      <c r="P932" s="27"/>
    </row>
    <row r="933">
      <c r="A933" s="19">
        <v>42706.534953703704</v>
      </c>
      <c r="B933" s="20" t="str">
        <f t="shared" ref="B933:B934" si="105">HYPERLINK("https://twitter.com/bridgeofhopelv","@bridgeofhopelv")</f>
        <v>@bridgeofhopelv</v>
      </c>
      <c r="C933" s="21" t="s">
        <v>1962</v>
      </c>
      <c r="D933" s="21" t="s">
        <v>1874</v>
      </c>
      <c r="E933" s="22" t="str">
        <f>HYPERLINK("https://twitter.com/bridgeofhopelv/status/804669027972825089","804669027972825089")</f>
        <v>804669027972825089</v>
      </c>
      <c r="F933" s="23" t="s">
        <v>41</v>
      </c>
      <c r="G933" s="24">
        <v>98.0</v>
      </c>
      <c r="H933" s="24">
        <v>271.0</v>
      </c>
      <c r="I933" s="24">
        <v>92.0</v>
      </c>
      <c r="J933" s="24">
        <v>0.0</v>
      </c>
      <c r="K933" s="23" t="s">
        <v>27</v>
      </c>
      <c r="L933" s="25">
        <v>42155.08891203704</v>
      </c>
      <c r="M933" s="26" t="s">
        <v>1963</v>
      </c>
      <c r="N933" s="26" t="s">
        <v>1964</v>
      </c>
      <c r="O933" s="22" t="str">
        <f t="shared" ref="O933:O934" si="106">HYPERLINK("https://pbs.twimg.com/profile_images/604816985944252416/5hNAFPMA_normal.jpg","View")</f>
        <v>View</v>
      </c>
      <c r="P933" s="27"/>
    </row>
    <row r="934">
      <c r="A934" s="19">
        <v>42706.53532407407</v>
      </c>
      <c r="B934" s="20" t="str">
        <f t="shared" si="105"/>
        <v>@bridgeofhopelv</v>
      </c>
      <c r="C934" s="21" t="s">
        <v>1962</v>
      </c>
      <c r="D934" s="21" t="s">
        <v>1965</v>
      </c>
      <c r="E934" s="22" t="str">
        <f>HYPERLINK("https://twitter.com/bridgeofhopelv/status/804669159413923840","804669159413923840")</f>
        <v>804669159413923840</v>
      </c>
      <c r="F934" s="23" t="s">
        <v>41</v>
      </c>
      <c r="G934" s="24">
        <v>98.0</v>
      </c>
      <c r="H934" s="24">
        <v>271.0</v>
      </c>
      <c r="I934" s="24">
        <v>1.0</v>
      </c>
      <c r="J934" s="24">
        <v>0.0</v>
      </c>
      <c r="K934" s="23" t="s">
        <v>27</v>
      </c>
      <c r="L934" s="25">
        <v>42155.08891203704</v>
      </c>
      <c r="M934" s="26" t="s">
        <v>1963</v>
      </c>
      <c r="N934" s="26" t="s">
        <v>1964</v>
      </c>
      <c r="O934" s="22" t="str">
        <f t="shared" si="106"/>
        <v>View</v>
      </c>
      <c r="P934" s="27"/>
    </row>
    <row r="935">
      <c r="A935" s="19">
        <v>42706.53606481482</v>
      </c>
      <c r="B935" s="20" t="str">
        <f>HYPERLINK("https://twitter.com/misszoeshaw","@misszoeshaw")</f>
        <v>@misszoeshaw</v>
      </c>
      <c r="C935" s="21" t="s">
        <v>1966</v>
      </c>
      <c r="D935" s="21" t="s">
        <v>1967</v>
      </c>
      <c r="E935" s="22" t="str">
        <f>HYPERLINK("https://twitter.com/misszoeshaw/status/804669427065253888","804669427065253888")</f>
        <v>804669427065253888</v>
      </c>
      <c r="F935" s="23" t="s">
        <v>26</v>
      </c>
      <c r="G935" s="24">
        <v>866.0</v>
      </c>
      <c r="H935" s="24">
        <v>514.0</v>
      </c>
      <c r="I935" s="24">
        <v>1.0</v>
      </c>
      <c r="J935" s="24">
        <v>13.0</v>
      </c>
      <c r="K935" s="23" t="s">
        <v>27</v>
      </c>
      <c r="L935" s="25">
        <v>42085.64975694445</v>
      </c>
      <c r="M935" s="26" t="s">
        <v>1172</v>
      </c>
      <c r="N935" s="26" t="s">
        <v>1968</v>
      </c>
      <c r="O935" s="22" t="str">
        <f>HYPERLINK("https://pbs.twimg.com/profile_images/633043283883786241/zwu8EWCX_normal.jpg","View")</f>
        <v>View</v>
      </c>
      <c r="P935" s="27"/>
    </row>
    <row r="936">
      <c r="A936" s="19">
        <v>42706.54006944444</v>
      </c>
      <c r="B936" s="20" t="str">
        <f>HYPERLINK("https://twitter.com/bermaxo09","@bermaxo09")</f>
        <v>@bermaxo09</v>
      </c>
      <c r="C936" s="21" t="s">
        <v>284</v>
      </c>
      <c r="D936" s="21" t="s">
        <v>1969</v>
      </c>
      <c r="E936" s="22" t="str">
        <f>HYPERLINK("https://twitter.com/bermaxo09/status/804670881016512512","804670881016512512")</f>
        <v>804670881016512512</v>
      </c>
      <c r="F936" s="23" t="s">
        <v>37</v>
      </c>
      <c r="G936" s="24">
        <v>193.0</v>
      </c>
      <c r="H936" s="24">
        <v>196.0</v>
      </c>
      <c r="I936" s="24">
        <v>0.0</v>
      </c>
      <c r="J936" s="24">
        <v>4.0</v>
      </c>
      <c r="K936" s="23" t="s">
        <v>27</v>
      </c>
      <c r="L936" s="25">
        <v>42689.441516203704</v>
      </c>
      <c r="M936" s="26" t="s">
        <v>109</v>
      </c>
      <c r="N936" s="26" t="s">
        <v>286</v>
      </c>
      <c r="O936" s="22" t="str">
        <f>HYPERLINK("https://pbs.twimg.com/profile_images/798476790478073856/iOD0HIRa_normal.jpg","View")</f>
        <v>View</v>
      </c>
      <c r="P936" s="27"/>
    </row>
    <row r="937">
      <c r="A937" s="19">
        <v>42706.543495370366</v>
      </c>
      <c r="B937" s="20" t="str">
        <f>HYPERLINK("https://twitter.com/FranciscoMaeso","@FranciscoMaeso")</f>
        <v>@FranciscoMaeso</v>
      </c>
      <c r="C937" s="21" t="s">
        <v>1970</v>
      </c>
      <c r="D937" s="21" t="s">
        <v>1874</v>
      </c>
      <c r="E937" s="22" t="str">
        <f>HYPERLINK("https://twitter.com/FranciscoMaeso/status/804672123176423428","804672123176423428")</f>
        <v>804672123176423428</v>
      </c>
      <c r="F937" s="23" t="s">
        <v>26</v>
      </c>
      <c r="G937" s="24">
        <v>740.0</v>
      </c>
      <c r="H937" s="24">
        <v>1310.0</v>
      </c>
      <c r="I937" s="24">
        <v>92.0</v>
      </c>
      <c r="J937" s="24">
        <v>0.0</v>
      </c>
      <c r="K937" s="23" t="s">
        <v>27</v>
      </c>
      <c r="L937" s="25">
        <v>40828.60907407408</v>
      </c>
      <c r="M937" s="26" t="s">
        <v>1971</v>
      </c>
      <c r="N937" s="26" t="s">
        <v>1972</v>
      </c>
      <c r="O937" s="22" t="str">
        <f>HYPERLINK("https://pbs.twimg.com/profile_images/479353826211033089/loQSm1n5_normal.jpeg","View")</f>
        <v>View</v>
      </c>
      <c r="P937" s="27"/>
    </row>
    <row r="938">
      <c r="A938" s="19">
        <v>42706.543599537035</v>
      </c>
      <c r="B938" s="20" t="str">
        <f>HYPERLINK("https://twitter.com/luisa_dimartino","@luisa_dimartino")</f>
        <v>@luisa_dimartino</v>
      </c>
      <c r="C938" s="21" t="s">
        <v>1973</v>
      </c>
      <c r="D938" s="21" t="s">
        <v>1974</v>
      </c>
      <c r="E938" s="22" t="str">
        <f>HYPERLINK("https://twitter.com/luisa_dimartino/status/804672157867446272","804672157867446272")</f>
        <v>804672157867446272</v>
      </c>
      <c r="F938" s="23" t="s">
        <v>41</v>
      </c>
      <c r="G938" s="24">
        <v>161.0</v>
      </c>
      <c r="H938" s="24">
        <v>155.0</v>
      </c>
      <c r="I938" s="24">
        <v>2.0</v>
      </c>
      <c r="J938" s="24">
        <v>0.0</v>
      </c>
      <c r="K938" s="23" t="s">
        <v>27</v>
      </c>
      <c r="L938" s="25">
        <v>42143.74496527778</v>
      </c>
      <c r="M938" s="26" t="s">
        <v>1975</v>
      </c>
      <c r="N938" s="26" t="s">
        <v>1976</v>
      </c>
      <c r="O938" s="22" t="str">
        <f>HYPERLINK("https://pbs.twimg.com/profile_images/753597627355111424/graqmFEj_normal.jpg","View")</f>
        <v>View</v>
      </c>
      <c r="P938" s="27"/>
    </row>
    <row r="939">
      <c r="A939" s="19">
        <v>42706.54578703704</v>
      </c>
      <c r="B939" s="20" t="str">
        <f>HYPERLINK("https://twitter.com/franhernando17","@franhernando17")</f>
        <v>@franhernando17</v>
      </c>
      <c r="C939" s="21" t="s">
        <v>1977</v>
      </c>
      <c r="D939" s="21" t="s">
        <v>1874</v>
      </c>
      <c r="E939" s="22" t="str">
        <f>HYPERLINK("https://twitter.com/franhernando17/status/804672952373563392","804672952373563392")</f>
        <v>804672952373563392</v>
      </c>
      <c r="F939" s="23" t="s">
        <v>41</v>
      </c>
      <c r="G939" s="24">
        <v>189.0</v>
      </c>
      <c r="H939" s="24">
        <v>232.0</v>
      </c>
      <c r="I939" s="24">
        <v>92.0</v>
      </c>
      <c r="J939" s="24">
        <v>0.0</v>
      </c>
      <c r="K939" s="23" t="s">
        <v>27</v>
      </c>
      <c r="L939" s="25">
        <v>41444.43106481482</v>
      </c>
      <c r="M939" s="28"/>
      <c r="N939" s="28"/>
      <c r="O939" s="22" t="str">
        <f>HYPERLINK("https://pbs.twimg.com/profile_images/378800000240265196/b38ed1444fb0222812dd132e9ff9c192_normal.jpeg","View")</f>
        <v>View</v>
      </c>
      <c r="P939" s="27"/>
    </row>
    <row r="940">
      <c r="A940" s="19">
        <v>42706.546701388885</v>
      </c>
      <c r="B940" s="20" t="str">
        <f>HYPERLINK("https://twitter.com/adirokuru","@adirokuru")</f>
        <v>@adirokuru</v>
      </c>
      <c r="C940" s="21" t="s">
        <v>1978</v>
      </c>
      <c r="D940" s="21" t="s">
        <v>1874</v>
      </c>
      <c r="E940" s="22" t="str">
        <f>HYPERLINK("https://twitter.com/adirokuru/status/804673283241062400","804673283241062400")</f>
        <v>804673283241062400</v>
      </c>
      <c r="F940" s="23" t="s">
        <v>41</v>
      </c>
      <c r="G940" s="24">
        <v>588.0</v>
      </c>
      <c r="H940" s="24">
        <v>1818.0</v>
      </c>
      <c r="I940" s="24">
        <v>92.0</v>
      </c>
      <c r="J940" s="24">
        <v>0.0</v>
      </c>
      <c r="K940" s="23" t="s">
        <v>27</v>
      </c>
      <c r="L940" s="25">
        <v>40133.34112268519</v>
      </c>
      <c r="M940" s="26" t="s">
        <v>1765</v>
      </c>
      <c r="N940" s="26" t="s">
        <v>1979</v>
      </c>
      <c r="O940" s="22" t="str">
        <f>HYPERLINK("https://pbs.twimg.com/profile_images/562677428628516864/nHZudUqH_normal.jpeg","View")</f>
        <v>View</v>
      </c>
      <c r="P940" s="27"/>
    </row>
    <row r="941">
      <c r="A941" s="19">
        <v>42706.55045138889</v>
      </c>
      <c r="B941" s="20" t="str">
        <f>HYPERLINK("https://twitter.com/alixo8","@alixo8")</f>
        <v>@alixo8</v>
      </c>
      <c r="C941" s="21" t="s">
        <v>1980</v>
      </c>
      <c r="D941" s="21" t="s">
        <v>1874</v>
      </c>
      <c r="E941" s="22" t="str">
        <f>HYPERLINK("https://twitter.com/alixo8/status/804674643009400832","804674643009400832")</f>
        <v>804674643009400832</v>
      </c>
      <c r="F941" s="23" t="s">
        <v>26</v>
      </c>
      <c r="G941" s="24">
        <v>564.0</v>
      </c>
      <c r="H941" s="24">
        <v>821.0</v>
      </c>
      <c r="I941" s="24">
        <v>92.0</v>
      </c>
      <c r="J941" s="24">
        <v>0.0</v>
      </c>
      <c r="K941" s="23" t="s">
        <v>27</v>
      </c>
      <c r="L941" s="25">
        <v>41126.73611111111</v>
      </c>
      <c r="M941" s="26" t="s">
        <v>1981</v>
      </c>
      <c r="N941" s="29" t="s">
        <v>1982</v>
      </c>
      <c r="O941" s="22" t="str">
        <f>HYPERLINK("https://pbs.twimg.com/profile_images/627910306799333376/CBcG8QO5_normal.jpg","View")</f>
        <v>View</v>
      </c>
      <c r="P941" s="27"/>
    </row>
    <row r="942">
      <c r="A942" s="19">
        <v>42706.55149305555</v>
      </c>
      <c r="B942" s="20" t="str">
        <f>HYPERLINK("https://twitter.com/SimonTurkas","@SimonTurkas")</f>
        <v>@SimonTurkas</v>
      </c>
      <c r="C942" s="21" t="s">
        <v>326</v>
      </c>
      <c r="D942" s="21" t="s">
        <v>1983</v>
      </c>
      <c r="E942" s="22" t="str">
        <f>HYPERLINK("https://twitter.com/SimonTurkas/status/804675018168877056","804675018168877056")</f>
        <v>804675018168877056</v>
      </c>
      <c r="F942" s="23" t="s">
        <v>37</v>
      </c>
      <c r="G942" s="24">
        <v>14914.0</v>
      </c>
      <c r="H942" s="24">
        <v>10736.0</v>
      </c>
      <c r="I942" s="24">
        <v>15.0</v>
      </c>
      <c r="J942" s="24">
        <v>0.0</v>
      </c>
      <c r="K942" s="23" t="s">
        <v>27</v>
      </c>
      <c r="L942" s="25">
        <v>41019.515069444446</v>
      </c>
      <c r="M942" s="26" t="s">
        <v>328</v>
      </c>
      <c r="N942" s="26" t="s">
        <v>329</v>
      </c>
      <c r="O942" s="22" t="str">
        <f>HYPERLINK("https://pbs.twimg.com/profile_images/800292908008144896/TiECGUpd_normal.jpg","View")</f>
        <v>View</v>
      </c>
      <c r="P942" s="27"/>
    </row>
    <row r="943">
      <c r="A943" s="19">
        <v>42706.55265046297</v>
      </c>
      <c r="B943" s="20" t="str">
        <f>HYPERLINK("https://twitter.com/GamalloPilar","@GamalloPilar")</f>
        <v>@GamalloPilar</v>
      </c>
      <c r="C943" s="21" t="s">
        <v>1984</v>
      </c>
      <c r="D943" s="21" t="s">
        <v>1874</v>
      </c>
      <c r="E943" s="22" t="str">
        <f>HYPERLINK("https://twitter.com/GamalloPilar/status/804675439746805760","804675439746805760")</f>
        <v>804675439746805760</v>
      </c>
      <c r="F943" s="23" t="s">
        <v>41</v>
      </c>
      <c r="G943" s="24">
        <v>203.0</v>
      </c>
      <c r="H943" s="24">
        <v>170.0</v>
      </c>
      <c r="I943" s="24">
        <v>92.0</v>
      </c>
      <c r="J943" s="24">
        <v>0.0</v>
      </c>
      <c r="K943" s="23" t="s">
        <v>27</v>
      </c>
      <c r="L943" s="25">
        <v>42613.93047453703</v>
      </c>
      <c r="M943" s="28"/>
      <c r="N943" s="28"/>
      <c r="O943" s="22" t="str">
        <f>HYPERLINK("https://pbs.twimg.com/profile_images/781971431374614528/-3vSomJG_normal.jpg","View")</f>
        <v>View</v>
      </c>
      <c r="P943" s="27"/>
    </row>
    <row r="944">
      <c r="A944" s="19">
        <v>42706.55357638889</v>
      </c>
      <c r="B944" s="20" t="str">
        <f>HYPERLINK("https://twitter.com/Carlos_Holgado","@Carlos_Holgado")</f>
        <v>@Carlos_Holgado</v>
      </c>
      <c r="C944" s="21" t="s">
        <v>1985</v>
      </c>
      <c r="D944" s="21" t="s">
        <v>1874</v>
      </c>
      <c r="E944" s="22" t="str">
        <f>HYPERLINK("https://twitter.com/Carlos_Holgado/status/804675776301924352","804675776301924352")</f>
        <v>804675776301924352</v>
      </c>
      <c r="F944" s="23" t="s">
        <v>26</v>
      </c>
      <c r="G944" s="24">
        <v>96.0</v>
      </c>
      <c r="H944" s="24">
        <v>145.0</v>
      </c>
      <c r="I944" s="24">
        <v>92.0</v>
      </c>
      <c r="J944" s="24">
        <v>0.0</v>
      </c>
      <c r="K944" s="23" t="s">
        <v>27</v>
      </c>
      <c r="L944" s="25">
        <v>41156.67798611111</v>
      </c>
      <c r="M944" s="28"/>
      <c r="N944" s="26" t="s">
        <v>1986</v>
      </c>
      <c r="O944" s="22" t="str">
        <f>HYPERLINK("https://pbs.twimg.com/profile_images/747171372099579904/Whg4Abuo_normal.jpg","View")</f>
        <v>View</v>
      </c>
      <c r="P944" s="27"/>
    </row>
    <row r="945">
      <c r="A945" s="19">
        <v>42706.57083333333</v>
      </c>
      <c r="B945" s="20" t="str">
        <f>HYPERLINK("https://twitter.com/sellmytshare","@sellmytshare")</f>
        <v>@sellmytshare</v>
      </c>
      <c r="C945" s="21" t="s">
        <v>591</v>
      </c>
      <c r="D945" s="21" t="s">
        <v>1987</v>
      </c>
      <c r="E945" s="22" t="str">
        <f>HYPERLINK("https://twitter.com/sellmytshare/status/804682027480076288","804682027480076288")</f>
        <v>804682027480076288</v>
      </c>
      <c r="F945" s="23" t="s">
        <v>167</v>
      </c>
      <c r="G945" s="24">
        <v>1255.0</v>
      </c>
      <c r="H945" s="24">
        <v>908.0</v>
      </c>
      <c r="I945" s="24">
        <v>0.0</v>
      </c>
      <c r="J945" s="24">
        <v>1.0</v>
      </c>
      <c r="K945" s="23" t="s">
        <v>27</v>
      </c>
      <c r="L945" s="25">
        <v>41474.641331018516</v>
      </c>
      <c r="M945" s="28"/>
      <c r="N945" s="26" t="s">
        <v>593</v>
      </c>
      <c r="O945" s="22" t="str">
        <f>HYPERLINK("https://pbs.twimg.com/profile_images/661939380370726912/YsXXMKwm_normal.png","View")</f>
        <v>View</v>
      </c>
      <c r="P945" s="27"/>
    </row>
    <row r="946">
      <c r="A946" s="19">
        <v>42706.580613425926</v>
      </c>
      <c r="B946" s="20" t="str">
        <f>HYPERLINK("https://twitter.com/JulioAl18175505","@JulioAl18175505")</f>
        <v>@JulioAl18175505</v>
      </c>
      <c r="C946" s="21" t="s">
        <v>248</v>
      </c>
      <c r="D946" s="21" t="s">
        <v>1332</v>
      </c>
      <c r="E946" s="22" t="str">
        <f>HYPERLINK("https://twitter.com/JulioAl18175505/status/804685572203757568","804685572203757568")</f>
        <v>804685572203757568</v>
      </c>
      <c r="F946" s="23" t="s">
        <v>41</v>
      </c>
      <c r="G946" s="24">
        <v>3883.0</v>
      </c>
      <c r="H946" s="24">
        <v>3761.0</v>
      </c>
      <c r="I946" s="24">
        <v>12.0</v>
      </c>
      <c r="J946" s="24">
        <v>0.0</v>
      </c>
      <c r="K946" s="23" t="s">
        <v>27</v>
      </c>
      <c r="L946" s="25">
        <v>41713.45993055555</v>
      </c>
      <c r="M946" s="26" t="s">
        <v>250</v>
      </c>
      <c r="N946" s="26" t="s">
        <v>251</v>
      </c>
      <c r="O946" s="22" t="str">
        <f>HYPERLINK("https://pbs.twimg.com/profile_images/706839494851436544/7igsf91D_normal.jpg","View")</f>
        <v>View</v>
      </c>
      <c r="P946" s="27"/>
    </row>
    <row r="947">
      <c r="A947" s="19">
        <v>42706.59040509259</v>
      </c>
      <c r="B947" s="20" t="str">
        <f>HYPERLINK("https://twitter.com/CanaryIslandsEN","@CanaryIslandsEN")</f>
        <v>@CanaryIslandsEN</v>
      </c>
      <c r="C947" s="21" t="s">
        <v>165</v>
      </c>
      <c r="D947" s="21" t="s">
        <v>1988</v>
      </c>
      <c r="E947" s="22" t="str">
        <f>HYPERLINK("https://twitter.com/CanaryIslandsEN/status/804689122464043009","804689122464043009")</f>
        <v>804689122464043009</v>
      </c>
      <c r="F947" s="23" t="s">
        <v>167</v>
      </c>
      <c r="G947" s="24">
        <v>14287.0</v>
      </c>
      <c r="H947" s="24">
        <v>1533.0</v>
      </c>
      <c r="I947" s="24">
        <v>1.0</v>
      </c>
      <c r="J947" s="24">
        <v>7.0</v>
      </c>
      <c r="K947" s="23" t="s">
        <v>27</v>
      </c>
      <c r="L947" s="25">
        <v>41264.365949074076</v>
      </c>
      <c r="M947" s="26" t="s">
        <v>168</v>
      </c>
      <c r="N947" s="26" t="s">
        <v>169</v>
      </c>
      <c r="O947" s="22" t="str">
        <f>HYPERLINK("https://pbs.twimg.com/profile_images/754960714704584704/14dQxsF8_normal.jpg","View")</f>
        <v>View</v>
      </c>
      <c r="P947" s="27"/>
    </row>
    <row r="948">
      <c r="A948" s="19">
        <v>42706.591932870375</v>
      </c>
      <c r="B948" s="20" t="str">
        <f>HYPERLINK("https://twitter.com/JesusRamos802","@JesusRamos802")</f>
        <v>@JesusRamos802</v>
      </c>
      <c r="C948" s="21" t="s">
        <v>1989</v>
      </c>
      <c r="D948" s="21" t="s">
        <v>1874</v>
      </c>
      <c r="E948" s="22" t="str">
        <f>HYPERLINK("https://twitter.com/JesusRamos802/status/804689674874875904","804689674874875904")</f>
        <v>804689674874875904</v>
      </c>
      <c r="F948" s="23" t="s">
        <v>26</v>
      </c>
      <c r="G948" s="24">
        <v>345.0</v>
      </c>
      <c r="H948" s="24">
        <v>129.0</v>
      </c>
      <c r="I948" s="24">
        <v>92.0</v>
      </c>
      <c r="J948" s="24">
        <v>0.0</v>
      </c>
      <c r="K948" s="23" t="s">
        <v>27</v>
      </c>
      <c r="L948" s="25">
        <v>41417.43087962963</v>
      </c>
      <c r="M948" s="26" t="s">
        <v>1990</v>
      </c>
      <c r="N948" s="26" t="s">
        <v>1991</v>
      </c>
      <c r="O948" s="22" t="str">
        <f>HYPERLINK("https://pbs.twimg.com/profile_images/532317988381523968/EqeIKhVf_normal.jpeg","View")</f>
        <v>View</v>
      </c>
      <c r="P948" s="27"/>
    </row>
    <row r="949">
      <c r="A949" s="19">
        <v>42706.59361111111</v>
      </c>
      <c r="B949" s="20" t="str">
        <f>HYPERLINK("https://twitter.com/DefAeroNews","@DefAeroNews")</f>
        <v>@DefAeroNews</v>
      </c>
      <c r="C949" s="21" t="s">
        <v>1992</v>
      </c>
      <c r="D949" s="21" t="s">
        <v>1874</v>
      </c>
      <c r="E949" s="22" t="str">
        <f>HYPERLINK("https://twitter.com/DefAeroNews/status/804690281027301376","804690281027301376")</f>
        <v>804690281027301376</v>
      </c>
      <c r="F949" s="23" t="s">
        <v>37</v>
      </c>
      <c r="G949" s="24">
        <v>618.0</v>
      </c>
      <c r="H949" s="24">
        <v>351.0</v>
      </c>
      <c r="I949" s="24">
        <v>92.0</v>
      </c>
      <c r="J949" s="24">
        <v>0.0</v>
      </c>
      <c r="K949" s="23" t="s">
        <v>27</v>
      </c>
      <c r="L949" s="25">
        <v>42025.679131944446</v>
      </c>
      <c r="M949" s="26" t="s">
        <v>1993</v>
      </c>
      <c r="N949" s="26" t="s">
        <v>1994</v>
      </c>
      <c r="O949" s="22" t="str">
        <f>HYPERLINK("https://pbs.twimg.com/profile_images/557936173302046720/2-yVXxw8_normal.png","View")</f>
        <v>View</v>
      </c>
      <c r="P949" s="27"/>
    </row>
    <row r="950">
      <c r="A950" s="19">
        <v>42706.59421296296</v>
      </c>
      <c r="B950" s="20" t="str">
        <f>HYPERLINK("https://twitter.com/ShopAfortunadas","@ShopAfortunadas")</f>
        <v>@ShopAfortunadas</v>
      </c>
      <c r="C950" s="21" t="s">
        <v>143</v>
      </c>
      <c r="D950" s="21" t="s">
        <v>1995</v>
      </c>
      <c r="E950" s="22" t="str">
        <f>HYPERLINK("https://twitter.com/ShopAfortunadas/status/804690500976607232","804690500976607232")</f>
        <v>804690500976607232</v>
      </c>
      <c r="F950" s="23" t="s">
        <v>81</v>
      </c>
      <c r="G950" s="24">
        <v>187.0</v>
      </c>
      <c r="H950" s="24">
        <v>240.0</v>
      </c>
      <c r="I950" s="24">
        <v>0.0</v>
      </c>
      <c r="J950" s="24">
        <v>0.0</v>
      </c>
      <c r="K950" s="23" t="s">
        <v>27</v>
      </c>
      <c r="L950" s="25">
        <v>41772.625543981485</v>
      </c>
      <c r="M950" s="26" t="s">
        <v>42</v>
      </c>
      <c r="N950" s="26" t="s">
        <v>145</v>
      </c>
      <c r="O950" s="22" t="str">
        <f>HYPERLINK("https://pbs.twimg.com/profile_images/679251177305972736/xtBJP7kS_normal.jpg","View")</f>
        <v>View</v>
      </c>
      <c r="P950" s="27"/>
    </row>
    <row r="951">
      <c r="A951" s="19">
        <v>42706.59609953704</v>
      </c>
      <c r="B951" s="20" t="str">
        <f>HYPERLINK("https://twitter.com/enduriaholidays","@enduriaholidays")</f>
        <v>@enduriaholidays</v>
      </c>
      <c r="C951" s="21" t="s">
        <v>173</v>
      </c>
      <c r="D951" s="21" t="s">
        <v>1996</v>
      </c>
      <c r="E951" s="22" t="str">
        <f>HYPERLINK("https://twitter.com/enduriaholidays/status/804691184543301633","804691184543301633")</f>
        <v>804691184543301633</v>
      </c>
      <c r="F951" s="23" t="s">
        <v>69</v>
      </c>
      <c r="G951" s="24">
        <v>319.0</v>
      </c>
      <c r="H951" s="24">
        <v>313.0</v>
      </c>
      <c r="I951" s="24">
        <v>0.0</v>
      </c>
      <c r="J951" s="24">
        <v>0.0</v>
      </c>
      <c r="K951" s="23" t="s">
        <v>27</v>
      </c>
      <c r="L951" s="25">
        <v>42489.5252662037</v>
      </c>
      <c r="M951" s="28"/>
      <c r="N951" s="28"/>
      <c r="O951" s="22" t="str">
        <f>HYPERLINK("https://pbs.twimg.com/profile_images/726026649356128258/xCSaP1IW_normal.jpg","View")</f>
        <v>View</v>
      </c>
      <c r="P951" s="27"/>
    </row>
    <row r="952">
      <c r="A952" s="19">
        <v>42706.59673611111</v>
      </c>
      <c r="B952" s="20" t="str">
        <f>HYPERLINK("https://twitter.com/dvalle1997","@dvalle1997")</f>
        <v>@dvalle1997</v>
      </c>
      <c r="C952" s="21" t="s">
        <v>1997</v>
      </c>
      <c r="D952" s="21" t="s">
        <v>1874</v>
      </c>
      <c r="E952" s="22" t="str">
        <f>HYPERLINK("https://twitter.com/dvalle1997/status/804691415800356869","804691415800356869")</f>
        <v>804691415800356869</v>
      </c>
      <c r="F952" s="23" t="s">
        <v>41</v>
      </c>
      <c r="G952" s="24">
        <v>59.0</v>
      </c>
      <c r="H952" s="24">
        <v>140.0</v>
      </c>
      <c r="I952" s="24">
        <v>92.0</v>
      </c>
      <c r="J952" s="24">
        <v>0.0</v>
      </c>
      <c r="K952" s="23" t="s">
        <v>27</v>
      </c>
      <c r="L952" s="25">
        <v>42218.502858796295</v>
      </c>
      <c r="M952" s="28"/>
      <c r="N952" s="28"/>
      <c r="O952" s="22" t="str">
        <f>HYPERLINK("https://pbs.twimg.com/profile_images/747568393302253569/igRueA2m_normal.jpg","View")</f>
        <v>View</v>
      </c>
      <c r="P952" s="27"/>
    </row>
    <row r="953">
      <c r="A953" s="19">
        <v>42706.59782407407</v>
      </c>
      <c r="B953" s="20" t="str">
        <f>HYPERLINK("https://twitter.com/anthonypecchi","@anthonypecchi")</f>
        <v>@anthonypecchi</v>
      </c>
      <c r="C953" s="21" t="s">
        <v>1998</v>
      </c>
      <c r="D953" s="21" t="s">
        <v>1874</v>
      </c>
      <c r="E953" s="22" t="str">
        <f>HYPERLINK("https://twitter.com/anthonypecchi/status/804691809276456965","804691809276456965")</f>
        <v>804691809276456965</v>
      </c>
      <c r="F953" s="23" t="s">
        <v>90</v>
      </c>
      <c r="G953" s="24">
        <v>840.0</v>
      </c>
      <c r="H953" s="24">
        <v>219.0</v>
      </c>
      <c r="I953" s="24">
        <v>92.0</v>
      </c>
      <c r="J953" s="24">
        <v>0.0</v>
      </c>
      <c r="K953" s="23" t="s">
        <v>27</v>
      </c>
      <c r="L953" s="25">
        <v>41478.665717592594</v>
      </c>
      <c r="M953" s="26" t="s">
        <v>1999</v>
      </c>
      <c r="N953" s="28"/>
      <c r="O953" s="22" t="str">
        <f>HYPERLINK("https://pbs.twimg.com/profile_images/733370298247024642/LBDvJEWD_normal.jpg","View")</f>
        <v>View</v>
      </c>
      <c r="P953" s="27"/>
    </row>
    <row r="954">
      <c r="A954" s="19">
        <v>42706.598078703704</v>
      </c>
      <c r="B954" s="20" t="str">
        <f>HYPERLINK("https://twitter.com/ertiodelatiza","@ertiodelatiza")</f>
        <v>@ertiodelatiza</v>
      </c>
      <c r="C954" s="21" t="s">
        <v>2000</v>
      </c>
      <c r="D954" s="21" t="s">
        <v>1874</v>
      </c>
      <c r="E954" s="22" t="str">
        <f>HYPERLINK("https://twitter.com/ertiodelatiza/status/804691902071275520","804691902071275520")</f>
        <v>804691902071275520</v>
      </c>
      <c r="F954" s="23" t="s">
        <v>90</v>
      </c>
      <c r="G954" s="24">
        <v>1044.0</v>
      </c>
      <c r="H954" s="24">
        <v>2435.0</v>
      </c>
      <c r="I954" s="24">
        <v>92.0</v>
      </c>
      <c r="J954" s="24">
        <v>0.0</v>
      </c>
      <c r="K954" s="23" t="s">
        <v>27</v>
      </c>
      <c r="L954" s="25">
        <v>40230.84241898148</v>
      </c>
      <c r="M954" s="26" t="s">
        <v>2001</v>
      </c>
      <c r="N954" s="26" t="s">
        <v>2002</v>
      </c>
      <c r="O954" s="22" t="str">
        <f>HYPERLINK("https://pbs.twimg.com/profile_images/622838142559764480/_AQjWGzH_normal.jpg","View")</f>
        <v>View</v>
      </c>
      <c r="P954" s="27"/>
    </row>
    <row r="955">
      <c r="A955" s="19">
        <v>42706.60469907407</v>
      </c>
      <c r="B955" s="20" t="str">
        <f>HYPERLINK("https://twitter.com/RobertoGurgel3","@RobertoGurgel3")</f>
        <v>@RobertoGurgel3</v>
      </c>
      <c r="C955" s="21" t="s">
        <v>2003</v>
      </c>
      <c r="D955" s="21" t="s">
        <v>1874</v>
      </c>
      <c r="E955" s="22" t="str">
        <f>HYPERLINK("https://twitter.com/RobertoGurgel3/status/804694299241811968","804694299241811968")</f>
        <v>804694299241811968</v>
      </c>
      <c r="F955" s="23" t="s">
        <v>41</v>
      </c>
      <c r="G955" s="24">
        <v>84.0</v>
      </c>
      <c r="H955" s="24">
        <v>492.0</v>
      </c>
      <c r="I955" s="24">
        <v>92.0</v>
      </c>
      <c r="J955" s="24">
        <v>0.0</v>
      </c>
      <c r="K955" s="23" t="s">
        <v>27</v>
      </c>
      <c r="L955" s="25">
        <v>42506.92958333333</v>
      </c>
      <c r="M955" s="28"/>
      <c r="N955" s="28"/>
      <c r="O955" s="22" t="str">
        <f>HYPERLINK("https://pbs.twimg.com/profile_images/802878340923359232/hFMExXgM_normal.jpg","View")</f>
        <v>View</v>
      </c>
      <c r="P955" s="27"/>
    </row>
    <row r="956">
      <c r="A956" s="19">
        <v>42706.60885416667</v>
      </c>
      <c r="B956" s="20" t="str">
        <f>HYPERLINK("https://twitter.com/JoeARWright","@JoeARWright")</f>
        <v>@JoeARWright</v>
      </c>
      <c r="C956" s="21" t="s">
        <v>2004</v>
      </c>
      <c r="D956" s="21" t="s">
        <v>2005</v>
      </c>
      <c r="E956" s="22" t="str">
        <f>HYPERLINK("https://twitter.com/JoeARWright/status/804695806360121345","804695806360121345")</f>
        <v>804695806360121345</v>
      </c>
      <c r="F956" s="23" t="s">
        <v>401</v>
      </c>
      <c r="G956" s="24">
        <v>1170.0</v>
      </c>
      <c r="H956" s="24">
        <v>471.0</v>
      </c>
      <c r="I956" s="24">
        <v>3.0</v>
      </c>
      <c r="J956" s="24">
        <v>0.0</v>
      </c>
      <c r="K956" s="23" t="s">
        <v>27</v>
      </c>
      <c r="L956" s="25">
        <v>40521.78288194444</v>
      </c>
      <c r="M956" s="26" t="s">
        <v>2006</v>
      </c>
      <c r="N956" s="26" t="s">
        <v>2007</v>
      </c>
      <c r="O956" s="22" t="str">
        <f>HYPERLINK("https://pbs.twimg.com/profile_images/661274871721250816/myTbik_I_normal.jpg","View")</f>
        <v>View</v>
      </c>
      <c r="P956" s="27"/>
    </row>
    <row r="957">
      <c r="A957" s="19">
        <v>42706.609502314815</v>
      </c>
      <c r="B957" s="20" t="str">
        <f>HYPERLINK("https://twitter.com/trevorreeve","@trevorreeve")</f>
        <v>@trevorreeve</v>
      </c>
      <c r="C957" s="21" t="s">
        <v>2008</v>
      </c>
      <c r="D957" s="21" t="s">
        <v>2009</v>
      </c>
      <c r="E957" s="22" t="str">
        <f>HYPERLINK("https://twitter.com/trevorreeve/status/804696041085931520","804696041085931520")</f>
        <v>804696041085931520</v>
      </c>
      <c r="F957" s="23" t="s">
        <v>37</v>
      </c>
      <c r="G957" s="24">
        <v>375.0</v>
      </c>
      <c r="H957" s="24">
        <v>344.0</v>
      </c>
      <c r="I957" s="24">
        <v>3.0</v>
      </c>
      <c r="J957" s="24">
        <v>0.0</v>
      </c>
      <c r="K957" s="23" t="s">
        <v>27</v>
      </c>
      <c r="L957" s="25">
        <v>41769.49543981481</v>
      </c>
      <c r="M957" s="26" t="s">
        <v>513</v>
      </c>
      <c r="N957" s="26" t="s">
        <v>2010</v>
      </c>
      <c r="O957" s="22" t="str">
        <f>HYPERLINK("https://pbs.twimg.com/profile_images/682124716266635264/xYlLYCDr_normal.jpg","View")</f>
        <v>View</v>
      </c>
      <c r="P957" s="27"/>
    </row>
    <row r="958">
      <c r="A958" s="19">
        <v>42706.61230324074</v>
      </c>
      <c r="B958" s="20" t="str">
        <f>HYPERLINK("https://twitter.com/PaulGotts","@PaulGotts")</f>
        <v>@PaulGotts</v>
      </c>
      <c r="C958" s="21" t="s">
        <v>2011</v>
      </c>
      <c r="D958" s="21" t="s">
        <v>2009</v>
      </c>
      <c r="E958" s="22" t="str">
        <f>HYPERLINK("https://twitter.com/PaulGotts/status/804697056824664068","804697056824664068")</f>
        <v>804697056824664068</v>
      </c>
      <c r="F958" s="23" t="s">
        <v>26</v>
      </c>
      <c r="G958" s="24">
        <v>89.0</v>
      </c>
      <c r="H958" s="24">
        <v>92.0</v>
      </c>
      <c r="I958" s="24">
        <v>3.0</v>
      </c>
      <c r="J958" s="24">
        <v>0.0</v>
      </c>
      <c r="K958" s="23" t="s">
        <v>27</v>
      </c>
      <c r="L958" s="25">
        <v>40927.04059027778</v>
      </c>
      <c r="M958" s="26" t="s">
        <v>2012</v>
      </c>
      <c r="N958" s="26" t="s">
        <v>2013</v>
      </c>
      <c r="O958" s="22" t="str">
        <f>HYPERLINK("https://pbs.twimg.com/profile_images/1801866749/image_normal.jpg","View")</f>
        <v>View</v>
      </c>
      <c r="P958" s="27"/>
    </row>
    <row r="959">
      <c r="A959" s="19">
        <v>42706.61570601852</v>
      </c>
      <c r="B959" s="20" t="str">
        <f>HYPERLINK("https://twitter.com/ebook_travel","@ebook_travel")</f>
        <v>@ebook_travel</v>
      </c>
      <c r="C959" s="21" t="s">
        <v>290</v>
      </c>
      <c r="D959" s="21" t="s">
        <v>2014</v>
      </c>
      <c r="E959" s="22" t="str">
        <f>HYPERLINK("https://twitter.com/ebook_travel/status/804698290252120064","804698290252120064")</f>
        <v>804698290252120064</v>
      </c>
      <c r="F959" s="23" t="s">
        <v>401</v>
      </c>
      <c r="G959" s="24">
        <v>10366.0</v>
      </c>
      <c r="H959" s="24">
        <v>6407.0</v>
      </c>
      <c r="I959" s="24">
        <v>0.0</v>
      </c>
      <c r="J959" s="24">
        <v>0.0</v>
      </c>
      <c r="K959" s="23" t="s">
        <v>27</v>
      </c>
      <c r="L959" s="25">
        <v>40307.68127314815</v>
      </c>
      <c r="M959" s="26" t="s">
        <v>292</v>
      </c>
      <c r="N959" s="26" t="s">
        <v>293</v>
      </c>
      <c r="O959" s="22" t="str">
        <f>HYPERLINK("https://pbs.twimg.com/profile_images/506732081079013377/VmrRkhPe_normal.jpeg","View")</f>
        <v>View</v>
      </c>
      <c r="P959" s="27"/>
    </row>
    <row r="960">
      <c r="A960" s="19">
        <v>42706.616365740745</v>
      </c>
      <c r="B960" s="20" t="str">
        <f>HYPERLINK("https://twitter.com/Uraniburg","@Uraniburg")</f>
        <v>@Uraniburg</v>
      </c>
      <c r="C960" s="21" t="s">
        <v>2015</v>
      </c>
      <c r="D960" s="21" t="s">
        <v>1874</v>
      </c>
      <c r="E960" s="22" t="str">
        <f>HYPERLINK("https://twitter.com/Uraniburg/status/804698530099134465","804698530099134465")</f>
        <v>804698530099134465</v>
      </c>
      <c r="F960" s="23" t="s">
        <v>2016</v>
      </c>
      <c r="G960" s="24">
        <v>115.0</v>
      </c>
      <c r="H960" s="24">
        <v>163.0</v>
      </c>
      <c r="I960" s="24">
        <v>92.0</v>
      </c>
      <c r="J960" s="24">
        <v>0.0</v>
      </c>
      <c r="K960" s="23" t="s">
        <v>27</v>
      </c>
      <c r="L960" s="25">
        <v>40362.98479166666</v>
      </c>
      <c r="M960" s="26" t="s">
        <v>2017</v>
      </c>
      <c r="N960" s="26" t="s">
        <v>2018</v>
      </c>
      <c r="O960" s="22" t="str">
        <f>HYPERLINK("https://pbs.twimg.com/profile_images/597042515267735553/XREgUOsZ_normal.jpg","View")</f>
        <v>View</v>
      </c>
      <c r="P960" s="27"/>
    </row>
    <row r="961">
      <c r="A961" s="19">
        <v>42706.61753472222</v>
      </c>
      <c r="B961" s="20" t="str">
        <f>HYPERLINK("https://twitter.com/GoToGate12","@GoToGate12")</f>
        <v>@GoToGate12</v>
      </c>
      <c r="C961" s="21" t="s">
        <v>1154</v>
      </c>
      <c r="D961" s="21" t="s">
        <v>1837</v>
      </c>
      <c r="E961" s="22" t="str">
        <f>HYPERLINK("https://twitter.com/GoToGate12/status/804698954495655936","804698954495655936")</f>
        <v>804698954495655936</v>
      </c>
      <c r="F961" s="23" t="s">
        <v>26</v>
      </c>
      <c r="G961" s="24">
        <v>167.0</v>
      </c>
      <c r="H961" s="24">
        <v>182.0</v>
      </c>
      <c r="I961" s="24">
        <v>5.0</v>
      </c>
      <c r="J961" s="24">
        <v>0.0</v>
      </c>
      <c r="K961" s="23" t="s">
        <v>27</v>
      </c>
      <c r="L961" s="25">
        <v>41682.430439814816</v>
      </c>
      <c r="M961" s="28"/>
      <c r="N961" s="26" t="s">
        <v>1155</v>
      </c>
      <c r="O961" s="22" t="str">
        <f>HYPERLINK("https://pbs.twimg.com/profile_images/791921509547728896/fPLoe7xx_normal.jpg","View")</f>
        <v>View</v>
      </c>
      <c r="P961" s="27"/>
    </row>
    <row r="962">
      <c r="A962" s="19">
        <v>42706.6190625</v>
      </c>
      <c r="B962" s="20" t="str">
        <f>HYPERLINK("https://twitter.com/luisevanegas","@luisevanegas")</f>
        <v>@luisevanegas</v>
      </c>
      <c r="C962" s="21" t="s">
        <v>2019</v>
      </c>
      <c r="D962" s="21" t="s">
        <v>1874</v>
      </c>
      <c r="E962" s="22" t="str">
        <f>HYPERLINK("https://twitter.com/luisevanegas/status/804699504180076544","804699504180076544")</f>
        <v>804699504180076544</v>
      </c>
      <c r="F962" s="23" t="s">
        <v>2020</v>
      </c>
      <c r="G962" s="24">
        <v>955.0</v>
      </c>
      <c r="H962" s="24">
        <v>1682.0</v>
      </c>
      <c r="I962" s="24">
        <v>92.0</v>
      </c>
      <c r="J962" s="24">
        <v>0.0</v>
      </c>
      <c r="K962" s="23" t="s">
        <v>27</v>
      </c>
      <c r="L962" s="25">
        <v>41136.81050925926</v>
      </c>
      <c r="M962" s="26" t="s">
        <v>2021</v>
      </c>
      <c r="N962" s="26" t="s">
        <v>2022</v>
      </c>
      <c r="O962" s="22" t="str">
        <f>HYPERLINK("https://pbs.twimg.com/profile_images/732401805783629826/QCm7qEAJ_normal.jpg","View")</f>
        <v>View</v>
      </c>
      <c r="P962" s="27"/>
    </row>
    <row r="963">
      <c r="A963" s="19">
        <v>42706.621087962965</v>
      </c>
      <c r="B963" s="20" t="str">
        <f>HYPERLINK("https://twitter.com/canariashub","@canariashub")</f>
        <v>@canariashub</v>
      </c>
      <c r="C963" s="21" t="s">
        <v>2023</v>
      </c>
      <c r="D963" s="21" t="s">
        <v>2024</v>
      </c>
      <c r="E963" s="22" t="str">
        <f>HYPERLINK("https://twitter.com/canariashub/status/804700240712527872","804700240712527872")</f>
        <v>804700240712527872</v>
      </c>
      <c r="F963" s="23" t="s">
        <v>37</v>
      </c>
      <c r="G963" s="24">
        <v>1151.0</v>
      </c>
      <c r="H963" s="24">
        <v>1897.0</v>
      </c>
      <c r="I963" s="24">
        <v>3.0</v>
      </c>
      <c r="J963" s="24">
        <v>1.0</v>
      </c>
      <c r="K963" s="23" t="s">
        <v>27</v>
      </c>
      <c r="L963" s="25">
        <v>41950.58988425926</v>
      </c>
      <c r="M963" s="26" t="s">
        <v>168</v>
      </c>
      <c r="N963" s="26" t="s">
        <v>2025</v>
      </c>
      <c r="O963" s="22" t="str">
        <f>HYPERLINK("https://pbs.twimg.com/profile_images/530724422085132288/a6DCavsq_normal.png","View")</f>
        <v>View</v>
      </c>
      <c r="P963" s="27"/>
    </row>
    <row r="964">
      <c r="A964" s="19">
        <v>42706.622766203705</v>
      </c>
      <c r="B964" s="20" t="str">
        <f>HYPERLINK("https://twitter.com/CarmEnclave","@CarmEnclave")</f>
        <v>@CarmEnclave</v>
      </c>
      <c r="C964" s="21" t="s">
        <v>2026</v>
      </c>
      <c r="D964" s="21" t="s">
        <v>2027</v>
      </c>
      <c r="E964" s="22" t="str">
        <f>HYPERLINK("https://twitter.com/CarmEnclave/status/804700848030973957","804700848030973957")</f>
        <v>804700848030973957</v>
      </c>
      <c r="F964" s="23" t="s">
        <v>41</v>
      </c>
      <c r="G964" s="24">
        <v>116.0</v>
      </c>
      <c r="H964" s="24">
        <v>143.0</v>
      </c>
      <c r="I964" s="24">
        <v>3.0</v>
      </c>
      <c r="J964" s="24">
        <v>0.0</v>
      </c>
      <c r="K964" s="23" t="s">
        <v>27</v>
      </c>
      <c r="L964" s="25">
        <v>41548.47949074074</v>
      </c>
      <c r="M964" s="26" t="s">
        <v>42</v>
      </c>
      <c r="N964" s="26" t="s">
        <v>2028</v>
      </c>
      <c r="O964" s="22" t="str">
        <f>HYPERLINK("https://pbs.twimg.com/profile_images/729589280939585536/K3zRwFRM_normal.jpg","View")</f>
        <v>View</v>
      </c>
      <c r="P964" s="27"/>
    </row>
    <row r="965">
      <c r="A965" s="19">
        <v>42706.63309027778</v>
      </c>
      <c r="B965" s="20" t="str">
        <f>HYPERLINK("https://twitter.com/TeideVolcano","@TeideVolcano")</f>
        <v>@TeideVolcano</v>
      </c>
      <c r="C965" s="21" t="s">
        <v>2029</v>
      </c>
      <c r="D965" s="21" t="s">
        <v>2030</v>
      </c>
      <c r="E965" s="22" t="str">
        <f>HYPERLINK("https://twitter.com/TeideVolcano/status/804704587747852288","804704587747852288")</f>
        <v>804704587747852288</v>
      </c>
      <c r="F965" s="23" t="s">
        <v>26</v>
      </c>
      <c r="G965" s="24">
        <v>4713.0</v>
      </c>
      <c r="H965" s="24">
        <v>4710.0</v>
      </c>
      <c r="I965" s="24">
        <v>9.0</v>
      </c>
      <c r="J965" s="24">
        <v>15.0</v>
      </c>
      <c r="K965" s="23" t="s">
        <v>27</v>
      </c>
      <c r="L965" s="25">
        <v>42355.80815972222</v>
      </c>
      <c r="M965" s="26" t="s">
        <v>2031</v>
      </c>
      <c r="N965" s="26" t="s">
        <v>2032</v>
      </c>
      <c r="O965" s="22" t="str">
        <f>HYPERLINK("https://pbs.twimg.com/profile_images/677587093607030786/X3reIs6G_normal.jpg","View")</f>
        <v>View</v>
      </c>
      <c r="P965" s="27"/>
    </row>
    <row r="966">
      <c r="A966" s="19">
        <v>42706.64858796296</v>
      </c>
      <c r="B966" s="20" t="str">
        <f>HYPERLINK("https://twitter.com/lanzarote_visit","@lanzarote_visit")</f>
        <v>@lanzarote_visit</v>
      </c>
      <c r="C966" s="21" t="s">
        <v>2033</v>
      </c>
      <c r="D966" s="21" t="s">
        <v>2034</v>
      </c>
      <c r="E966" s="22" t="str">
        <f>HYPERLINK("https://twitter.com/lanzarote_visit/status/804710206093619201","804710206093619201")</f>
        <v>804710206093619201</v>
      </c>
      <c r="F966" s="23" t="s">
        <v>41</v>
      </c>
      <c r="G966" s="24">
        <v>4064.0</v>
      </c>
      <c r="H966" s="24">
        <v>925.0</v>
      </c>
      <c r="I966" s="24">
        <v>1.0</v>
      </c>
      <c r="J966" s="24">
        <v>0.0</v>
      </c>
      <c r="K966" s="23" t="s">
        <v>27</v>
      </c>
      <c r="L966" s="25">
        <v>42339.519432870366</v>
      </c>
      <c r="M966" s="26" t="s">
        <v>33</v>
      </c>
      <c r="N966" s="26" t="s">
        <v>2035</v>
      </c>
      <c r="O966" s="22" t="str">
        <f>HYPERLINK("https://pbs.twimg.com/profile_images/724193378888482816/29UxdxQB_normal.jpg","View")</f>
        <v>View</v>
      </c>
      <c r="P966" s="27"/>
    </row>
    <row r="967">
      <c r="A967" s="19">
        <v>42706.6490625</v>
      </c>
      <c r="B967" s="20" t="str">
        <f>HYPERLINK("https://twitter.com/lapalmarss","@lapalmarss")</f>
        <v>@lapalmarss</v>
      </c>
      <c r="C967" s="21" t="s">
        <v>1117</v>
      </c>
      <c r="D967" s="21" t="s">
        <v>2036</v>
      </c>
      <c r="E967" s="22" t="str">
        <f>HYPERLINK("https://twitter.com/lapalmarss/status/804710377179201536","804710377179201536")</f>
        <v>804710377179201536</v>
      </c>
      <c r="F967" s="23" t="s">
        <v>26</v>
      </c>
      <c r="G967" s="24">
        <v>3281.0</v>
      </c>
      <c r="H967" s="24">
        <v>5002.0</v>
      </c>
      <c r="I967" s="24">
        <v>1.0</v>
      </c>
      <c r="J967" s="24">
        <v>0.0</v>
      </c>
      <c r="K967" s="23" t="s">
        <v>27</v>
      </c>
      <c r="L967" s="25">
        <v>40235.7875462963</v>
      </c>
      <c r="M967" s="26" t="s">
        <v>1119</v>
      </c>
      <c r="N967" s="26" t="s">
        <v>1120</v>
      </c>
      <c r="O967" s="22" t="str">
        <f>HYPERLINK("https://pbs.twimg.com/profile_images/620195113227132928/wpTI27qE_normal.jpg","View")</f>
        <v>View</v>
      </c>
      <c r="P967" s="27"/>
    </row>
    <row r="968">
      <c r="A968" s="19">
        <v>42706.65729166666</v>
      </c>
      <c r="B968" s="20" t="str">
        <f>HYPERLINK("https://twitter.com/asanji05","@asanji05")</f>
        <v>@asanji05</v>
      </c>
      <c r="C968" s="21" t="s">
        <v>2037</v>
      </c>
      <c r="D968" s="21" t="s">
        <v>1874</v>
      </c>
      <c r="E968" s="22" t="str">
        <f>HYPERLINK("https://twitter.com/asanji05/status/804713358398291968","804713358398291968")</f>
        <v>804713358398291968</v>
      </c>
      <c r="F968" s="23" t="s">
        <v>41</v>
      </c>
      <c r="G968" s="24">
        <v>13.0</v>
      </c>
      <c r="H968" s="24">
        <v>117.0</v>
      </c>
      <c r="I968" s="24">
        <v>92.0</v>
      </c>
      <c r="J968" s="24">
        <v>0.0</v>
      </c>
      <c r="K968" s="23" t="s">
        <v>27</v>
      </c>
      <c r="L968" s="25">
        <v>42115.39978009259</v>
      </c>
      <c r="M968" s="26" t="s">
        <v>510</v>
      </c>
      <c r="N968" s="28"/>
      <c r="O968" s="22" t="str">
        <f>HYPERLINK("https://pbs.twimg.com/profile_images/696333745100615680/6F4ZCEq3_normal.jpg","View")</f>
        <v>View</v>
      </c>
      <c r="P968" s="27"/>
    </row>
    <row r="969">
      <c r="A969" s="19">
        <v>42706.66466435185</v>
      </c>
      <c r="B969" s="20" t="str">
        <f>HYPERLINK("https://twitter.com/FormattHitech","@FormattHitech")</f>
        <v>@FormattHitech</v>
      </c>
      <c r="C969" s="21" t="s">
        <v>2038</v>
      </c>
      <c r="D969" s="21" t="s">
        <v>1762</v>
      </c>
      <c r="E969" s="22" t="str">
        <f>HYPERLINK("https://twitter.com/FormattHitech/status/804716031663022082","804716031663022082")</f>
        <v>804716031663022082</v>
      </c>
      <c r="F969" s="23" t="s">
        <v>37</v>
      </c>
      <c r="G969" s="24">
        <v>1378.0</v>
      </c>
      <c r="H969" s="24">
        <v>542.0</v>
      </c>
      <c r="I969" s="24">
        <v>6.0</v>
      </c>
      <c r="J969" s="24">
        <v>0.0</v>
      </c>
      <c r="K969" s="23" t="s">
        <v>27</v>
      </c>
      <c r="L969" s="25">
        <v>40682.62200231481</v>
      </c>
      <c r="M969" s="26" t="s">
        <v>2039</v>
      </c>
      <c r="N969" s="26" t="s">
        <v>2040</v>
      </c>
      <c r="O969" s="22" t="str">
        <f>HYPERLINK("https://pbs.twimg.com/profile_images/3292777873/0de056123e40f6e051f0bdb8c2c07de3_normal.jpeg","View")</f>
        <v>View</v>
      </c>
      <c r="P969" s="27"/>
    </row>
    <row r="970">
      <c r="A970" s="19">
        <v>42706.66758101852</v>
      </c>
      <c r="B970" s="20" t="str">
        <f>HYPERLINK("https://twitter.com/Hayes_1971","@Hayes_1971")</f>
        <v>@Hayes_1971</v>
      </c>
      <c r="C970" s="21" t="s">
        <v>2041</v>
      </c>
      <c r="D970" s="21" t="s">
        <v>1762</v>
      </c>
      <c r="E970" s="22" t="str">
        <f>HYPERLINK("https://twitter.com/Hayes_1971/status/804717087587442688","804717087587442688")</f>
        <v>804717087587442688</v>
      </c>
      <c r="F970" s="23" t="s">
        <v>37</v>
      </c>
      <c r="G970" s="24">
        <v>319.0</v>
      </c>
      <c r="H970" s="24">
        <v>1527.0</v>
      </c>
      <c r="I970" s="24">
        <v>6.0</v>
      </c>
      <c r="J970" s="24">
        <v>0.0</v>
      </c>
      <c r="K970" s="23" t="s">
        <v>27</v>
      </c>
      <c r="L970" s="25">
        <v>42689.65091435185</v>
      </c>
      <c r="M970" s="26" t="s">
        <v>2042</v>
      </c>
      <c r="N970" s="26" t="s">
        <v>2043</v>
      </c>
      <c r="O970" s="22" t="str">
        <f>HYPERLINK("https://pbs.twimg.com/profile_images/798564974826258432/2ITaIKRl_normal.jpg","View")</f>
        <v>View</v>
      </c>
      <c r="P970" s="27"/>
    </row>
    <row r="971">
      <c r="A971" s="19">
        <v>42706.675625</v>
      </c>
      <c r="B971" s="20" t="str">
        <f>HYPERLINK("https://twitter.com/javierperezglez","@javierperezglez")</f>
        <v>@javierperezglez</v>
      </c>
      <c r="C971" s="21" t="s">
        <v>2044</v>
      </c>
      <c r="D971" s="21" t="s">
        <v>2045</v>
      </c>
      <c r="E971" s="22" t="str">
        <f>HYPERLINK("https://twitter.com/javierperezglez/status/804720005166206976","804720005166206976")</f>
        <v>804720005166206976</v>
      </c>
      <c r="F971" s="23" t="s">
        <v>81</v>
      </c>
      <c r="G971" s="24">
        <v>601.0</v>
      </c>
      <c r="H971" s="24">
        <v>1983.0</v>
      </c>
      <c r="I971" s="24">
        <v>0.0</v>
      </c>
      <c r="J971" s="24">
        <v>1.0</v>
      </c>
      <c r="K971" s="23" t="s">
        <v>27</v>
      </c>
      <c r="L971" s="25">
        <v>40312.76289351852</v>
      </c>
      <c r="M971" s="26" t="s">
        <v>51</v>
      </c>
      <c r="N971" s="26" t="s">
        <v>2046</v>
      </c>
      <c r="O971" s="22" t="str">
        <f>HYPERLINK("https://pbs.twimg.com/profile_images/681619418800066560/wpg9Wt8l_normal.jpg","View")</f>
        <v>View</v>
      </c>
      <c r="P971" s="27"/>
    </row>
    <row r="972">
      <c r="A972" s="19">
        <v>42706.68246527778</v>
      </c>
      <c r="B972" s="20" t="str">
        <f>HYPERLINK("https://twitter.com/LasPalmasProp","@LasPalmasProp")</f>
        <v>@LasPalmasProp</v>
      </c>
      <c r="C972" s="21" t="s">
        <v>886</v>
      </c>
      <c r="D972" s="21" t="s">
        <v>2047</v>
      </c>
      <c r="E972" s="22" t="str">
        <f>HYPERLINK("https://twitter.com/LasPalmasProp/status/804722483895144448","804722483895144448")</f>
        <v>804722483895144448</v>
      </c>
      <c r="F972" s="23" t="s">
        <v>37</v>
      </c>
      <c r="G972" s="24">
        <v>88.0</v>
      </c>
      <c r="H972" s="24">
        <v>214.0</v>
      </c>
      <c r="I972" s="24">
        <v>0.0</v>
      </c>
      <c r="J972" s="24">
        <v>0.0</v>
      </c>
      <c r="K972" s="23" t="s">
        <v>27</v>
      </c>
      <c r="L972" s="25">
        <v>42309.918171296296</v>
      </c>
      <c r="M972" s="28"/>
      <c r="N972" s="28"/>
      <c r="O972" s="22" t="str">
        <f>HYPERLINK("https://pbs.twimg.com/profile_images/744132316134514688/7FDa8yP-_normal.jpg","View")</f>
        <v>View</v>
      </c>
      <c r="P972" s="27"/>
    </row>
    <row r="973">
      <c r="A973" s="19">
        <v>42706.68809027778</v>
      </c>
      <c r="B973" s="20" t="str">
        <f>HYPERLINK("https://twitter.com/pabloexcursions","@pabloexcursions")</f>
        <v>@pabloexcursions</v>
      </c>
      <c r="C973" s="21" t="s">
        <v>744</v>
      </c>
      <c r="D973" s="21" t="s">
        <v>2048</v>
      </c>
      <c r="E973" s="22" t="str">
        <f>HYPERLINK("https://twitter.com/pabloexcursions/status/804724522431770624","804724522431770624")</f>
        <v>804724522431770624</v>
      </c>
      <c r="F973" s="23" t="s">
        <v>69</v>
      </c>
      <c r="G973" s="24">
        <v>468.0</v>
      </c>
      <c r="H973" s="24">
        <v>2170.0</v>
      </c>
      <c r="I973" s="24">
        <v>0.0</v>
      </c>
      <c r="J973" s="24">
        <v>1.0</v>
      </c>
      <c r="K973" s="23" t="s">
        <v>27</v>
      </c>
      <c r="L973" s="25">
        <v>39977.548310185186</v>
      </c>
      <c r="M973" s="26" t="s">
        <v>746</v>
      </c>
      <c r="N973" s="26" t="s">
        <v>747</v>
      </c>
      <c r="O973" s="22" t="str">
        <f>HYPERLINK("https://pbs.twimg.com/profile_images/795287889051525121/lnv-LO1p_normal.jpg","View")</f>
        <v>View</v>
      </c>
      <c r="P973" s="27"/>
    </row>
    <row r="974">
      <c r="A974" s="19">
        <v>42706.68923611111</v>
      </c>
      <c r="B974" s="20" t="str">
        <f>HYPERLINK("https://twitter.com/MokaGonzalez_","@MokaGonzalez_")</f>
        <v>@MokaGonzalez_</v>
      </c>
      <c r="C974" s="21" t="s">
        <v>967</v>
      </c>
      <c r="D974" s="21" t="s">
        <v>2049</v>
      </c>
      <c r="E974" s="22" t="str">
        <f>HYPERLINK("https://twitter.com/MokaGonzalez_/status/804724934949924864","804724934949924864")</f>
        <v>804724934949924864</v>
      </c>
      <c r="F974" s="23" t="s">
        <v>41</v>
      </c>
      <c r="G974" s="24">
        <v>167.0</v>
      </c>
      <c r="H974" s="24">
        <v>115.0</v>
      </c>
      <c r="I974" s="24">
        <v>9.0</v>
      </c>
      <c r="J974" s="24">
        <v>23.0</v>
      </c>
      <c r="K974" s="23" t="s">
        <v>27</v>
      </c>
      <c r="L974" s="25">
        <v>42601.60578703704</v>
      </c>
      <c r="M974" s="26" t="s">
        <v>969</v>
      </c>
      <c r="N974" s="26" t="s">
        <v>970</v>
      </c>
      <c r="O974" s="22" t="str">
        <f>HYPERLINK("https://pbs.twimg.com/profile_images/805759744292122624/GVNyopcr_normal.jpg","View")</f>
        <v>View</v>
      </c>
      <c r="P974" s="27"/>
    </row>
    <row r="975">
      <c r="A975" s="19">
        <v>42706.690833333334</v>
      </c>
      <c r="B975" s="20" t="str">
        <f>HYPERLINK("https://twitter.com/Escranc","@Escranc")</f>
        <v>@Escranc</v>
      </c>
      <c r="C975" s="21" t="s">
        <v>2050</v>
      </c>
      <c r="D975" s="21" t="s">
        <v>2051</v>
      </c>
      <c r="E975" s="22" t="str">
        <f>HYPERLINK("https://twitter.com/Escranc/status/804725514502098944","804725514502098944")</f>
        <v>804725514502098944</v>
      </c>
      <c r="F975" s="23" t="s">
        <v>41</v>
      </c>
      <c r="G975" s="24">
        <v>1693.0</v>
      </c>
      <c r="H975" s="24">
        <v>1942.0</v>
      </c>
      <c r="I975" s="24">
        <v>9.0</v>
      </c>
      <c r="J975" s="24">
        <v>0.0</v>
      </c>
      <c r="K975" s="23" t="s">
        <v>27</v>
      </c>
      <c r="L975" s="25">
        <v>41621.33133101852</v>
      </c>
      <c r="M975" s="26" t="s">
        <v>2052</v>
      </c>
      <c r="N975" s="26" t="s">
        <v>2053</v>
      </c>
      <c r="O975" s="22" t="str">
        <f>HYPERLINK("https://pbs.twimg.com/profile_images/453566433549492224/oclqYhSs_normal.jpeg","View")</f>
        <v>View</v>
      </c>
      <c r="P975" s="27"/>
    </row>
    <row r="976">
      <c r="A976" s="19">
        <v>42706.69540509259</v>
      </c>
      <c r="B976" s="20" t="str">
        <f>HYPERLINK("https://twitter.com/GrantTurnbull_","@GrantTurnbull_")</f>
        <v>@GrantTurnbull_</v>
      </c>
      <c r="C976" s="21" t="s">
        <v>2054</v>
      </c>
      <c r="D976" s="21" t="s">
        <v>1874</v>
      </c>
      <c r="E976" s="22" t="str">
        <f>HYPERLINK("https://twitter.com/GrantTurnbull_/status/804727170266464256","804727170266464256")</f>
        <v>804727170266464256</v>
      </c>
      <c r="F976" s="23" t="s">
        <v>41</v>
      </c>
      <c r="G976" s="24">
        <v>2087.0</v>
      </c>
      <c r="H976" s="24">
        <v>1112.0</v>
      </c>
      <c r="I976" s="24">
        <v>92.0</v>
      </c>
      <c r="J976" s="24">
        <v>0.0</v>
      </c>
      <c r="K976" s="23" t="s">
        <v>27</v>
      </c>
      <c r="L976" s="25">
        <v>40405.9109375</v>
      </c>
      <c r="M976" s="26" t="s">
        <v>2055</v>
      </c>
      <c r="N976" s="26" t="s">
        <v>2056</v>
      </c>
      <c r="O976" s="22" t="str">
        <f>HYPERLINK("https://pbs.twimg.com/profile_images/729675617973719041/GzGFhrNo_normal.jpg","View")</f>
        <v>View</v>
      </c>
      <c r="P976" s="27"/>
    </row>
    <row r="977">
      <c r="A977" s="19">
        <v>42706.697384259256</v>
      </c>
      <c r="B977" s="20" t="str">
        <f>HYPERLINK("https://twitter.com/liammercer93","@liammercer93")</f>
        <v>@liammercer93</v>
      </c>
      <c r="C977" s="21" t="s">
        <v>2057</v>
      </c>
      <c r="D977" s="21" t="s">
        <v>2058</v>
      </c>
      <c r="E977" s="22" t="str">
        <f>HYPERLINK("https://twitter.com/liammercer93/status/804727890097082368","804727890097082368")</f>
        <v>804727890097082368</v>
      </c>
      <c r="F977" s="23" t="s">
        <v>26</v>
      </c>
      <c r="G977" s="24">
        <v>351.0</v>
      </c>
      <c r="H977" s="24">
        <v>434.0</v>
      </c>
      <c r="I977" s="24">
        <v>0.0</v>
      </c>
      <c r="J977" s="24">
        <v>0.0</v>
      </c>
      <c r="K977" s="23" t="s">
        <v>27</v>
      </c>
      <c r="L977" s="25">
        <v>41214.43494212963</v>
      </c>
      <c r="M977" s="28"/>
      <c r="N977" s="26" t="s">
        <v>2059</v>
      </c>
      <c r="O977" s="22" t="str">
        <f>HYPERLINK("https://pbs.twimg.com/profile_images/689912573559463936/a2K3QIME_normal.jpg","View")</f>
        <v>View</v>
      </c>
      <c r="P977" s="27"/>
    </row>
    <row r="978">
      <c r="A978" s="19">
        <v>42706.698124999995</v>
      </c>
      <c r="B978" s="20" t="str">
        <f>HYPERLINK("https://twitter.com/HJardinTropical","@HJardinTropical")</f>
        <v>@HJardinTropical</v>
      </c>
      <c r="C978" s="21" t="s">
        <v>2060</v>
      </c>
      <c r="D978" s="21" t="s">
        <v>2061</v>
      </c>
      <c r="E978" s="22" t="str">
        <f>HYPERLINK("https://twitter.com/HJardinTropical/status/804728155646918656","804728155646918656")</f>
        <v>804728155646918656</v>
      </c>
      <c r="F978" s="23" t="s">
        <v>41</v>
      </c>
      <c r="G978" s="24">
        <v>3669.0</v>
      </c>
      <c r="H978" s="24">
        <v>628.0</v>
      </c>
      <c r="I978" s="24">
        <v>11.0</v>
      </c>
      <c r="J978" s="24">
        <v>21.0</v>
      </c>
      <c r="K978" s="23" t="s">
        <v>27</v>
      </c>
      <c r="L978" s="25">
        <v>40000.71436342593</v>
      </c>
      <c r="M978" s="26" t="s">
        <v>2062</v>
      </c>
      <c r="N978" s="26" t="s">
        <v>2063</v>
      </c>
      <c r="O978" s="22" t="str">
        <f>HYPERLINK("https://pbs.twimg.com/profile_images/740530029243817984/J5ujzFIw_normal.jpg","View")</f>
        <v>View</v>
      </c>
      <c r="P978" s="27"/>
    </row>
    <row r="979">
      <c r="A979" s="19">
        <v>42706.698275462964</v>
      </c>
      <c r="B979" s="20" t="str">
        <f>HYPERLINK("https://twitter.com/LoqueveoTfe","@LoqueveoTfe")</f>
        <v>@LoqueveoTfe</v>
      </c>
      <c r="C979" s="21" t="s">
        <v>2064</v>
      </c>
      <c r="D979" s="21" t="s">
        <v>2065</v>
      </c>
      <c r="E979" s="22" t="str">
        <f>HYPERLINK("https://twitter.com/LoqueveoTfe/status/804728209992519680","804728209992519680")</f>
        <v>804728209992519680</v>
      </c>
      <c r="F979" s="23" t="s">
        <v>41</v>
      </c>
      <c r="G979" s="24">
        <v>9986.0</v>
      </c>
      <c r="H979" s="24">
        <v>8538.0</v>
      </c>
      <c r="I979" s="24">
        <v>11.0</v>
      </c>
      <c r="J979" s="24">
        <v>0.0</v>
      </c>
      <c r="K979" s="23" t="s">
        <v>27</v>
      </c>
      <c r="L979" s="25">
        <v>41844.83342592593</v>
      </c>
      <c r="M979" s="26" t="s">
        <v>2066</v>
      </c>
      <c r="N979" s="26" t="s">
        <v>2067</v>
      </c>
      <c r="O979" s="22" t="str">
        <f>HYPERLINK("https://pbs.twimg.com/profile_images/794313170936614912/DgBYnoSu_normal.jpg","View")</f>
        <v>View</v>
      </c>
      <c r="P979" s="27"/>
    </row>
    <row r="980">
      <c r="A980" s="19">
        <v>42706.698472222226</v>
      </c>
      <c r="B980" s="20" t="str">
        <f>HYPERLINK("https://twitter.com/TwiTenerifeGolf","@TwiTenerifeGolf")</f>
        <v>@TwiTenerifeGolf</v>
      </c>
      <c r="C980" s="21" t="s">
        <v>879</v>
      </c>
      <c r="D980" s="21" t="s">
        <v>2065</v>
      </c>
      <c r="E980" s="22" t="str">
        <f>HYPERLINK("https://twitter.com/TwiTenerifeGolf/status/804728281547292673","804728281547292673")</f>
        <v>804728281547292673</v>
      </c>
      <c r="F980" s="23" t="s">
        <v>41</v>
      </c>
      <c r="G980" s="24">
        <v>1879.0</v>
      </c>
      <c r="H980" s="24">
        <v>937.0</v>
      </c>
      <c r="I980" s="24">
        <v>11.0</v>
      </c>
      <c r="J980" s="24">
        <v>0.0</v>
      </c>
      <c r="K980" s="23" t="s">
        <v>27</v>
      </c>
      <c r="L980" s="25">
        <v>41724.79984953704</v>
      </c>
      <c r="M980" s="26" t="s">
        <v>282</v>
      </c>
      <c r="N980" s="26" t="s">
        <v>881</v>
      </c>
      <c r="O980" s="22" t="str">
        <f>HYPERLINK("https://pbs.twimg.com/profile_images/723156330673000448/xa2FT8Re_normal.jpg","View")</f>
        <v>View</v>
      </c>
      <c r="P980" s="27"/>
    </row>
    <row r="981">
      <c r="A981" s="19">
        <v>42706.69892361111</v>
      </c>
      <c r="B981" s="20" t="str">
        <f>HYPERLINK("https://twitter.com/paisajecanario","@paisajecanario")</f>
        <v>@paisajecanario</v>
      </c>
      <c r="C981" s="21" t="s">
        <v>70</v>
      </c>
      <c r="D981" s="21" t="s">
        <v>2065</v>
      </c>
      <c r="E981" s="22" t="str">
        <f>HYPERLINK("https://twitter.com/paisajecanario/status/804728446706401281","804728446706401281")</f>
        <v>804728446706401281</v>
      </c>
      <c r="F981" s="23" t="s">
        <v>26</v>
      </c>
      <c r="G981" s="24">
        <v>13324.0</v>
      </c>
      <c r="H981" s="24">
        <v>434.0</v>
      </c>
      <c r="I981" s="24">
        <v>11.0</v>
      </c>
      <c r="J981" s="24">
        <v>0.0</v>
      </c>
      <c r="K981" s="23" t="s">
        <v>27</v>
      </c>
      <c r="L981" s="25">
        <v>41815.714641203704</v>
      </c>
      <c r="M981" s="26" t="s">
        <v>71</v>
      </c>
      <c r="N981" s="26" t="s">
        <v>72</v>
      </c>
      <c r="O981" s="22" t="str">
        <f>HYPERLINK("https://pbs.twimg.com/profile_images/789364630850240512/Mw90qAlM_normal.jpg","View")</f>
        <v>View</v>
      </c>
      <c r="P981" s="27"/>
    </row>
    <row r="982">
      <c r="A982" s="19">
        <v>42706.69902777778</v>
      </c>
      <c r="B982" s="20" t="str">
        <f>HYPERLINK("https://twitter.com/NatLeguyDuchene","@NatLeguyDuchene")</f>
        <v>@NatLeguyDuchene</v>
      </c>
      <c r="C982" s="21" t="s">
        <v>2068</v>
      </c>
      <c r="D982" s="21" t="s">
        <v>1874</v>
      </c>
      <c r="E982" s="22" t="str">
        <f>HYPERLINK("https://twitter.com/NatLeguyDuchene/status/804728485692534784","804728485692534784")</f>
        <v>804728485692534784</v>
      </c>
      <c r="F982" s="23" t="s">
        <v>41</v>
      </c>
      <c r="G982" s="24">
        <v>51.0</v>
      </c>
      <c r="H982" s="24">
        <v>204.0</v>
      </c>
      <c r="I982" s="24">
        <v>92.0</v>
      </c>
      <c r="J982" s="24">
        <v>0.0</v>
      </c>
      <c r="K982" s="23" t="s">
        <v>27</v>
      </c>
      <c r="L982" s="25">
        <v>41665.41395833333</v>
      </c>
      <c r="M982" s="26" t="s">
        <v>2069</v>
      </c>
      <c r="N982" s="26" t="s">
        <v>2070</v>
      </c>
      <c r="O982" s="22" t="str">
        <f>HYPERLINK("https://pbs.twimg.com/profile_images/790213069179875329/f90DsNYx_normal.jpg","View")</f>
        <v>View</v>
      </c>
      <c r="P982" s="27"/>
    </row>
    <row r="983">
      <c r="A983" s="19">
        <v>42706.705</v>
      </c>
      <c r="B983" s="20" t="str">
        <f>HYPERLINK("https://twitter.com/LesRandosdeCaco","@LesRandosdeCaco")</f>
        <v>@LesRandosdeCaco</v>
      </c>
      <c r="C983" s="21" t="s">
        <v>186</v>
      </c>
      <c r="D983" s="21" t="s">
        <v>2071</v>
      </c>
      <c r="E983" s="22" t="str">
        <f>HYPERLINK("https://twitter.com/LesRandosdeCaco/status/804730647159930880","804730647159930880")</f>
        <v>804730647159930880</v>
      </c>
      <c r="F983" s="23" t="s">
        <v>41</v>
      </c>
      <c r="G983" s="24">
        <v>7.0</v>
      </c>
      <c r="H983" s="24">
        <v>57.0</v>
      </c>
      <c r="I983" s="24">
        <v>0.0</v>
      </c>
      <c r="J983" s="24">
        <v>0.0</v>
      </c>
      <c r="K983" s="23" t="s">
        <v>27</v>
      </c>
      <c r="L983" s="25">
        <v>41643.68407407407</v>
      </c>
      <c r="M983" s="26" t="s">
        <v>188</v>
      </c>
      <c r="N983" s="26" t="s">
        <v>189</v>
      </c>
      <c r="O983" s="22" t="str">
        <f>HYPERLINK("https://pbs.twimg.com/profile_images/802073872866705408/wMHnHYch_normal.jpg","View")</f>
        <v>View</v>
      </c>
      <c r="P983" s="27"/>
    </row>
    <row r="984">
      <c r="A984" s="19">
        <v>42706.70898148148</v>
      </c>
      <c r="B984" s="20" t="str">
        <f>HYPERLINK("https://twitter.com/GoldByMarina","@GoldByMarina")</f>
        <v>@GoldByMarina</v>
      </c>
      <c r="C984" s="21" t="s">
        <v>220</v>
      </c>
      <c r="D984" s="21" t="s">
        <v>1533</v>
      </c>
      <c r="E984" s="22" t="str">
        <f>HYPERLINK("https://twitter.com/GoldByMarina/status/804732093125316609","804732093125316609")</f>
        <v>804732093125316609</v>
      </c>
      <c r="F984" s="23" t="s">
        <v>37</v>
      </c>
      <c r="G984" s="24">
        <v>328.0</v>
      </c>
      <c r="H984" s="24">
        <v>92.0</v>
      </c>
      <c r="I984" s="24">
        <v>10.0</v>
      </c>
      <c r="J984" s="24">
        <v>0.0</v>
      </c>
      <c r="K984" s="23" t="s">
        <v>27</v>
      </c>
      <c r="L984" s="25">
        <v>41675.443148148144</v>
      </c>
      <c r="M984" s="26" t="s">
        <v>221</v>
      </c>
      <c r="N984" s="26" t="s">
        <v>222</v>
      </c>
      <c r="O984" s="22" t="str">
        <f>HYPERLINK("https://pbs.twimg.com/profile_images/499580538487717888/NxEbStHx_normal.jpeg","View")</f>
        <v>View</v>
      </c>
      <c r="P984" s="27"/>
    </row>
    <row r="985">
      <c r="A985" s="19">
        <v>42706.7146875</v>
      </c>
      <c r="B985" s="20" t="str">
        <f>HYPERLINK("https://twitter.com/TomCanaryGC","@TomCanaryGC")</f>
        <v>@TomCanaryGC</v>
      </c>
      <c r="C985" s="21" t="s">
        <v>2072</v>
      </c>
      <c r="D985" s="21" t="s">
        <v>2051</v>
      </c>
      <c r="E985" s="22" t="str">
        <f>HYPERLINK("https://twitter.com/TomCanaryGC/status/804734160258605056","804734160258605056")</f>
        <v>804734160258605056</v>
      </c>
      <c r="F985" s="23" t="s">
        <v>41</v>
      </c>
      <c r="G985" s="24">
        <v>415.0</v>
      </c>
      <c r="H985" s="24">
        <v>471.0</v>
      </c>
      <c r="I985" s="24">
        <v>9.0</v>
      </c>
      <c r="J985" s="24">
        <v>0.0</v>
      </c>
      <c r="K985" s="23" t="s">
        <v>27</v>
      </c>
      <c r="L985" s="25">
        <v>42253.57953703703</v>
      </c>
      <c r="M985" s="26" t="s">
        <v>109</v>
      </c>
      <c r="N985" s="26" t="s">
        <v>2073</v>
      </c>
      <c r="O985" s="22" t="str">
        <f>HYPERLINK("https://pbs.twimg.com/profile_images/797265461075443712/-ap1T37u_normal.jpg","View")</f>
        <v>View</v>
      </c>
      <c r="P985" s="27"/>
    </row>
    <row r="986">
      <c r="A986" s="19">
        <v>42706.71733796297</v>
      </c>
      <c r="B986" s="20" t="str">
        <f>HYPERLINK("https://twitter.com/ericdavignontw","@ericdavignontw")</f>
        <v>@ericdavignontw</v>
      </c>
      <c r="C986" s="21" t="s">
        <v>2074</v>
      </c>
      <c r="D986" s="21" t="s">
        <v>1874</v>
      </c>
      <c r="E986" s="22" t="str">
        <f>HYPERLINK("https://twitter.com/ericdavignontw/status/804735118493487104","804735118493487104")</f>
        <v>804735118493487104</v>
      </c>
      <c r="F986" s="23" t="s">
        <v>90</v>
      </c>
      <c r="G986" s="24">
        <v>22.0</v>
      </c>
      <c r="H986" s="24">
        <v>126.0</v>
      </c>
      <c r="I986" s="24">
        <v>92.0</v>
      </c>
      <c r="J986" s="24">
        <v>0.0</v>
      </c>
      <c r="K986" s="23" t="s">
        <v>27</v>
      </c>
      <c r="L986" s="25">
        <v>40842.987916666665</v>
      </c>
      <c r="M986" s="26" t="s">
        <v>2075</v>
      </c>
      <c r="N986" s="26" t="s">
        <v>2076</v>
      </c>
      <c r="O986" s="22" t="str">
        <f>HYPERLINK("https://pbs.twimg.com/profile_images/1612075069/P28-10-11_12.08_normal.jpg","View")</f>
        <v>View</v>
      </c>
      <c r="P986" s="27"/>
    </row>
    <row r="987">
      <c r="A987" s="19">
        <v>42706.71975694444</v>
      </c>
      <c r="B987" s="20" t="str">
        <f>HYPERLINK("https://twitter.com/hotrod4276","@hotrod4276")</f>
        <v>@hotrod4276</v>
      </c>
      <c r="C987" s="21" t="s">
        <v>2077</v>
      </c>
      <c r="D987" s="21" t="s">
        <v>1734</v>
      </c>
      <c r="E987" s="22" t="str">
        <f>HYPERLINK("https://twitter.com/hotrod4276/status/804735995698524160","804735995698524160")</f>
        <v>804735995698524160</v>
      </c>
      <c r="F987" s="23" t="s">
        <v>41</v>
      </c>
      <c r="G987" s="24">
        <v>1608.0</v>
      </c>
      <c r="H987" s="24">
        <v>79.0</v>
      </c>
      <c r="I987" s="24">
        <v>38.0</v>
      </c>
      <c r="J987" s="24">
        <v>0.0</v>
      </c>
      <c r="K987" s="23" t="s">
        <v>27</v>
      </c>
      <c r="L987" s="25">
        <v>41082.28182870371</v>
      </c>
      <c r="M987" s="26" t="s">
        <v>2078</v>
      </c>
      <c r="N987" s="26" t="s">
        <v>2079</v>
      </c>
      <c r="O987" s="22" t="str">
        <f>HYPERLINK("https://pbs.twimg.com/profile_images/2332883226/6iWjB1WQ_normal","View")</f>
        <v>View</v>
      </c>
      <c r="P987" s="27"/>
    </row>
    <row r="988">
      <c r="A988" s="19">
        <v>42706.72299768518</v>
      </c>
      <c r="B988" s="20" t="str">
        <f>HYPERLINK("https://twitter.com/TCanaryIslands","@TCanaryIslands")</f>
        <v>@TCanaryIslands</v>
      </c>
      <c r="C988" s="21" t="s">
        <v>165</v>
      </c>
      <c r="D988" s="21" t="s">
        <v>2080</v>
      </c>
      <c r="E988" s="22" t="str">
        <f>HYPERLINK("https://twitter.com/TCanaryIslands/status/804737171232030720","804737171232030720")</f>
        <v>804737171232030720</v>
      </c>
      <c r="F988" s="23" t="s">
        <v>37</v>
      </c>
      <c r="G988" s="24">
        <v>37.0</v>
      </c>
      <c r="H988" s="24">
        <v>10.0</v>
      </c>
      <c r="I988" s="24">
        <v>1.0</v>
      </c>
      <c r="J988" s="24">
        <v>1.0</v>
      </c>
      <c r="K988" s="23" t="s">
        <v>27</v>
      </c>
      <c r="L988" s="25">
        <v>42009.6883912037</v>
      </c>
      <c r="M988" s="26" t="s">
        <v>301</v>
      </c>
      <c r="N988" s="26" t="s">
        <v>2081</v>
      </c>
      <c r="O988" s="22" t="str">
        <f>HYPERLINK("https://pbs.twimg.com/profile_images/552891002885640192/iZsYUlO-_normal.jpeg","View")</f>
        <v>View</v>
      </c>
      <c r="P988" s="27"/>
    </row>
    <row r="989">
      <c r="A989" s="19">
        <v>42706.72313657407</v>
      </c>
      <c r="B989" s="20" t="str">
        <f>HYPERLINK("https://twitter.com/TenerifeBonjour","@TenerifeBonjour")</f>
        <v>@TenerifeBonjour</v>
      </c>
      <c r="C989" s="21" t="s">
        <v>2082</v>
      </c>
      <c r="D989" s="21" t="s">
        <v>2065</v>
      </c>
      <c r="E989" s="22" t="str">
        <f>HYPERLINK("https://twitter.com/TenerifeBonjour/status/804737220708102144","804737220708102144")</f>
        <v>804737220708102144</v>
      </c>
      <c r="F989" s="23" t="s">
        <v>41</v>
      </c>
      <c r="G989" s="24">
        <v>2164.0</v>
      </c>
      <c r="H989" s="24">
        <v>36.0</v>
      </c>
      <c r="I989" s="24">
        <v>11.0</v>
      </c>
      <c r="J989" s="24">
        <v>0.0</v>
      </c>
      <c r="K989" s="23" t="s">
        <v>27</v>
      </c>
      <c r="L989" s="25">
        <v>42059.577951388885</v>
      </c>
      <c r="M989" s="28"/>
      <c r="N989" s="26" t="s">
        <v>2083</v>
      </c>
      <c r="O989" s="22" t="str">
        <f>HYPERLINK("https://pbs.twimg.com/profile_images/570942627195068416/kiZSWpnz_normal.jpeg","View")</f>
        <v>View</v>
      </c>
      <c r="P989" s="27"/>
    </row>
    <row r="990">
      <c r="A990" s="19">
        <v>42706.72613425926</v>
      </c>
      <c r="B990" s="20" t="str">
        <f>HYPERLINK("https://twitter.com/ViajeEnOferta","@ViajeEnOferta")</f>
        <v>@ViajeEnOferta</v>
      </c>
      <c r="C990" s="21" t="s">
        <v>2084</v>
      </c>
      <c r="D990" s="21" t="s">
        <v>2065</v>
      </c>
      <c r="E990" s="22" t="str">
        <f>HYPERLINK("https://twitter.com/ViajeEnOferta/status/804738307175419908","804738307175419908")</f>
        <v>804738307175419908</v>
      </c>
      <c r="F990" s="23" t="s">
        <v>37</v>
      </c>
      <c r="G990" s="24">
        <v>2449.0</v>
      </c>
      <c r="H990" s="24">
        <v>2421.0</v>
      </c>
      <c r="I990" s="24">
        <v>11.0</v>
      </c>
      <c r="J990" s="24">
        <v>0.0</v>
      </c>
      <c r="K990" s="23" t="s">
        <v>27</v>
      </c>
      <c r="L990" s="25">
        <v>40668.551157407404</v>
      </c>
      <c r="M990" s="26" t="s">
        <v>65</v>
      </c>
      <c r="N990" s="26" t="s">
        <v>2085</v>
      </c>
      <c r="O990" s="22" t="str">
        <f>HYPERLINK("https://pbs.twimg.com/profile_images/2333586406/ln3vtsznfm0jriu9rk86_normal.gif","View")</f>
        <v>View</v>
      </c>
      <c r="P990" s="27"/>
    </row>
    <row r="991">
      <c r="A991" s="19">
        <v>42706.72746527778</v>
      </c>
      <c r="B991" s="20" t="str">
        <f>HYPERLINK("https://twitter.com/IMAPhoto","@IMAPhoto")</f>
        <v>@IMAPhoto</v>
      </c>
      <c r="C991" s="21" t="s">
        <v>2086</v>
      </c>
      <c r="D991" s="21" t="s">
        <v>1874</v>
      </c>
      <c r="E991" s="22" t="str">
        <f>HYPERLINK("https://twitter.com/IMAPhoto/status/804738787976839168","804738787976839168")</f>
        <v>804738787976839168</v>
      </c>
      <c r="F991" s="23" t="s">
        <v>41</v>
      </c>
      <c r="G991" s="24">
        <v>896.0</v>
      </c>
      <c r="H991" s="24">
        <v>490.0</v>
      </c>
      <c r="I991" s="24">
        <v>92.0</v>
      </c>
      <c r="J991" s="24">
        <v>0.0</v>
      </c>
      <c r="K991" s="23" t="s">
        <v>27</v>
      </c>
      <c r="L991" s="25">
        <v>40015.691400462965</v>
      </c>
      <c r="M991" s="26" t="s">
        <v>2087</v>
      </c>
      <c r="N991" s="26" t="s">
        <v>2088</v>
      </c>
      <c r="O991" s="22" t="str">
        <f>HYPERLINK("https://pbs.twimg.com/profile_images/623259419665670144/MikskTkh_normal.jpg","View")</f>
        <v>View</v>
      </c>
      <c r="P991" s="27"/>
    </row>
    <row r="992">
      <c r="A992" s="19">
        <v>42706.731041666666</v>
      </c>
      <c r="B992" s="20" t="str">
        <f>HYPERLINK("https://twitter.com/loloesponja1","@loloesponja1")</f>
        <v>@loloesponja1</v>
      </c>
      <c r="C992" s="21" t="s">
        <v>2089</v>
      </c>
      <c r="D992" s="21" t="s">
        <v>2065</v>
      </c>
      <c r="E992" s="22" t="str">
        <f>HYPERLINK("https://twitter.com/loloesponja1/status/804740084566261760","804740084566261760")</f>
        <v>804740084566261760</v>
      </c>
      <c r="F992" s="23" t="s">
        <v>41</v>
      </c>
      <c r="G992" s="24">
        <v>241.0</v>
      </c>
      <c r="H992" s="24">
        <v>191.0</v>
      </c>
      <c r="I992" s="24">
        <v>11.0</v>
      </c>
      <c r="J992" s="24">
        <v>0.0</v>
      </c>
      <c r="K992" s="23" t="s">
        <v>27</v>
      </c>
      <c r="L992" s="25">
        <v>42038.88921296297</v>
      </c>
      <c r="M992" s="26" t="s">
        <v>282</v>
      </c>
      <c r="N992" s="28"/>
      <c r="O992" s="22" t="str">
        <f>HYPERLINK("https://pbs.twimg.com/profile_images/574977764454973440/HylUDGRe_normal.jpeg","View")</f>
        <v>View</v>
      </c>
      <c r="P992" s="27"/>
    </row>
    <row r="993">
      <c r="A993" s="19">
        <v>42706.73174768519</v>
      </c>
      <c r="B993" s="20" t="str">
        <f>HYPERLINK("https://twitter.com/1980Punter","@1980Punter")</f>
        <v>@1980Punter</v>
      </c>
      <c r="C993" s="21" t="s">
        <v>2090</v>
      </c>
      <c r="D993" s="21" t="s">
        <v>1734</v>
      </c>
      <c r="E993" s="22" t="str">
        <f>HYPERLINK("https://twitter.com/1980Punter/status/804740343568666624","804740343568666624")</f>
        <v>804740343568666624</v>
      </c>
      <c r="F993" s="23" t="s">
        <v>41</v>
      </c>
      <c r="G993" s="24">
        <v>706.0</v>
      </c>
      <c r="H993" s="24">
        <v>272.0</v>
      </c>
      <c r="I993" s="24">
        <v>38.0</v>
      </c>
      <c r="J993" s="24">
        <v>0.0</v>
      </c>
      <c r="K993" s="23" t="s">
        <v>27</v>
      </c>
      <c r="L993" s="25">
        <v>41337.82672453704</v>
      </c>
      <c r="M993" s="26" t="s">
        <v>2091</v>
      </c>
      <c r="N993" s="26" t="s">
        <v>2092</v>
      </c>
      <c r="O993" s="22" t="str">
        <f>HYPERLINK("https://pbs.twimg.com/profile_images/344513261582672731/211da045d3acdb47814c69c91d6a4348_normal.jpeg","View")</f>
        <v>View</v>
      </c>
      <c r="P993" s="27"/>
    </row>
    <row r="994">
      <c r="A994" s="19">
        <v>42706.732569444444</v>
      </c>
      <c r="B994" s="20" t="str">
        <f>HYPERLINK("https://twitter.com/jetcitystar","@jetcitystar")</f>
        <v>@jetcitystar</v>
      </c>
      <c r="C994" s="21" t="s">
        <v>2093</v>
      </c>
      <c r="D994" s="21" t="s">
        <v>1874</v>
      </c>
      <c r="E994" s="22" t="str">
        <f>HYPERLINK("https://twitter.com/jetcitystar/status/804740638717509632","804740638717509632")</f>
        <v>804740638717509632</v>
      </c>
      <c r="F994" s="23" t="s">
        <v>90</v>
      </c>
      <c r="G994" s="24">
        <v>10076.0</v>
      </c>
      <c r="H994" s="24">
        <v>7677.0</v>
      </c>
      <c r="I994" s="24">
        <v>92.0</v>
      </c>
      <c r="J994" s="24">
        <v>0.0</v>
      </c>
      <c r="K994" s="23" t="s">
        <v>27</v>
      </c>
      <c r="L994" s="25">
        <v>40480.418391203704</v>
      </c>
      <c r="M994" s="26" t="s">
        <v>2094</v>
      </c>
      <c r="N994" s="26" t="s">
        <v>2095</v>
      </c>
      <c r="O994" s="22" t="str">
        <f>HYPERLINK("https://pbs.twimg.com/profile_images/631333308450762752/6CZb7fCE_normal.jpg","View")</f>
        <v>View</v>
      </c>
      <c r="P994" s="27"/>
    </row>
    <row r="995">
      <c r="A995" s="19">
        <v>42706.73831018519</v>
      </c>
      <c r="B995" s="20" t="str">
        <f>HYPERLINK("https://twitter.com/airports_hotels","@airports_hotels")</f>
        <v>@airports_hotels</v>
      </c>
      <c r="C995" s="21" t="s">
        <v>683</v>
      </c>
      <c r="D995" s="21" t="s">
        <v>2096</v>
      </c>
      <c r="E995" s="22" t="str">
        <f>HYPERLINK("https://twitter.com/airports_hotels/status/804742721479049216","804742721479049216")</f>
        <v>804742721479049216</v>
      </c>
      <c r="F995" s="23" t="s">
        <v>37</v>
      </c>
      <c r="G995" s="24">
        <v>293.0</v>
      </c>
      <c r="H995" s="24">
        <v>0.0</v>
      </c>
      <c r="I995" s="24">
        <v>0.0</v>
      </c>
      <c r="J995" s="24">
        <v>0.0</v>
      </c>
      <c r="K995" s="23" t="s">
        <v>27</v>
      </c>
      <c r="L995" s="25">
        <v>42488.49555555556</v>
      </c>
      <c r="M995" s="26" t="s">
        <v>685</v>
      </c>
      <c r="N995" s="26" t="s">
        <v>686</v>
      </c>
      <c r="O995" s="22" t="str">
        <f>HYPERLINK("https://pbs.twimg.com/profile_images/789169766342627332/b_eAAMe7_normal.jpg","View")</f>
        <v>View</v>
      </c>
      <c r="P995" s="27"/>
    </row>
    <row r="996">
      <c r="A996" s="19">
        <v>42706.73899305555</v>
      </c>
      <c r="B996" s="20" t="str">
        <f>HYPERLINK("https://twitter.com/heliweb","@heliweb")</f>
        <v>@heliweb</v>
      </c>
      <c r="C996" s="21" t="s">
        <v>2097</v>
      </c>
      <c r="D996" s="21" t="s">
        <v>1874</v>
      </c>
      <c r="E996" s="22" t="str">
        <f>HYPERLINK("https://twitter.com/heliweb/status/804742966703177728","804742966703177728")</f>
        <v>804742966703177728</v>
      </c>
      <c r="F996" s="23" t="s">
        <v>26</v>
      </c>
      <c r="G996" s="24">
        <v>1034.0</v>
      </c>
      <c r="H996" s="24">
        <v>276.0</v>
      </c>
      <c r="I996" s="24">
        <v>92.0</v>
      </c>
      <c r="J996" s="24">
        <v>0.0</v>
      </c>
      <c r="K996" s="23" t="s">
        <v>27</v>
      </c>
      <c r="L996" s="25">
        <v>41659.63280092592</v>
      </c>
      <c r="M996" s="26" t="s">
        <v>2098</v>
      </c>
      <c r="N996" s="26" t="s">
        <v>2099</v>
      </c>
      <c r="O996" s="22" t="str">
        <f>HYPERLINK("https://pbs.twimg.com/profile_images/713886161387782144/126vtDmn_normal.jpg","View")</f>
        <v>View</v>
      </c>
      <c r="P996" s="27"/>
    </row>
    <row r="997">
      <c r="A997" s="19">
        <v>42706.745347222226</v>
      </c>
      <c r="B997" s="20" t="str">
        <f>HYPERLINK("https://twitter.com/decarlo_alfonso","@decarlo_alfonso")</f>
        <v>@decarlo_alfonso</v>
      </c>
      <c r="C997" s="21" t="s">
        <v>707</v>
      </c>
      <c r="D997" s="21" t="s">
        <v>2100</v>
      </c>
      <c r="E997" s="22" t="str">
        <f>HYPERLINK("https://twitter.com/decarlo_alfonso/status/804745269778653185","804745269778653185")</f>
        <v>804745269778653185</v>
      </c>
      <c r="F997" s="23" t="s">
        <v>90</v>
      </c>
      <c r="G997" s="24">
        <v>13.0</v>
      </c>
      <c r="H997" s="24">
        <v>104.0</v>
      </c>
      <c r="I997" s="24">
        <v>1.0</v>
      </c>
      <c r="J997" s="24">
        <v>0.0</v>
      </c>
      <c r="K997" s="23" t="s">
        <v>27</v>
      </c>
      <c r="L997" s="25">
        <v>41352.13466435185</v>
      </c>
      <c r="M997" s="26" t="s">
        <v>709</v>
      </c>
      <c r="N997" s="26" t="s">
        <v>710</v>
      </c>
      <c r="O997" s="22" t="str">
        <f>HYPERLINK("https://pbs.twimg.com/profile_images/3612684335/955ff04779fc6c18e4bd6a8b11748a86_normal.jpeg","View")</f>
        <v>View</v>
      </c>
      <c r="P997" s="27"/>
    </row>
    <row r="998">
      <c r="A998" s="19">
        <v>42706.75015046296</v>
      </c>
      <c r="B998" s="20" t="str">
        <f>HYPERLINK("https://twitter.com/tlgfocus","@tlgfocus")</f>
        <v>@tlgfocus</v>
      </c>
      <c r="C998" s="21" t="s">
        <v>2101</v>
      </c>
      <c r="D998" s="21" t="s">
        <v>2027</v>
      </c>
      <c r="E998" s="22" t="str">
        <f>HYPERLINK("https://twitter.com/tlgfocus/status/804747008758185984","804747008758185984")</f>
        <v>804747008758185984</v>
      </c>
      <c r="F998" s="23" t="s">
        <v>41</v>
      </c>
      <c r="G998" s="24">
        <v>639.0</v>
      </c>
      <c r="H998" s="24">
        <v>1035.0</v>
      </c>
      <c r="I998" s="24">
        <v>3.0</v>
      </c>
      <c r="J998" s="24">
        <v>0.0</v>
      </c>
      <c r="K998" s="23" t="s">
        <v>27</v>
      </c>
      <c r="L998" s="25">
        <v>42136.56789351851</v>
      </c>
      <c r="M998" s="26" t="s">
        <v>130</v>
      </c>
      <c r="N998" s="26" t="s">
        <v>2102</v>
      </c>
      <c r="O998" s="22" t="str">
        <f>HYPERLINK("https://pbs.twimg.com/profile_images/598112763890823168/Lfk5ONzs_normal.jpg","View")</f>
        <v>View</v>
      </c>
      <c r="P998" s="27"/>
    </row>
    <row r="999">
      <c r="A999" s="19">
        <v>42706.75175925926</v>
      </c>
      <c r="B999" s="20" t="str">
        <f>HYPERLINK("https://twitter.com/landais_cedric","@landais_cedric")</f>
        <v>@landais_cedric</v>
      </c>
      <c r="C999" s="21" t="s">
        <v>2103</v>
      </c>
      <c r="D999" s="21" t="s">
        <v>1874</v>
      </c>
      <c r="E999" s="22" t="str">
        <f>HYPERLINK("https://twitter.com/landais_cedric/status/804747595826495488","804747595826495488")</f>
        <v>804747595826495488</v>
      </c>
      <c r="F999" s="23" t="s">
        <v>41</v>
      </c>
      <c r="G999" s="24">
        <v>2300.0</v>
      </c>
      <c r="H999" s="24">
        <v>4112.0</v>
      </c>
      <c r="I999" s="24">
        <v>92.0</v>
      </c>
      <c r="J999" s="24">
        <v>0.0</v>
      </c>
      <c r="K999" s="23" t="s">
        <v>27</v>
      </c>
      <c r="L999" s="25">
        <v>41656.779432870375</v>
      </c>
      <c r="M999" s="26" t="s">
        <v>113</v>
      </c>
      <c r="N999" s="26" t="s">
        <v>2104</v>
      </c>
      <c r="O999" s="22" t="str">
        <f>HYPERLINK("https://pbs.twimg.com/profile_images/627954775292813312/-TFAguti_normal.jpg","View")</f>
        <v>View</v>
      </c>
      <c r="P999" s="27"/>
    </row>
    <row r="1000">
      <c r="A1000" s="19">
        <v>42706.758877314816</v>
      </c>
      <c r="B1000" s="20" t="str">
        <f>HYPERLINK("https://twitter.com/didimex1111","@didimex1111")</f>
        <v>@didimex1111</v>
      </c>
      <c r="C1000" s="21" t="s">
        <v>245</v>
      </c>
      <c r="D1000" s="21" t="s">
        <v>2105</v>
      </c>
      <c r="E1000" s="22" t="str">
        <f>HYPERLINK("https://twitter.com/didimex1111/status/804750171645087744","804750171645087744")</f>
        <v>804750171645087744</v>
      </c>
      <c r="F1000" s="23" t="s">
        <v>26</v>
      </c>
      <c r="G1000" s="24">
        <v>616.0</v>
      </c>
      <c r="H1000" s="24">
        <v>547.0</v>
      </c>
      <c r="I1000" s="24">
        <v>0.0</v>
      </c>
      <c r="J1000" s="24">
        <v>1.0</v>
      </c>
      <c r="K1000" s="23" t="s">
        <v>27</v>
      </c>
      <c r="L1000" s="25">
        <v>40811.85047453704</v>
      </c>
      <c r="M1000" s="26" t="s">
        <v>168</v>
      </c>
      <c r="N1000" s="26" t="s">
        <v>247</v>
      </c>
      <c r="O1000" s="22" t="str">
        <f>HYPERLINK("https://pbs.twimg.com/profile_images/769966667321540608/sSmWwdqJ_normal.jpg","View")</f>
        <v>View</v>
      </c>
      <c r="P1000" s="27"/>
    </row>
    <row r="1001">
      <c r="A1001" s="19">
        <v>42706.75922453703</v>
      </c>
      <c r="B1001" s="20" t="str">
        <f>HYPERLINK("https://twitter.com/fijimedic","@fijimedic")</f>
        <v>@fijimedic</v>
      </c>
      <c r="C1001" s="21" t="s">
        <v>2106</v>
      </c>
      <c r="D1001" s="21" t="s">
        <v>1874</v>
      </c>
      <c r="E1001" s="22" t="str">
        <f>HYPERLINK("https://twitter.com/fijimedic/status/804750301060177920","804750301060177920")</f>
        <v>804750301060177920</v>
      </c>
      <c r="F1001" s="23" t="s">
        <v>90</v>
      </c>
      <c r="G1001" s="24">
        <v>1612.0</v>
      </c>
      <c r="H1001" s="24">
        <v>1733.0</v>
      </c>
      <c r="I1001" s="24">
        <v>92.0</v>
      </c>
      <c r="J1001" s="24">
        <v>0.0</v>
      </c>
      <c r="K1001" s="23" t="s">
        <v>27</v>
      </c>
      <c r="L1001" s="25">
        <v>39922.48813657407</v>
      </c>
      <c r="M1001" s="26" t="s">
        <v>2107</v>
      </c>
      <c r="N1001" s="26" t="s">
        <v>2108</v>
      </c>
      <c r="O1001" s="22" t="str">
        <f>HYPERLINK("https://pbs.twimg.com/profile_images/427379163180175361/zyTG7Uqd_normal.jpeg","View")</f>
        <v>View</v>
      </c>
      <c r="P1001" s="27"/>
    </row>
    <row r="1002">
      <c r="A1002" s="19">
        <v>42706.76708333333</v>
      </c>
      <c r="B1002" s="20" t="str">
        <f>HYPERLINK("https://twitter.com/JAGreenhill","@JAGreenhill")</f>
        <v>@JAGreenhill</v>
      </c>
      <c r="C1002" s="21" t="s">
        <v>423</v>
      </c>
      <c r="D1002" s="21" t="s">
        <v>2109</v>
      </c>
      <c r="E1002" s="22" t="str">
        <f>HYPERLINK("https://twitter.com/JAGreenhill/status/804753149017853953","804753149017853953")</f>
        <v>804753149017853953</v>
      </c>
      <c r="F1002" s="23" t="s">
        <v>69</v>
      </c>
      <c r="G1002" s="24">
        <v>57.0</v>
      </c>
      <c r="H1002" s="24">
        <v>66.0</v>
      </c>
      <c r="I1002" s="24">
        <v>0.0</v>
      </c>
      <c r="J1002" s="24">
        <v>1.0</v>
      </c>
      <c r="K1002" s="23" t="s">
        <v>27</v>
      </c>
      <c r="L1002" s="25">
        <v>39966.43601851852</v>
      </c>
      <c r="M1002" s="26" t="s">
        <v>425</v>
      </c>
      <c r="N1002" s="26" t="s">
        <v>426</v>
      </c>
      <c r="O1002" s="22" t="str">
        <f>HYPERLINK("https://pbs.twimg.com/profile_images/805052311466897409/zHKEhdG9_normal.jpg","View")</f>
        <v>View</v>
      </c>
      <c r="P1002" s="27"/>
    </row>
    <row r="1003">
      <c r="A1003" s="19">
        <v>42706.768796296295</v>
      </c>
      <c r="B1003" s="20" t="str">
        <f>HYPERLINK("https://twitter.com/CorralejoLive","@CorralejoLive")</f>
        <v>@CorralejoLive</v>
      </c>
      <c r="C1003" s="21" t="s">
        <v>1592</v>
      </c>
      <c r="D1003" s="21" t="s">
        <v>1837</v>
      </c>
      <c r="E1003" s="22" t="str">
        <f>HYPERLINK("https://twitter.com/CorralejoLive/status/804753767300235264","804753767300235264")</f>
        <v>804753767300235264</v>
      </c>
      <c r="F1003" s="23" t="s">
        <v>41</v>
      </c>
      <c r="G1003" s="24">
        <v>2806.0</v>
      </c>
      <c r="H1003" s="24">
        <v>3269.0</v>
      </c>
      <c r="I1003" s="24">
        <v>5.0</v>
      </c>
      <c r="J1003" s="24">
        <v>0.0</v>
      </c>
      <c r="K1003" s="23" t="s">
        <v>27</v>
      </c>
      <c r="L1003" s="25">
        <v>41852.78931712963</v>
      </c>
      <c r="M1003" s="26" t="s">
        <v>1594</v>
      </c>
      <c r="N1003" s="26" t="s">
        <v>1595</v>
      </c>
      <c r="O1003" s="22" t="str">
        <f>HYPERLINK("https://pbs.twimg.com/profile_images/514897634113228800/Pne1BN2P_normal.jpeg","View")</f>
        <v>View</v>
      </c>
      <c r="P1003" s="27"/>
    </row>
    <row r="1004">
      <c r="A1004" s="19">
        <v>42706.769733796296</v>
      </c>
      <c r="B1004" s="20" t="str">
        <f>HYPERLINK("https://twitter.com/ja_almarza","@ja_almarza")</f>
        <v>@ja_almarza</v>
      </c>
      <c r="C1004" s="21" t="s">
        <v>2110</v>
      </c>
      <c r="D1004" s="21" t="s">
        <v>1874</v>
      </c>
      <c r="E1004" s="22" t="str">
        <f>HYPERLINK("https://twitter.com/ja_almarza/status/804754107659599872","804754107659599872")</f>
        <v>804754107659599872</v>
      </c>
      <c r="F1004" s="23" t="s">
        <v>41</v>
      </c>
      <c r="G1004" s="24">
        <v>1044.0</v>
      </c>
      <c r="H1004" s="24">
        <v>249.0</v>
      </c>
      <c r="I1004" s="24">
        <v>92.0</v>
      </c>
      <c r="J1004" s="24">
        <v>0.0</v>
      </c>
      <c r="K1004" s="23" t="s">
        <v>27</v>
      </c>
      <c r="L1004" s="25">
        <v>41912.85717592593</v>
      </c>
      <c r="M1004" s="26" t="s">
        <v>2111</v>
      </c>
      <c r="N1004" s="26" t="s">
        <v>2112</v>
      </c>
      <c r="O1004" s="22" t="str">
        <f>HYPERLINK("https://pbs.twimg.com/profile_images/665811926233030656/gmvAScLs_normal.jpg","View")</f>
        <v>View</v>
      </c>
      <c r="P1004" s="27"/>
    </row>
    <row r="1005">
      <c r="A1005" s="19">
        <v>42706.770277777774</v>
      </c>
      <c r="B1005" s="20" t="str">
        <f>HYPERLINK("https://twitter.com/fincasbaratas","@fincasbaratas")</f>
        <v>@fincasbaratas</v>
      </c>
      <c r="C1005" s="21" t="s">
        <v>2113</v>
      </c>
      <c r="D1005" s="21" t="s">
        <v>1837</v>
      </c>
      <c r="E1005" s="22" t="str">
        <f>HYPERLINK("https://twitter.com/fincasbaratas/status/804754303688839169","804754303688839169")</f>
        <v>804754303688839169</v>
      </c>
      <c r="F1005" s="23" t="s">
        <v>41</v>
      </c>
      <c r="G1005" s="24">
        <v>1456.0</v>
      </c>
      <c r="H1005" s="24">
        <v>1475.0</v>
      </c>
      <c r="I1005" s="24">
        <v>5.0</v>
      </c>
      <c r="J1005" s="24">
        <v>0.0</v>
      </c>
      <c r="K1005" s="23" t="s">
        <v>27</v>
      </c>
      <c r="L1005" s="25">
        <v>42302.913935185185</v>
      </c>
      <c r="M1005" s="26" t="s">
        <v>2114</v>
      </c>
      <c r="N1005" s="26" t="s">
        <v>2115</v>
      </c>
      <c r="O1005" s="22" t="str">
        <f>HYPERLINK("https://pbs.twimg.com/profile_images/740396455165321219/JxEGsTBa_normal.jpg","View")</f>
        <v>View</v>
      </c>
      <c r="P1005" s="27"/>
    </row>
    <row r="1006">
      <c r="A1006" s="19">
        <v>42706.7788425926</v>
      </c>
      <c r="B1006" s="20" t="str">
        <f>HYPERLINK("https://twitter.com/GuizeGalvan","@GuizeGalvan")</f>
        <v>@GuizeGalvan</v>
      </c>
      <c r="C1006" s="21" t="s">
        <v>2116</v>
      </c>
      <c r="D1006" s="21" t="s">
        <v>2051</v>
      </c>
      <c r="E1006" s="22" t="str">
        <f>HYPERLINK("https://twitter.com/GuizeGalvan/status/804757408887275526","804757408887275526")</f>
        <v>804757408887275526</v>
      </c>
      <c r="F1006" s="23" t="s">
        <v>26</v>
      </c>
      <c r="G1006" s="24">
        <v>248.0</v>
      </c>
      <c r="H1006" s="24">
        <v>312.0</v>
      </c>
      <c r="I1006" s="24">
        <v>9.0</v>
      </c>
      <c r="J1006" s="24">
        <v>0.0</v>
      </c>
      <c r="K1006" s="23" t="s">
        <v>27</v>
      </c>
      <c r="L1006" s="25">
        <v>40405.8485300926</v>
      </c>
      <c r="M1006" s="26" t="s">
        <v>238</v>
      </c>
      <c r="N1006" s="26" t="s">
        <v>2117</v>
      </c>
      <c r="O1006" s="22" t="str">
        <f>HYPERLINK("https://pbs.twimg.com/profile_images/682260719514071041/v3-G3ocH_normal.jpg","View")</f>
        <v>View</v>
      </c>
      <c r="P1006" s="27"/>
    </row>
    <row r="1007">
      <c r="A1007" s="19">
        <v>42706.783530092594</v>
      </c>
      <c r="B1007" s="20" t="str">
        <f>HYPERLINK("https://twitter.com/controladores","@controladores")</f>
        <v>@controladores</v>
      </c>
      <c r="C1007" s="21" t="s">
        <v>2118</v>
      </c>
      <c r="D1007" s="21" t="s">
        <v>1874</v>
      </c>
      <c r="E1007" s="22" t="str">
        <f>HYPERLINK("https://twitter.com/controladores/status/804759107643252736","804759107643252736")</f>
        <v>804759107643252736</v>
      </c>
      <c r="F1007" s="23" t="s">
        <v>41</v>
      </c>
      <c r="G1007" s="24">
        <v>44520.0</v>
      </c>
      <c r="H1007" s="24">
        <v>883.0</v>
      </c>
      <c r="I1007" s="24">
        <v>92.0</v>
      </c>
      <c r="J1007" s="24">
        <v>0.0</v>
      </c>
      <c r="K1007" s="23" t="s">
        <v>27</v>
      </c>
      <c r="L1007" s="25">
        <v>40229.76052083333</v>
      </c>
      <c r="M1007" s="26" t="s">
        <v>65</v>
      </c>
      <c r="N1007" s="26" t="s">
        <v>2119</v>
      </c>
      <c r="O1007" s="22" t="str">
        <f>HYPERLINK("https://pbs.twimg.com/profile_images/662173882003116032/omP1YN1X_normal.jpg","View")</f>
        <v>View</v>
      </c>
      <c r="P1007" s="27"/>
    </row>
    <row r="1008">
      <c r="A1008" s="19">
        <v>42706.784050925926</v>
      </c>
      <c r="B1008" s="20" t="str">
        <f>HYPERLINK("https://twitter.com/teohiguero","@teohiguero")</f>
        <v>@teohiguero</v>
      </c>
      <c r="C1008" s="21" t="s">
        <v>2120</v>
      </c>
      <c r="D1008" s="21" t="s">
        <v>1874</v>
      </c>
      <c r="E1008" s="22" t="str">
        <f>HYPERLINK("https://twitter.com/teohiguero/status/804759295032180736","804759295032180736")</f>
        <v>804759295032180736</v>
      </c>
      <c r="F1008" s="23" t="s">
        <v>37</v>
      </c>
      <c r="G1008" s="24">
        <v>123.0</v>
      </c>
      <c r="H1008" s="24">
        <v>465.0</v>
      </c>
      <c r="I1008" s="24">
        <v>92.0</v>
      </c>
      <c r="J1008" s="24">
        <v>0.0</v>
      </c>
      <c r="K1008" s="23" t="s">
        <v>27</v>
      </c>
      <c r="L1008" s="25">
        <v>41340.70929398148</v>
      </c>
      <c r="M1008" s="28"/>
      <c r="N1008" s="26" t="s">
        <v>2121</v>
      </c>
      <c r="O1008" s="22" t="str">
        <f>HYPERLINK("https://pbs.twimg.com/profile_images/484996944809299968/kpjynwWR_normal.jpeg","View")</f>
        <v>View</v>
      </c>
      <c r="P1008" s="27"/>
    </row>
    <row r="1009">
      <c r="A1009" s="19">
        <v>42706.78768518519</v>
      </c>
      <c r="B1009" s="20" t="str">
        <f>HYPERLINK("https://twitter.com/Aviojets","@Aviojets")</f>
        <v>@Aviojets</v>
      </c>
      <c r="C1009" s="21" t="s">
        <v>2122</v>
      </c>
      <c r="D1009" s="21" t="s">
        <v>1874</v>
      </c>
      <c r="E1009" s="22" t="str">
        <f>HYPERLINK("https://twitter.com/Aviojets/status/804760611259383808","804760611259383808")</f>
        <v>804760611259383808</v>
      </c>
      <c r="F1009" s="23" t="s">
        <v>41</v>
      </c>
      <c r="G1009" s="24">
        <v>373.0</v>
      </c>
      <c r="H1009" s="24">
        <v>612.0</v>
      </c>
      <c r="I1009" s="24">
        <v>92.0</v>
      </c>
      <c r="J1009" s="24">
        <v>0.0</v>
      </c>
      <c r="K1009" s="23" t="s">
        <v>27</v>
      </c>
      <c r="L1009" s="25">
        <v>40020.34584490741</v>
      </c>
      <c r="M1009" s="26" t="s">
        <v>2123</v>
      </c>
      <c r="N1009" s="26" t="s">
        <v>2124</v>
      </c>
      <c r="O1009" s="22" t="str">
        <f>HYPERLINK("https://pbs.twimg.com/profile_images/715103361146744832/QUttG0CU_normal.jpg","View")</f>
        <v>View</v>
      </c>
      <c r="P1009" s="27"/>
    </row>
    <row r="1010">
      <c r="A1010" s="19">
        <v>42706.79163194445</v>
      </c>
      <c r="B1010" s="20" t="str">
        <f>HYPERLINK("https://twitter.com/aglaetalia","@aglaetalia")</f>
        <v>@aglaetalia</v>
      </c>
      <c r="C1010" s="21" t="s">
        <v>2125</v>
      </c>
      <c r="D1010" s="21" t="s">
        <v>1874</v>
      </c>
      <c r="E1010" s="22" t="str">
        <f>HYPERLINK("https://twitter.com/aglaetalia/status/804762043685498881","804762043685498881")</f>
        <v>804762043685498881</v>
      </c>
      <c r="F1010" s="23" t="s">
        <v>41</v>
      </c>
      <c r="G1010" s="24">
        <v>1287.0</v>
      </c>
      <c r="H1010" s="24">
        <v>2327.0</v>
      </c>
      <c r="I1010" s="24">
        <v>92.0</v>
      </c>
      <c r="J1010" s="24">
        <v>0.0</v>
      </c>
      <c r="K1010" s="23" t="s">
        <v>27</v>
      </c>
      <c r="L1010" s="25">
        <v>40774.05449074074</v>
      </c>
      <c r="M1010" s="26" t="s">
        <v>2126</v>
      </c>
      <c r="N1010" s="26" t="s">
        <v>2127</v>
      </c>
      <c r="O1010" s="22" t="str">
        <f>HYPERLINK("https://pbs.twimg.com/profile_images/661255402412199936/Rl5jjxWT_normal.jpg","View")</f>
        <v>View</v>
      </c>
      <c r="P1010" s="27"/>
    </row>
    <row r="1011">
      <c r="A1011" s="19">
        <v>42706.795069444444</v>
      </c>
      <c r="B1011" s="20" t="str">
        <f>HYPERLINK("https://twitter.com/RakheeV","@RakheeV")</f>
        <v>@RakheeV</v>
      </c>
      <c r="C1011" s="21" t="s">
        <v>1240</v>
      </c>
      <c r="D1011" s="21" t="s">
        <v>2128</v>
      </c>
      <c r="E1011" s="22" t="str">
        <f>HYPERLINK("https://twitter.com/RakheeV/status/804763288386945025","804763288386945025")</f>
        <v>804763288386945025</v>
      </c>
      <c r="F1011" s="23" t="s">
        <v>81</v>
      </c>
      <c r="G1011" s="24">
        <v>1489.0</v>
      </c>
      <c r="H1011" s="24">
        <v>2605.0</v>
      </c>
      <c r="I1011" s="24">
        <v>0.0</v>
      </c>
      <c r="J1011" s="24">
        <v>0.0</v>
      </c>
      <c r="K1011" s="23" t="s">
        <v>27</v>
      </c>
      <c r="L1011" s="25">
        <v>40921.93</v>
      </c>
      <c r="M1011" s="26" t="s">
        <v>1172</v>
      </c>
      <c r="N1011" s="26" t="s">
        <v>1242</v>
      </c>
      <c r="O1011" s="22" t="str">
        <f>HYPERLINK("https://pbs.twimg.com/profile_images/742026136801161217/evJgSUlG_normal.jpg","View")</f>
        <v>View</v>
      </c>
      <c r="P1011" s="27" t="str">
        <f>HYPERLINK("https://ctrlq.org/maps/address/#28.057136,-16.729774","Map")</f>
        <v>#ERROR!</v>
      </c>
    </row>
    <row r="1012">
      <c r="A1012" s="19">
        <v>42706.79917824074</v>
      </c>
      <c r="B1012" s="20" t="str">
        <f>HYPERLINK("https://twitter.com/raul_heredia_9","@raul_heredia_9")</f>
        <v>@raul_heredia_9</v>
      </c>
      <c r="C1012" s="21" t="s">
        <v>2129</v>
      </c>
      <c r="D1012" s="21" t="s">
        <v>1874</v>
      </c>
      <c r="E1012" s="22" t="str">
        <f>HYPERLINK("https://twitter.com/raul_heredia_9/status/804764776350027776","804764776350027776")</f>
        <v>804764776350027776</v>
      </c>
      <c r="F1012" s="23" t="s">
        <v>41</v>
      </c>
      <c r="G1012" s="24">
        <v>183.0</v>
      </c>
      <c r="H1012" s="24">
        <v>511.0</v>
      </c>
      <c r="I1012" s="24">
        <v>92.0</v>
      </c>
      <c r="J1012" s="24">
        <v>0.0</v>
      </c>
      <c r="K1012" s="23" t="s">
        <v>27</v>
      </c>
      <c r="L1012" s="25">
        <v>41511.736979166664</v>
      </c>
      <c r="M1012" s="26" t="s">
        <v>1848</v>
      </c>
      <c r="N1012" s="26" t="s">
        <v>2130</v>
      </c>
      <c r="O1012" s="22" t="str">
        <f>HYPERLINK("https://pbs.twimg.com/profile_images/634355181463949312/rJ0aZ201_normal.jpg","View")</f>
        <v>View</v>
      </c>
      <c r="P1012" s="27"/>
    </row>
    <row r="1013">
      <c r="A1013" s="19">
        <v>42706.81210648148</v>
      </c>
      <c r="B1013" s="20" t="str">
        <f>HYPERLINK("https://twitter.com/CositasCanarias","@CositasCanarias")</f>
        <v>@CositasCanarias</v>
      </c>
      <c r="C1013" s="21" t="s">
        <v>1108</v>
      </c>
      <c r="D1013" s="21" t="s">
        <v>2051</v>
      </c>
      <c r="E1013" s="22" t="str">
        <f>HYPERLINK("https://twitter.com/CositasCanarias/status/804769462348054529","804769462348054529")</f>
        <v>804769462348054529</v>
      </c>
      <c r="F1013" s="23" t="s">
        <v>41</v>
      </c>
      <c r="G1013" s="24">
        <v>3919.0</v>
      </c>
      <c r="H1013" s="24">
        <v>3618.0</v>
      </c>
      <c r="I1013" s="24">
        <v>9.0</v>
      </c>
      <c r="J1013" s="24">
        <v>0.0</v>
      </c>
      <c r="K1013" s="23" t="s">
        <v>27</v>
      </c>
      <c r="L1013" s="25">
        <v>42379.54635416667</v>
      </c>
      <c r="M1013" s="26" t="s">
        <v>1109</v>
      </c>
      <c r="N1013" s="26" t="s">
        <v>1110</v>
      </c>
      <c r="O1013" s="22" t="str">
        <f>HYPERLINK("https://pbs.twimg.com/profile_images/722353442321260544/juVRAeF1_normal.jpg","View")</f>
        <v>View</v>
      </c>
      <c r="P1013" s="27"/>
    </row>
    <row r="1014">
      <c r="A1014" s="19">
        <v>42706.812997685185</v>
      </c>
      <c r="B1014" s="20" t="str">
        <f>HYPERLINK("https://twitter.com/SafranHCEngines","@SafranHCEngines")</f>
        <v>@SafranHCEngines</v>
      </c>
      <c r="C1014" s="21" t="s">
        <v>2131</v>
      </c>
      <c r="D1014" s="21" t="s">
        <v>1874</v>
      </c>
      <c r="E1014" s="22" t="str">
        <f>HYPERLINK("https://twitter.com/SafranHCEngines/status/804769785963827200","804769785963827200")</f>
        <v>804769785963827200</v>
      </c>
      <c r="F1014" s="23" t="s">
        <v>41</v>
      </c>
      <c r="G1014" s="24">
        <v>4711.0</v>
      </c>
      <c r="H1014" s="24">
        <v>146.0</v>
      </c>
      <c r="I1014" s="24">
        <v>92.0</v>
      </c>
      <c r="J1014" s="24">
        <v>0.0</v>
      </c>
      <c r="K1014" s="23" t="s">
        <v>27</v>
      </c>
      <c r="L1014" s="25">
        <v>40683.49322916666</v>
      </c>
      <c r="M1014" s="26" t="s">
        <v>2132</v>
      </c>
      <c r="N1014" s="26" t="s">
        <v>2133</v>
      </c>
      <c r="O1014" s="22" t="str">
        <f>HYPERLINK("https://pbs.twimg.com/profile_images/733241098336886784/7MLiHgHI_normal.jpg","View")</f>
        <v>View</v>
      </c>
      <c r="P1014" s="27"/>
    </row>
    <row r="1015">
      <c r="A1015" s="19">
        <v>42706.81597222222</v>
      </c>
      <c r="B1015" s="20" t="str">
        <f>HYPERLINK("https://twitter.com/Selhso","@Selhso")</f>
        <v>@Selhso</v>
      </c>
      <c r="C1015" s="21" t="s">
        <v>194</v>
      </c>
      <c r="D1015" s="21" t="s">
        <v>2051</v>
      </c>
      <c r="E1015" s="22" t="str">
        <f>HYPERLINK("https://twitter.com/Selhso/status/804770864948449280","804770864948449280")</f>
        <v>804770864948449280</v>
      </c>
      <c r="F1015" s="23" t="s">
        <v>41</v>
      </c>
      <c r="G1015" s="24">
        <v>1615.0</v>
      </c>
      <c r="H1015" s="24">
        <v>1661.0</v>
      </c>
      <c r="I1015" s="24">
        <v>9.0</v>
      </c>
      <c r="J1015" s="24">
        <v>0.0</v>
      </c>
      <c r="K1015" s="23" t="s">
        <v>27</v>
      </c>
      <c r="L1015" s="25">
        <v>40372.68681712963</v>
      </c>
      <c r="M1015" s="26" t="s">
        <v>196</v>
      </c>
      <c r="N1015" s="26" t="s">
        <v>109</v>
      </c>
      <c r="O1015" s="22" t="str">
        <f>HYPERLINK("https://pbs.twimg.com/profile_images/800845512836579328/cKh_5hB2_normal.jpg","View")</f>
        <v>View</v>
      </c>
      <c r="P1015" s="27"/>
    </row>
    <row r="1016">
      <c r="A1016" s="19">
        <v>42706.8194212963</v>
      </c>
      <c r="B1016" s="20" t="str">
        <f>HYPERLINK("https://twitter.com/MariolaTNFGC84","@MariolaTNFGC84")</f>
        <v>@MariolaTNFGC84</v>
      </c>
      <c r="C1016" s="21" t="s">
        <v>385</v>
      </c>
      <c r="D1016" s="21" t="s">
        <v>2051</v>
      </c>
      <c r="E1016" s="22" t="str">
        <f>HYPERLINK("https://twitter.com/MariolaTNFGC84/status/804772112368107520","804772112368107520")</f>
        <v>804772112368107520</v>
      </c>
      <c r="F1016" s="23" t="s">
        <v>37</v>
      </c>
      <c r="G1016" s="24">
        <v>391.0</v>
      </c>
      <c r="H1016" s="24">
        <v>891.0</v>
      </c>
      <c r="I1016" s="24">
        <v>9.0</v>
      </c>
      <c r="J1016" s="24">
        <v>0.0</v>
      </c>
      <c r="K1016" s="23" t="s">
        <v>27</v>
      </c>
      <c r="L1016" s="25">
        <v>42181.55790509259</v>
      </c>
      <c r="M1016" s="28"/>
      <c r="N1016" s="28"/>
      <c r="O1016" s="22" t="str">
        <f>HYPERLINK("https://pbs.twimg.com/profile_images/765266327804190720/3kytWWcC_normal.jpg","View")</f>
        <v>View</v>
      </c>
      <c r="P1016" s="27"/>
    </row>
    <row r="1017">
      <c r="A1017" s="19">
        <v>42706.81952546297</v>
      </c>
      <c r="B1017" s="20" t="str">
        <f>HYPERLINK("https://twitter.com/CarineMaunier","@CarineMaunier")</f>
        <v>@CarineMaunier</v>
      </c>
      <c r="C1017" s="21" t="s">
        <v>2134</v>
      </c>
      <c r="D1017" s="21" t="s">
        <v>1874</v>
      </c>
      <c r="E1017" s="22" t="str">
        <f>HYPERLINK("https://twitter.com/CarineMaunier/status/804772150536179712","804772150536179712")</f>
        <v>804772150536179712</v>
      </c>
      <c r="F1017" s="23" t="s">
        <v>90</v>
      </c>
      <c r="G1017" s="24">
        <v>26.0</v>
      </c>
      <c r="H1017" s="24">
        <v>112.0</v>
      </c>
      <c r="I1017" s="24">
        <v>92.0</v>
      </c>
      <c r="J1017" s="24">
        <v>0.0</v>
      </c>
      <c r="K1017" s="23" t="s">
        <v>27</v>
      </c>
      <c r="L1017" s="25">
        <v>41912.84679398148</v>
      </c>
      <c r="M1017" s="28"/>
      <c r="N1017" s="28"/>
      <c r="O1017" s="22" t="str">
        <f>HYPERLINK("https://pbs.twimg.com/profile_images/694606091313889280/jVE1tZZk_normal.jpg","View")</f>
        <v>View</v>
      </c>
      <c r="P1017" s="27"/>
    </row>
    <row r="1018">
      <c r="A1018" s="19">
        <v>42706.820127314815</v>
      </c>
      <c r="B1018" s="20" t="str">
        <f>HYPERLINK("https://twitter.com/pazgcmara","@pazgcmara")</f>
        <v>@pazgcmara</v>
      </c>
      <c r="C1018" s="21" t="s">
        <v>311</v>
      </c>
      <c r="D1018" s="21" t="s">
        <v>2051</v>
      </c>
      <c r="E1018" s="22" t="str">
        <f>HYPERLINK("https://twitter.com/pazgcmara/status/804772368795181057","804772368795181057")</f>
        <v>804772368795181057</v>
      </c>
      <c r="F1018" s="23" t="s">
        <v>41</v>
      </c>
      <c r="G1018" s="24">
        <v>115.0</v>
      </c>
      <c r="H1018" s="24">
        <v>132.0</v>
      </c>
      <c r="I1018" s="24">
        <v>9.0</v>
      </c>
      <c r="J1018" s="24">
        <v>0.0</v>
      </c>
      <c r="K1018" s="23" t="s">
        <v>27</v>
      </c>
      <c r="L1018" s="25">
        <v>41154.95905092593</v>
      </c>
      <c r="M1018" s="28"/>
      <c r="N1018" s="28"/>
      <c r="O1018" s="22" t="str">
        <f>HYPERLINK("https://pbs.twimg.com/profile_images/774629921771626496/5phwvhV0_normal.jpg","View")</f>
        <v>View</v>
      </c>
      <c r="P1018" s="27"/>
    </row>
    <row r="1019">
      <c r="A1019" s="19">
        <v>42706.82430555555</v>
      </c>
      <c r="B1019" s="20" t="str">
        <f>HYPERLINK("https://twitter.com/FranBrito9","@FranBrito9")</f>
        <v>@FranBrito9</v>
      </c>
      <c r="C1019" s="21" t="s">
        <v>2135</v>
      </c>
      <c r="D1019" s="21" t="s">
        <v>2136</v>
      </c>
      <c r="E1019" s="22" t="str">
        <f>HYPERLINK("https://twitter.com/FranBrito9/status/804773884343898112","804773884343898112")</f>
        <v>804773884343898112</v>
      </c>
      <c r="F1019" s="23" t="s">
        <v>81</v>
      </c>
      <c r="G1019" s="24">
        <v>82.0</v>
      </c>
      <c r="H1019" s="24">
        <v>211.0</v>
      </c>
      <c r="I1019" s="24">
        <v>0.0</v>
      </c>
      <c r="J1019" s="24">
        <v>0.0</v>
      </c>
      <c r="K1019" s="23" t="s">
        <v>27</v>
      </c>
      <c r="L1019" s="25">
        <v>40727.764710648145</v>
      </c>
      <c r="M1019" s="28"/>
      <c r="N1019" s="28"/>
      <c r="O1019" s="22" t="str">
        <f>HYPERLINK("https://pbs.twimg.com/profile_images/427590622875119616/HgOAup-j_normal.jpeg","View")</f>
        <v>View</v>
      </c>
      <c r="P1019" s="27"/>
    </row>
    <row r="1020">
      <c r="A1020" s="19">
        <v>42706.82545138889</v>
      </c>
      <c r="B1020" s="20" t="str">
        <f>HYPERLINK("https://twitter.com/SteveSeg","@SteveSeg")</f>
        <v>@SteveSeg</v>
      </c>
      <c r="C1020" s="21" t="s">
        <v>2137</v>
      </c>
      <c r="D1020" s="21" t="s">
        <v>2009</v>
      </c>
      <c r="E1020" s="22" t="str">
        <f>HYPERLINK("https://twitter.com/SteveSeg/status/804774299928236032","804774299928236032")</f>
        <v>804774299928236032</v>
      </c>
      <c r="F1020" s="23" t="s">
        <v>26</v>
      </c>
      <c r="G1020" s="24">
        <v>998.0</v>
      </c>
      <c r="H1020" s="24">
        <v>463.0</v>
      </c>
      <c r="I1020" s="24">
        <v>3.0</v>
      </c>
      <c r="J1020" s="24">
        <v>0.0</v>
      </c>
      <c r="K1020" s="23" t="s">
        <v>27</v>
      </c>
      <c r="L1020" s="25">
        <v>40258.491111111114</v>
      </c>
      <c r="M1020" s="26" t="s">
        <v>2138</v>
      </c>
      <c r="N1020" s="26" t="s">
        <v>2139</v>
      </c>
      <c r="O1020" s="22" t="str">
        <f>HYPERLINK("https://pbs.twimg.com/profile_images/665918060604342272/rlTnwnCz_normal.jpg","View")</f>
        <v>View</v>
      </c>
      <c r="P1020" s="27"/>
    </row>
    <row r="1021">
      <c r="A1021" s="19">
        <v>42706.83195601852</v>
      </c>
      <c r="B1021" s="20" t="str">
        <f>HYPERLINK("https://twitter.com/CanaryIslandsEN","@CanaryIslandsEN")</f>
        <v>@CanaryIslandsEN</v>
      </c>
      <c r="C1021" s="21" t="s">
        <v>165</v>
      </c>
      <c r="D1021" s="21" t="s">
        <v>2140</v>
      </c>
      <c r="E1021" s="22" t="str">
        <f>HYPERLINK("https://twitter.com/CanaryIslandsEN/status/804776656963567616","804776656963567616")</f>
        <v>804776656963567616</v>
      </c>
      <c r="F1021" s="23" t="s">
        <v>167</v>
      </c>
      <c r="G1021" s="24">
        <v>14287.0</v>
      </c>
      <c r="H1021" s="24">
        <v>1533.0</v>
      </c>
      <c r="I1021" s="24">
        <v>1.0</v>
      </c>
      <c r="J1021" s="24">
        <v>1.0</v>
      </c>
      <c r="K1021" s="23" t="s">
        <v>27</v>
      </c>
      <c r="L1021" s="25">
        <v>41264.365949074076</v>
      </c>
      <c r="M1021" s="26" t="s">
        <v>168</v>
      </c>
      <c r="N1021" s="26" t="s">
        <v>169</v>
      </c>
      <c r="O1021" s="22" t="str">
        <f>HYPERLINK("https://pbs.twimg.com/profile_images/754960714704584704/14dQxsF8_normal.jpg","View")</f>
        <v>View</v>
      </c>
      <c r="P1021" s="27"/>
    </row>
    <row r="1022">
      <c r="A1022" s="19">
        <v>42706.832129629634</v>
      </c>
      <c r="B1022" s="20" t="str">
        <f>HYPERLINK("https://twitter.com/enduriaholidays","@enduriaholidays")</f>
        <v>@enduriaholidays</v>
      </c>
      <c r="C1022" s="21" t="s">
        <v>173</v>
      </c>
      <c r="D1022" s="21" t="s">
        <v>2141</v>
      </c>
      <c r="E1022" s="22" t="str">
        <f>HYPERLINK("https://twitter.com/enduriaholidays/status/804776719412555776","804776719412555776")</f>
        <v>804776719412555776</v>
      </c>
      <c r="F1022" s="23" t="s">
        <v>69</v>
      </c>
      <c r="G1022" s="24">
        <v>319.0</v>
      </c>
      <c r="H1022" s="24">
        <v>313.0</v>
      </c>
      <c r="I1022" s="24">
        <v>0.0</v>
      </c>
      <c r="J1022" s="24">
        <v>0.0</v>
      </c>
      <c r="K1022" s="23" t="s">
        <v>27</v>
      </c>
      <c r="L1022" s="25">
        <v>42489.5252662037</v>
      </c>
      <c r="M1022" s="28"/>
      <c r="N1022" s="28"/>
      <c r="O1022" s="22" t="str">
        <f>HYPERLINK("https://pbs.twimg.com/profile_images/726026649356128258/xCSaP1IW_normal.jpg","View")</f>
        <v>View</v>
      </c>
      <c r="P1022" s="27"/>
    </row>
    <row r="1023">
      <c r="A1023" s="19">
        <v>42706.833773148144</v>
      </c>
      <c r="B1023" s="20" t="str">
        <f>HYPERLINK("https://twitter.com/LesRandosdeCaco","@LesRandosdeCaco")</f>
        <v>@LesRandosdeCaco</v>
      </c>
      <c r="C1023" s="21" t="s">
        <v>186</v>
      </c>
      <c r="D1023" s="21" t="s">
        <v>2142</v>
      </c>
      <c r="E1023" s="22" t="str">
        <f>HYPERLINK("https://twitter.com/LesRandosdeCaco/status/804777312910721024","804777312910721024")</f>
        <v>804777312910721024</v>
      </c>
      <c r="F1023" s="23" t="s">
        <v>41</v>
      </c>
      <c r="G1023" s="24">
        <v>7.0</v>
      </c>
      <c r="H1023" s="24">
        <v>57.0</v>
      </c>
      <c r="I1023" s="24">
        <v>0.0</v>
      </c>
      <c r="J1023" s="24">
        <v>2.0</v>
      </c>
      <c r="K1023" s="23" t="s">
        <v>27</v>
      </c>
      <c r="L1023" s="25">
        <v>41643.68407407407</v>
      </c>
      <c r="M1023" s="26" t="s">
        <v>188</v>
      </c>
      <c r="N1023" s="26" t="s">
        <v>189</v>
      </c>
      <c r="O1023" s="22" t="str">
        <f>HYPERLINK("https://pbs.twimg.com/profile_images/802073872866705408/wMHnHYch_normal.jpg","View")</f>
        <v>View</v>
      </c>
      <c r="P1023" s="27"/>
    </row>
    <row r="1024">
      <c r="A1024" s="19">
        <v>42706.835011574076</v>
      </c>
      <c r="B1024" s="20" t="str">
        <f>HYPERLINK("https://twitter.com/clubyachting","@clubyachting")</f>
        <v>@clubyachting</v>
      </c>
      <c r="C1024" s="21" t="s">
        <v>2143</v>
      </c>
      <c r="D1024" s="21" t="s">
        <v>2144</v>
      </c>
      <c r="E1024" s="22" t="str">
        <f>HYPERLINK("https://twitter.com/clubyachting/status/804777764893167621","804777764893167621")</f>
        <v>804777764893167621</v>
      </c>
      <c r="F1024" s="23" t="s">
        <v>1074</v>
      </c>
      <c r="G1024" s="24">
        <v>4161.0</v>
      </c>
      <c r="H1024" s="24">
        <v>3126.0</v>
      </c>
      <c r="I1024" s="24">
        <v>1.0</v>
      </c>
      <c r="J1024" s="24">
        <v>0.0</v>
      </c>
      <c r="K1024" s="23" t="s">
        <v>27</v>
      </c>
      <c r="L1024" s="25">
        <v>40321.70211805555</v>
      </c>
      <c r="M1024" s="26" t="s">
        <v>2145</v>
      </c>
      <c r="N1024" s="26" t="s">
        <v>2146</v>
      </c>
      <c r="O1024" s="22" t="str">
        <f>HYPERLINK("https://pbs.twimg.com/profile_images/1129626844/8788SquareLogo_2.5cm_normal.jpg","View")</f>
        <v>View</v>
      </c>
      <c r="P1024" s="27"/>
    </row>
    <row r="1025">
      <c r="A1025" s="19">
        <v>42706.840833333335</v>
      </c>
      <c r="B1025" s="20" t="str">
        <f>HYPERLINK("https://twitter.com/ropi86","@ropi86")</f>
        <v>@ropi86</v>
      </c>
      <c r="C1025" s="21" t="s">
        <v>2147</v>
      </c>
      <c r="D1025" s="21" t="s">
        <v>1874</v>
      </c>
      <c r="E1025" s="22" t="str">
        <f>HYPERLINK("https://twitter.com/ropi86/status/804779873541570560","804779873541570560")</f>
        <v>804779873541570560</v>
      </c>
      <c r="F1025" s="23" t="s">
        <v>41</v>
      </c>
      <c r="G1025" s="24">
        <v>101.0</v>
      </c>
      <c r="H1025" s="24">
        <v>43.0</v>
      </c>
      <c r="I1025" s="24">
        <v>92.0</v>
      </c>
      <c r="J1025" s="24">
        <v>0.0</v>
      </c>
      <c r="K1025" s="23" t="s">
        <v>27</v>
      </c>
      <c r="L1025" s="25">
        <v>40760.00114583333</v>
      </c>
      <c r="M1025" s="26" t="s">
        <v>2148</v>
      </c>
      <c r="N1025" s="28"/>
      <c r="O1025" s="22" t="str">
        <f>HYPERLINK("https://pbs.twimg.com/profile_images/805182384878612481/ZEnK6mVo_normal.jpg","View")</f>
        <v>View</v>
      </c>
      <c r="P1025" s="27"/>
    </row>
    <row r="1026">
      <c r="A1026" s="19">
        <v>42706.85563657407</v>
      </c>
      <c r="B1026" s="20" t="str">
        <f>HYPERLINK("https://twitter.com/swisshop4uEs","@swisshop4uEs")</f>
        <v>@swisshop4uEs</v>
      </c>
      <c r="C1026" s="21" t="s">
        <v>48</v>
      </c>
      <c r="D1026" s="21" t="s">
        <v>2149</v>
      </c>
      <c r="E1026" s="22" t="str">
        <f>HYPERLINK("https://twitter.com/swisshop4uEs/status/804785237150601217","804785237150601217")</f>
        <v>804785237150601217</v>
      </c>
      <c r="F1026" s="23" t="s">
        <v>50</v>
      </c>
      <c r="G1026" s="24">
        <v>455.0</v>
      </c>
      <c r="H1026" s="24">
        <v>424.0</v>
      </c>
      <c r="I1026" s="24">
        <v>0.0</v>
      </c>
      <c r="J1026" s="24">
        <v>0.0</v>
      </c>
      <c r="K1026" s="23" t="s">
        <v>27</v>
      </c>
      <c r="L1026" s="25">
        <v>41468.93072916666</v>
      </c>
      <c r="M1026" s="26" t="s">
        <v>51</v>
      </c>
      <c r="N1026" s="26" t="s">
        <v>52</v>
      </c>
      <c r="O1026" s="22" t="str">
        <f>HYPERLINK("https://pbs.twimg.com/profile_images/378800000213382003/4f562b59f92995b884d2d440f71fc5ce_normal.png","View")</f>
        <v>View</v>
      </c>
      <c r="P1026" s="27"/>
    </row>
    <row r="1027">
      <c r="A1027" s="19">
        <v>42706.86525462963</v>
      </c>
      <c r="B1027" s="20" t="str">
        <f>HYPERLINK("https://twitter.com/rawbirds","@rawbirds")</f>
        <v>@rawbirds</v>
      </c>
      <c r="C1027" s="32" t="s">
        <v>2150</v>
      </c>
      <c r="D1027" s="21" t="s">
        <v>2151</v>
      </c>
      <c r="E1027" s="22" t="str">
        <f>HYPERLINK("https://twitter.com/rawbirds/status/804788723217006593","804788723217006593")</f>
        <v>804788723217006593</v>
      </c>
      <c r="F1027" s="23" t="s">
        <v>26</v>
      </c>
      <c r="G1027" s="24">
        <v>132.0</v>
      </c>
      <c r="H1027" s="24">
        <v>142.0</v>
      </c>
      <c r="I1027" s="24">
        <v>1.0</v>
      </c>
      <c r="J1027" s="24">
        <v>0.0</v>
      </c>
      <c r="K1027" s="23" t="s">
        <v>27</v>
      </c>
      <c r="L1027" s="25">
        <v>41137.823125</v>
      </c>
      <c r="M1027" s="26" t="s">
        <v>2152</v>
      </c>
      <c r="N1027" s="26" t="s">
        <v>2153</v>
      </c>
      <c r="O1027" s="22" t="str">
        <f>HYPERLINK("https://pbs.twimg.com/profile_images/780122634772250624/a4hzkndO_normal.jpg","View")</f>
        <v>View</v>
      </c>
      <c r="P1027" s="27"/>
    </row>
    <row r="1028">
      <c r="A1028" s="19">
        <v>42706.86672453704</v>
      </c>
      <c r="B1028" s="20" t="str">
        <f>HYPERLINK("https://twitter.com/BlogDeviaje","@BlogDeviaje")</f>
        <v>@BlogDeviaje</v>
      </c>
      <c r="C1028" s="21" t="s">
        <v>2154</v>
      </c>
      <c r="D1028" s="21" t="s">
        <v>2155</v>
      </c>
      <c r="E1028" s="22" t="str">
        <f>HYPERLINK("https://twitter.com/BlogDeviaje/status/804789257126678528","804789257126678528")</f>
        <v>804789257126678528</v>
      </c>
      <c r="F1028" s="23" t="s">
        <v>37</v>
      </c>
      <c r="G1028" s="24">
        <v>31.0</v>
      </c>
      <c r="H1028" s="24">
        <v>283.0</v>
      </c>
      <c r="I1028" s="24">
        <v>0.0</v>
      </c>
      <c r="J1028" s="24">
        <v>0.0</v>
      </c>
      <c r="K1028" s="23" t="s">
        <v>27</v>
      </c>
      <c r="L1028" s="25">
        <v>42678.81925925926</v>
      </c>
      <c r="M1028" s="26" t="s">
        <v>991</v>
      </c>
      <c r="N1028" s="26" t="s">
        <v>2156</v>
      </c>
      <c r="O1028" s="22" t="str">
        <f>HYPERLINK("https://pbs.twimg.com/profile_images/797394731005251584/H9fz3MfB_normal.jpg","View")</f>
        <v>View</v>
      </c>
      <c r="P1028" s="27"/>
    </row>
    <row r="1029">
      <c r="A1029" s="19">
        <v>42706.86892361111</v>
      </c>
      <c r="B1029" s="20" t="str">
        <f>HYPERLINK("https://twitter.com/MyGolfWay","@MyGolfWay")</f>
        <v>@MyGolfWay</v>
      </c>
      <c r="C1029" s="21" t="s">
        <v>2157</v>
      </c>
      <c r="D1029" s="21" t="s">
        <v>1855</v>
      </c>
      <c r="E1029" s="22" t="str">
        <f>HYPERLINK("https://twitter.com/MyGolfWay/status/804790054459768833","804790054459768833")</f>
        <v>804790054459768833</v>
      </c>
      <c r="F1029" s="23" t="s">
        <v>37</v>
      </c>
      <c r="G1029" s="24">
        <v>2577.0</v>
      </c>
      <c r="H1029" s="24">
        <v>2383.0</v>
      </c>
      <c r="I1029" s="24">
        <v>7.0</v>
      </c>
      <c r="J1029" s="24">
        <v>0.0</v>
      </c>
      <c r="K1029" s="23" t="s">
        <v>27</v>
      </c>
      <c r="L1029" s="25">
        <v>40973.39832175926</v>
      </c>
      <c r="M1029" s="26" t="s">
        <v>65</v>
      </c>
      <c r="N1029" s="26" t="s">
        <v>2158</v>
      </c>
      <c r="O1029" s="22" t="str">
        <f>HYPERLINK("https://pbs.twimg.com/profile_images/1874262108/mgw_new_normal.png","View")</f>
        <v>View</v>
      </c>
      <c r="P1029" s="27"/>
    </row>
    <row r="1030">
      <c r="A1030" s="19">
        <v>42706.87216435185</v>
      </c>
      <c r="B1030" s="20" t="str">
        <f>HYPERLINK("https://twitter.com/TheBrandAnalyst","@TheBrandAnalyst")</f>
        <v>@TheBrandAnalyst</v>
      </c>
      <c r="C1030" s="21" t="s">
        <v>1397</v>
      </c>
      <c r="D1030" s="21" t="s">
        <v>2159</v>
      </c>
      <c r="E1030" s="22" t="str">
        <f>HYPERLINK("https://twitter.com/TheBrandAnalyst/status/804791229024235524","804791229024235524")</f>
        <v>804791229024235524</v>
      </c>
      <c r="F1030" s="23" t="s">
        <v>41</v>
      </c>
      <c r="G1030" s="24">
        <v>2335.0</v>
      </c>
      <c r="H1030" s="24">
        <v>2147.0</v>
      </c>
      <c r="I1030" s="24">
        <v>1.0</v>
      </c>
      <c r="J1030" s="24">
        <v>0.0</v>
      </c>
      <c r="K1030" s="23" t="s">
        <v>27</v>
      </c>
      <c r="L1030" s="25">
        <v>40984.89209490741</v>
      </c>
      <c r="M1030" s="26" t="s">
        <v>1172</v>
      </c>
      <c r="N1030" s="26" t="s">
        <v>1399</v>
      </c>
      <c r="O1030" s="22" t="str">
        <f>HYPERLINK("https://pbs.twimg.com/profile_images/657095542678396928/AMTcv_N8_normal.jpg","View")</f>
        <v>View</v>
      </c>
      <c r="P1030" s="27"/>
    </row>
    <row r="1031">
      <c r="A1031" s="19">
        <v>42706.87552083333</v>
      </c>
      <c r="B1031" s="20" t="str">
        <f>HYPERLINK("https://twitter.com/bermaxo09","@bermaxo09")</f>
        <v>@bermaxo09</v>
      </c>
      <c r="C1031" s="21" t="s">
        <v>284</v>
      </c>
      <c r="D1031" s="21" t="s">
        <v>2160</v>
      </c>
      <c r="E1031" s="22" t="str">
        <f>HYPERLINK("https://twitter.com/bermaxo09/status/804792445531787264","804792445531787264")</f>
        <v>804792445531787264</v>
      </c>
      <c r="F1031" s="23" t="s">
        <v>37</v>
      </c>
      <c r="G1031" s="24">
        <v>193.0</v>
      </c>
      <c r="H1031" s="24">
        <v>196.0</v>
      </c>
      <c r="I1031" s="24">
        <v>3.0</v>
      </c>
      <c r="J1031" s="24">
        <v>9.0</v>
      </c>
      <c r="K1031" s="23" t="s">
        <v>27</v>
      </c>
      <c r="L1031" s="25">
        <v>42689.441516203704</v>
      </c>
      <c r="M1031" s="26" t="s">
        <v>109</v>
      </c>
      <c r="N1031" s="26" t="s">
        <v>286</v>
      </c>
      <c r="O1031" s="22" t="str">
        <f>HYPERLINK("https://pbs.twimg.com/profile_images/798476790478073856/iOD0HIRa_normal.jpg","View")</f>
        <v>View</v>
      </c>
      <c r="P1031" s="27"/>
    </row>
    <row r="1032">
      <c r="A1032" s="19">
        <v>42706.87768518519</v>
      </c>
      <c r="B1032" s="20" t="str">
        <f>HYPERLINK("https://twitter.com/Manta_Diving","@Manta_Diving")</f>
        <v>@Manta_Diving</v>
      </c>
      <c r="C1032" s="21" t="s">
        <v>972</v>
      </c>
      <c r="D1032" s="21" t="s">
        <v>2161</v>
      </c>
      <c r="E1032" s="22" t="str">
        <f>HYPERLINK("https://twitter.com/Manta_Diving/status/804793226553131008","804793226553131008")</f>
        <v>804793226553131008</v>
      </c>
      <c r="F1032" s="23" t="s">
        <v>59</v>
      </c>
      <c r="G1032" s="24">
        <v>558.0</v>
      </c>
      <c r="H1032" s="24">
        <v>471.0</v>
      </c>
      <c r="I1032" s="24">
        <v>0.0</v>
      </c>
      <c r="J1032" s="24">
        <v>0.0</v>
      </c>
      <c r="K1032" s="23" t="s">
        <v>27</v>
      </c>
      <c r="L1032" s="25">
        <v>40496.57896990741</v>
      </c>
      <c r="M1032" s="26" t="s">
        <v>974</v>
      </c>
      <c r="N1032" s="26" t="s">
        <v>975</v>
      </c>
      <c r="O1032" s="22" t="str">
        <f>HYPERLINK("https://pbs.twimg.com/profile_images/608258224861683713/3tZDEUxD_normal.jpg","View")</f>
        <v>View</v>
      </c>
      <c r="P1032" s="27"/>
    </row>
    <row r="1033">
      <c r="A1033" s="19">
        <v>42706.880844907406</v>
      </c>
      <c r="B1033" s="20" t="str">
        <f t="shared" ref="B1033:B1035" si="107">HYPERLINK("https://twitter.com/bermaxo09","@bermaxo09")</f>
        <v>@bermaxo09</v>
      </c>
      <c r="C1033" s="21" t="s">
        <v>284</v>
      </c>
      <c r="D1033" s="21" t="s">
        <v>2162</v>
      </c>
      <c r="E1033" s="22" t="str">
        <f>HYPERLINK("https://twitter.com/bermaxo09/status/804794374580305924","804794374580305924")</f>
        <v>804794374580305924</v>
      </c>
      <c r="F1033" s="23" t="s">
        <v>37</v>
      </c>
      <c r="G1033" s="24">
        <v>193.0</v>
      </c>
      <c r="H1033" s="24">
        <v>196.0</v>
      </c>
      <c r="I1033" s="24">
        <v>0.0</v>
      </c>
      <c r="J1033" s="24">
        <v>1.0</v>
      </c>
      <c r="K1033" s="23" t="s">
        <v>27</v>
      </c>
      <c r="L1033" s="25">
        <v>42689.441516203704</v>
      </c>
      <c r="M1033" s="26" t="s">
        <v>109</v>
      </c>
      <c r="N1033" s="26" t="s">
        <v>286</v>
      </c>
      <c r="O1033" s="22" t="str">
        <f t="shared" ref="O1033:O1035" si="108">HYPERLINK("https://pbs.twimg.com/profile_images/798476790478073856/iOD0HIRa_normal.jpg","View")</f>
        <v>View</v>
      </c>
      <c r="P1033" s="27"/>
    </row>
    <row r="1034">
      <c r="A1034" s="19">
        <v>42706.88239583334</v>
      </c>
      <c r="B1034" s="20" t="str">
        <f t="shared" si="107"/>
        <v>@bermaxo09</v>
      </c>
      <c r="C1034" s="21" t="s">
        <v>284</v>
      </c>
      <c r="D1034" s="21" t="s">
        <v>2163</v>
      </c>
      <c r="E1034" s="22" t="str">
        <f>HYPERLINK("https://twitter.com/bermaxo09/status/804794936860307456","804794936860307456")</f>
        <v>804794936860307456</v>
      </c>
      <c r="F1034" s="23" t="s">
        <v>37</v>
      </c>
      <c r="G1034" s="24">
        <v>193.0</v>
      </c>
      <c r="H1034" s="24">
        <v>196.0</v>
      </c>
      <c r="I1034" s="24">
        <v>0.0</v>
      </c>
      <c r="J1034" s="24">
        <v>2.0</v>
      </c>
      <c r="K1034" s="23" t="s">
        <v>27</v>
      </c>
      <c r="L1034" s="25">
        <v>42689.441516203704</v>
      </c>
      <c r="M1034" s="26" t="s">
        <v>109</v>
      </c>
      <c r="N1034" s="26" t="s">
        <v>286</v>
      </c>
      <c r="O1034" s="22" t="str">
        <f t="shared" si="108"/>
        <v>View</v>
      </c>
      <c r="P1034" s="27"/>
    </row>
    <row r="1035">
      <c r="A1035" s="19">
        <v>42706.88366898148</v>
      </c>
      <c r="B1035" s="20" t="str">
        <f t="shared" si="107"/>
        <v>@bermaxo09</v>
      </c>
      <c r="C1035" s="21" t="s">
        <v>284</v>
      </c>
      <c r="D1035" s="21" t="s">
        <v>2164</v>
      </c>
      <c r="E1035" s="22" t="str">
        <f>HYPERLINK("https://twitter.com/bermaxo09/status/804795397633900546","804795397633900546")</f>
        <v>804795397633900546</v>
      </c>
      <c r="F1035" s="23" t="s">
        <v>37</v>
      </c>
      <c r="G1035" s="24">
        <v>193.0</v>
      </c>
      <c r="H1035" s="24">
        <v>196.0</v>
      </c>
      <c r="I1035" s="24">
        <v>0.0</v>
      </c>
      <c r="J1035" s="24">
        <v>2.0</v>
      </c>
      <c r="K1035" s="23" t="s">
        <v>27</v>
      </c>
      <c r="L1035" s="25">
        <v>42689.441516203704</v>
      </c>
      <c r="M1035" s="26" t="s">
        <v>109</v>
      </c>
      <c r="N1035" s="26" t="s">
        <v>286</v>
      </c>
      <c r="O1035" s="22" t="str">
        <f t="shared" si="108"/>
        <v>View</v>
      </c>
      <c r="P1035" s="27"/>
    </row>
    <row r="1036">
      <c r="A1036" s="19">
        <v>42706.891909722224</v>
      </c>
      <c r="B1036" s="20" t="str">
        <f>HYPERLINK("https://twitter.com/lisiteasa","@lisiteasa")</f>
        <v>@lisiteasa</v>
      </c>
      <c r="C1036" s="21" t="s">
        <v>1352</v>
      </c>
      <c r="D1036" s="21" t="s">
        <v>2165</v>
      </c>
      <c r="E1036" s="22" t="str">
        <f>HYPERLINK("https://twitter.com/lisiteasa/status/804798380568440832","804798380568440832")</f>
        <v>804798380568440832</v>
      </c>
      <c r="F1036" s="23" t="s">
        <v>41</v>
      </c>
      <c r="G1036" s="24">
        <v>101.0</v>
      </c>
      <c r="H1036" s="24">
        <v>56.0</v>
      </c>
      <c r="I1036" s="24">
        <v>3.0</v>
      </c>
      <c r="J1036" s="24">
        <v>0.0</v>
      </c>
      <c r="K1036" s="23" t="s">
        <v>27</v>
      </c>
      <c r="L1036" s="25">
        <v>40581.884108796294</v>
      </c>
      <c r="M1036" s="26" t="s">
        <v>372</v>
      </c>
      <c r="N1036" s="28"/>
      <c r="O1036" s="22" t="str">
        <f>HYPERLINK("https://pbs.twimg.com/profile_images/453186198161608705/-GokHl9z_normal.jpeg","View")</f>
        <v>View</v>
      </c>
      <c r="P1036" s="27"/>
    </row>
    <row r="1037">
      <c r="A1037" s="19">
        <v>42706.89409722222</v>
      </c>
      <c r="B1037" s="20" t="str">
        <f>HYPERLINK("https://twitter.com/de1969","@de1969")</f>
        <v>@de1969</v>
      </c>
      <c r="C1037" s="21" t="s">
        <v>701</v>
      </c>
      <c r="D1037" s="21" t="s">
        <v>2165</v>
      </c>
      <c r="E1037" s="22" t="str">
        <f>HYPERLINK("https://twitter.com/de1969/status/804799175078645762","804799175078645762")</f>
        <v>804799175078645762</v>
      </c>
      <c r="F1037" s="23" t="s">
        <v>37</v>
      </c>
      <c r="G1037" s="24">
        <v>5161.0</v>
      </c>
      <c r="H1037" s="24">
        <v>5644.0</v>
      </c>
      <c r="I1037" s="24">
        <v>3.0</v>
      </c>
      <c r="J1037" s="24">
        <v>0.0</v>
      </c>
      <c r="K1037" s="23" t="s">
        <v>27</v>
      </c>
      <c r="L1037" s="25">
        <v>40283.409687499996</v>
      </c>
      <c r="M1037" s="26" t="s">
        <v>282</v>
      </c>
      <c r="N1037" s="26" t="s">
        <v>703</v>
      </c>
      <c r="O1037" s="22" t="str">
        <f>HYPERLINK("https://pbs.twimg.com/profile_images/1617162796/S4010009_normal.JPG","View")</f>
        <v>View</v>
      </c>
      <c r="P1037" s="27"/>
    </row>
    <row r="1038">
      <c r="A1038" s="19">
        <v>42706.89534722222</v>
      </c>
      <c r="B1038" s="20" t="str">
        <f>HYPERLINK("https://twitter.com/Isa_twin","@Isa_twin")</f>
        <v>@Isa_twin</v>
      </c>
      <c r="C1038" s="21" t="s">
        <v>2166</v>
      </c>
      <c r="D1038" s="21" t="s">
        <v>1874</v>
      </c>
      <c r="E1038" s="22" t="str">
        <f>HYPERLINK("https://twitter.com/Isa_twin/status/804799628411568128","804799628411568128")</f>
        <v>804799628411568128</v>
      </c>
      <c r="F1038" s="23" t="s">
        <v>26</v>
      </c>
      <c r="G1038" s="24">
        <v>1512.0</v>
      </c>
      <c r="H1038" s="24">
        <v>614.0</v>
      </c>
      <c r="I1038" s="24">
        <v>92.0</v>
      </c>
      <c r="J1038" s="24">
        <v>0.0</v>
      </c>
      <c r="K1038" s="23" t="s">
        <v>27</v>
      </c>
      <c r="L1038" s="25">
        <v>41070.93355324074</v>
      </c>
      <c r="M1038" s="26" t="s">
        <v>109</v>
      </c>
      <c r="N1038" s="26" t="s">
        <v>2167</v>
      </c>
      <c r="O1038" s="22" t="str">
        <f>HYPERLINK("https://pbs.twimg.com/profile_images/663763771911970816/iGscWaEn_normal.jpg","View")</f>
        <v>View</v>
      </c>
      <c r="P1038" s="27"/>
    </row>
    <row r="1039">
      <c r="A1039" s="19">
        <v>42706.895636574074</v>
      </c>
      <c r="B1039" s="20" t="str">
        <f>HYPERLINK("https://twitter.com/bermaxo09","@bermaxo09")</f>
        <v>@bermaxo09</v>
      </c>
      <c r="C1039" s="21" t="s">
        <v>284</v>
      </c>
      <c r="D1039" s="21" t="s">
        <v>2168</v>
      </c>
      <c r="E1039" s="22" t="str">
        <f>HYPERLINK("https://twitter.com/bermaxo09/status/804799731834691584","804799731834691584")</f>
        <v>804799731834691584</v>
      </c>
      <c r="F1039" s="23" t="s">
        <v>37</v>
      </c>
      <c r="G1039" s="24">
        <v>193.0</v>
      </c>
      <c r="H1039" s="24">
        <v>196.0</v>
      </c>
      <c r="I1039" s="24">
        <v>0.0</v>
      </c>
      <c r="J1039" s="24">
        <v>1.0</v>
      </c>
      <c r="K1039" s="23" t="s">
        <v>27</v>
      </c>
      <c r="L1039" s="25">
        <v>42689.441516203704</v>
      </c>
      <c r="M1039" s="26" t="s">
        <v>109</v>
      </c>
      <c r="N1039" s="26" t="s">
        <v>286</v>
      </c>
      <c r="O1039" s="22" t="str">
        <f>HYPERLINK("https://pbs.twimg.com/profile_images/798476790478073856/iOD0HIRa_normal.jpg","View")</f>
        <v>View</v>
      </c>
      <c r="P1039" s="27"/>
    </row>
    <row r="1040">
      <c r="A1040" s="19">
        <v>42706.89776620371</v>
      </c>
      <c r="B1040" s="20" t="str">
        <f>HYPERLINK("https://twitter.com/chicharrero7","@chicharrero7")</f>
        <v>@chicharrero7</v>
      </c>
      <c r="C1040" s="21" t="s">
        <v>2169</v>
      </c>
      <c r="D1040" s="21" t="s">
        <v>2165</v>
      </c>
      <c r="E1040" s="22" t="str">
        <f>HYPERLINK("https://twitter.com/chicharrero7/status/804800505956405248","804800505956405248")</f>
        <v>804800505956405248</v>
      </c>
      <c r="F1040" s="23" t="s">
        <v>37</v>
      </c>
      <c r="G1040" s="24">
        <v>170.0</v>
      </c>
      <c r="H1040" s="24">
        <v>177.0</v>
      </c>
      <c r="I1040" s="24">
        <v>3.0</v>
      </c>
      <c r="J1040" s="24">
        <v>0.0</v>
      </c>
      <c r="K1040" s="23" t="s">
        <v>27</v>
      </c>
      <c r="L1040" s="25">
        <v>42702.721875</v>
      </c>
      <c r="M1040" s="26" t="s">
        <v>991</v>
      </c>
      <c r="N1040" s="26" t="s">
        <v>2170</v>
      </c>
      <c r="O1040" s="22" t="str">
        <f>HYPERLINK("https://pbs.twimg.com/profile_images/805404560512741376/B0bX6e_L_normal.jpg","View")</f>
        <v>View</v>
      </c>
      <c r="P1040" s="27"/>
    </row>
    <row r="1041">
      <c r="A1041" s="19">
        <v>42706.90267361111</v>
      </c>
      <c r="B1041" s="20" t="str">
        <f>HYPERLINK("https://twitter.com/bermaxo09","@bermaxo09")</f>
        <v>@bermaxo09</v>
      </c>
      <c r="C1041" s="21" t="s">
        <v>284</v>
      </c>
      <c r="D1041" s="21" t="s">
        <v>2171</v>
      </c>
      <c r="E1041" s="22" t="str">
        <f>HYPERLINK("https://twitter.com/bermaxo09/status/804802284001562624","804802284001562624")</f>
        <v>804802284001562624</v>
      </c>
      <c r="F1041" s="23" t="s">
        <v>37</v>
      </c>
      <c r="G1041" s="24">
        <v>193.0</v>
      </c>
      <c r="H1041" s="24">
        <v>196.0</v>
      </c>
      <c r="I1041" s="24">
        <v>1.0</v>
      </c>
      <c r="J1041" s="24">
        <v>3.0</v>
      </c>
      <c r="K1041" s="23" t="s">
        <v>27</v>
      </c>
      <c r="L1041" s="25">
        <v>42689.441516203704</v>
      </c>
      <c r="M1041" s="26" t="s">
        <v>109</v>
      </c>
      <c r="N1041" s="26" t="s">
        <v>286</v>
      </c>
      <c r="O1041" s="22" t="str">
        <f>HYPERLINK("https://pbs.twimg.com/profile_images/798476790478073856/iOD0HIRa_normal.jpg","View")</f>
        <v>View</v>
      </c>
      <c r="P1041" s="27"/>
    </row>
    <row r="1042">
      <c r="A1042" s="19">
        <v>42706.90325231482</v>
      </c>
      <c r="B1042" s="20" t="str">
        <f>HYPERLINK("https://twitter.com/RODRIGORRC72","@RODRIGORRC72")</f>
        <v>@RODRIGORRC72</v>
      </c>
      <c r="C1042" s="21" t="s">
        <v>2172</v>
      </c>
      <c r="D1042" s="21" t="s">
        <v>1874</v>
      </c>
      <c r="E1042" s="22" t="str">
        <f>HYPERLINK("https://twitter.com/RODRIGORRC72/status/804802492915740676","804802492915740676")</f>
        <v>804802492915740676</v>
      </c>
      <c r="F1042" s="23" t="s">
        <v>26</v>
      </c>
      <c r="G1042" s="24">
        <v>654.0</v>
      </c>
      <c r="H1042" s="24">
        <v>2177.0</v>
      </c>
      <c r="I1042" s="24">
        <v>92.0</v>
      </c>
      <c r="J1042" s="24">
        <v>0.0</v>
      </c>
      <c r="K1042" s="23" t="s">
        <v>27</v>
      </c>
      <c r="L1042" s="25">
        <v>41028.88946759259</v>
      </c>
      <c r="M1042" s="28"/>
      <c r="N1042" s="26" t="s">
        <v>2173</v>
      </c>
      <c r="O1042" s="22" t="str">
        <f>HYPERLINK("https://pbs.twimg.com/profile_images/568139896838434816/icSCzYwJ_normal.jpeg","View")</f>
        <v>View</v>
      </c>
      <c r="P1042" s="27"/>
    </row>
    <row r="1043">
      <c r="A1043" s="19">
        <v>42706.90881944445</v>
      </c>
      <c r="B1043" s="20" t="str">
        <f>HYPERLINK("https://twitter.com/islaspromo","@islaspromo")</f>
        <v>@islaspromo</v>
      </c>
      <c r="C1043" s="21" t="s">
        <v>215</v>
      </c>
      <c r="D1043" s="21" t="s">
        <v>1332</v>
      </c>
      <c r="E1043" s="22" t="str">
        <f>HYPERLINK("https://twitter.com/islaspromo/status/804804510535348226","804804510535348226")</f>
        <v>804804510535348226</v>
      </c>
      <c r="F1043" s="23" t="s">
        <v>41</v>
      </c>
      <c r="G1043" s="24">
        <v>785.0</v>
      </c>
      <c r="H1043" s="24">
        <v>591.0</v>
      </c>
      <c r="I1043" s="24">
        <v>12.0</v>
      </c>
      <c r="J1043" s="24">
        <v>0.0</v>
      </c>
      <c r="K1043" s="23" t="s">
        <v>27</v>
      </c>
      <c r="L1043" s="25">
        <v>42060.74221064815</v>
      </c>
      <c r="M1043" s="26" t="s">
        <v>51</v>
      </c>
      <c r="N1043" s="26" t="s">
        <v>216</v>
      </c>
      <c r="O1043" s="22" t="str">
        <f>HYPERLINK("https://pbs.twimg.com/profile_images/570644453866483712/dvbC2x8W_normal.jpeg","View")</f>
        <v>View</v>
      </c>
      <c r="P1043" s="27"/>
    </row>
    <row r="1044">
      <c r="A1044" s="19">
        <v>42706.91064814814</v>
      </c>
      <c r="B1044" s="20" t="str">
        <f>HYPERLINK("https://twitter.com/snookie66","@snookie66")</f>
        <v>@snookie66</v>
      </c>
      <c r="C1044" s="21" t="s">
        <v>1572</v>
      </c>
      <c r="D1044" s="21" t="s">
        <v>2174</v>
      </c>
      <c r="E1044" s="22" t="str">
        <f>HYPERLINK("https://twitter.com/snookie66/status/804805172014829570","804805172014829570")</f>
        <v>804805172014829570</v>
      </c>
      <c r="F1044" s="23" t="s">
        <v>41</v>
      </c>
      <c r="G1044" s="24">
        <v>33.0</v>
      </c>
      <c r="H1044" s="24">
        <v>62.0</v>
      </c>
      <c r="I1044" s="24">
        <v>1.0</v>
      </c>
      <c r="J1044" s="24">
        <v>0.0</v>
      </c>
      <c r="K1044" s="23" t="s">
        <v>27</v>
      </c>
      <c r="L1044" s="25">
        <v>40753.74880787037</v>
      </c>
      <c r="M1044" s="28"/>
      <c r="N1044" s="28"/>
      <c r="O1044" s="22" t="str">
        <f>HYPERLINK("https://abs.twimg.com/sticky/default_profile_images/default_profile_5_normal.png","View")</f>
        <v>View</v>
      </c>
      <c r="P1044" s="27"/>
    </row>
    <row r="1045">
      <c r="A1045" s="19">
        <v>42706.91134259259</v>
      </c>
      <c r="B1045" s="20" t="str">
        <f>HYPERLINK("https://twitter.com/bermaxo09","@bermaxo09")</f>
        <v>@bermaxo09</v>
      </c>
      <c r="C1045" s="21" t="s">
        <v>284</v>
      </c>
      <c r="D1045" s="21" t="s">
        <v>2175</v>
      </c>
      <c r="E1045" s="22" t="str">
        <f>HYPERLINK("https://twitter.com/bermaxo09/status/804805426336370688","804805426336370688")</f>
        <v>804805426336370688</v>
      </c>
      <c r="F1045" s="23" t="s">
        <v>37</v>
      </c>
      <c r="G1045" s="24">
        <v>193.0</v>
      </c>
      <c r="H1045" s="24">
        <v>196.0</v>
      </c>
      <c r="I1045" s="24">
        <v>0.0</v>
      </c>
      <c r="J1045" s="24">
        <v>2.0</v>
      </c>
      <c r="K1045" s="23" t="s">
        <v>27</v>
      </c>
      <c r="L1045" s="25">
        <v>42689.441516203704</v>
      </c>
      <c r="M1045" s="26" t="s">
        <v>109</v>
      </c>
      <c r="N1045" s="26" t="s">
        <v>286</v>
      </c>
      <c r="O1045" s="22" t="str">
        <f>HYPERLINK("https://pbs.twimg.com/profile_images/798476790478073856/iOD0HIRa_normal.jpg","View")</f>
        <v>View</v>
      </c>
      <c r="P1045" s="27"/>
    </row>
    <row r="1046">
      <c r="A1046" s="19">
        <v>42706.91700231482</v>
      </c>
      <c r="B1046" s="20" t="str">
        <f>HYPERLINK("https://twitter.com/dekim32","@dekim32")</f>
        <v>@dekim32</v>
      </c>
      <c r="C1046" s="21" t="s">
        <v>2176</v>
      </c>
      <c r="D1046" s="21" t="s">
        <v>1874</v>
      </c>
      <c r="E1046" s="22" t="str">
        <f>HYPERLINK("https://twitter.com/dekim32/status/804807474339610625","804807474339610625")</f>
        <v>804807474339610625</v>
      </c>
      <c r="F1046" s="23" t="s">
        <v>90</v>
      </c>
      <c r="G1046" s="24">
        <v>41.0</v>
      </c>
      <c r="H1046" s="24">
        <v>120.0</v>
      </c>
      <c r="I1046" s="24">
        <v>92.0</v>
      </c>
      <c r="J1046" s="24">
        <v>0.0</v>
      </c>
      <c r="K1046" s="23" t="s">
        <v>27</v>
      </c>
      <c r="L1046" s="25">
        <v>39965.491875</v>
      </c>
      <c r="M1046" s="26" t="s">
        <v>2177</v>
      </c>
      <c r="N1046" s="28"/>
      <c r="O1046" s="22" t="str">
        <f>HYPERLINK("https://pbs.twimg.com/profile_images/1240424908/Head_Mike_2_normal.jpg","View")</f>
        <v>View</v>
      </c>
      <c r="P1046" s="27"/>
    </row>
    <row r="1047">
      <c r="A1047" s="19">
        <v>42706.919224537036</v>
      </c>
      <c r="B1047" s="20" t="str">
        <f>HYPERLINK("https://twitter.com/swisshop4uEs","@swisshop4uEs")</f>
        <v>@swisshop4uEs</v>
      </c>
      <c r="C1047" s="21" t="s">
        <v>48</v>
      </c>
      <c r="D1047" s="21" t="s">
        <v>2178</v>
      </c>
      <c r="E1047" s="22" t="str">
        <f>HYPERLINK("https://twitter.com/swisshop4uEs/status/804808281671798784","804808281671798784")</f>
        <v>804808281671798784</v>
      </c>
      <c r="F1047" s="23" t="s">
        <v>50</v>
      </c>
      <c r="G1047" s="24">
        <v>455.0</v>
      </c>
      <c r="H1047" s="24">
        <v>424.0</v>
      </c>
      <c r="I1047" s="24">
        <v>0.0</v>
      </c>
      <c r="J1047" s="24">
        <v>0.0</v>
      </c>
      <c r="K1047" s="23" t="s">
        <v>27</v>
      </c>
      <c r="L1047" s="25">
        <v>41468.93072916666</v>
      </c>
      <c r="M1047" s="26" t="s">
        <v>51</v>
      </c>
      <c r="N1047" s="26" t="s">
        <v>52</v>
      </c>
      <c r="O1047" s="22" t="str">
        <f>HYPERLINK("https://pbs.twimg.com/profile_images/378800000213382003/4f562b59f92995b884d2d440f71fc5ce_normal.png","View")</f>
        <v>View</v>
      </c>
      <c r="P1047" s="27"/>
    </row>
    <row r="1048">
      <c r="A1048" s="19">
        <v>42706.92140046296</v>
      </c>
      <c r="B1048" s="20" t="str">
        <f>HYPERLINK("https://twitter.com/Airamlvarez","@Airamlvarez")</f>
        <v>@Airamlvarez</v>
      </c>
      <c r="C1048" s="21" t="s">
        <v>2179</v>
      </c>
      <c r="D1048" s="21" t="s">
        <v>2180</v>
      </c>
      <c r="E1048" s="22" t="str">
        <f>HYPERLINK("https://twitter.com/Airamlvarez/status/804809070242885637","804809070242885637")</f>
        <v>804809070242885637</v>
      </c>
      <c r="F1048" s="23" t="s">
        <v>41</v>
      </c>
      <c r="G1048" s="24">
        <v>191.0</v>
      </c>
      <c r="H1048" s="24">
        <v>100.0</v>
      </c>
      <c r="I1048" s="24">
        <v>1.0</v>
      </c>
      <c r="J1048" s="24">
        <v>1.0</v>
      </c>
      <c r="K1048" s="23" t="s">
        <v>27</v>
      </c>
      <c r="L1048" s="25">
        <v>40844.72157407407</v>
      </c>
      <c r="M1048" s="26" t="s">
        <v>65</v>
      </c>
      <c r="N1048" s="26" t="s">
        <v>2181</v>
      </c>
      <c r="O1048" s="22" t="str">
        <f>HYPERLINK("https://pbs.twimg.com/profile_images/709045437307756544/ubpJyUhs_normal.jpg","View")</f>
        <v>View</v>
      </c>
      <c r="P1048" s="27"/>
    </row>
    <row r="1049">
      <c r="A1049" s="19">
        <v>42706.92270833333</v>
      </c>
      <c r="B1049" s="20" t="str">
        <f>HYPERLINK("https://twitter.com/AviadorEA","@AviadorEA")</f>
        <v>@AviadorEA</v>
      </c>
      <c r="C1049" s="21" t="s">
        <v>2182</v>
      </c>
      <c r="D1049" s="21" t="s">
        <v>1874</v>
      </c>
      <c r="E1049" s="22" t="str">
        <f>HYPERLINK("https://twitter.com/AviadorEA/status/804809543653978116","804809543653978116")</f>
        <v>804809543653978116</v>
      </c>
      <c r="F1049" s="23" t="s">
        <v>26</v>
      </c>
      <c r="G1049" s="24">
        <v>507.0</v>
      </c>
      <c r="H1049" s="24">
        <v>456.0</v>
      </c>
      <c r="I1049" s="24">
        <v>92.0</v>
      </c>
      <c r="J1049" s="24">
        <v>0.0</v>
      </c>
      <c r="K1049" s="23" t="s">
        <v>27</v>
      </c>
      <c r="L1049" s="25">
        <v>41273.64625</v>
      </c>
      <c r="M1049" s="26" t="s">
        <v>65</v>
      </c>
      <c r="N1049" s="26" t="s">
        <v>2183</v>
      </c>
      <c r="O1049" s="22" t="str">
        <f>HYPERLINK("https://pbs.twimg.com/profile_images/3042664289/04037c6454a656b90571af31056040f9_normal.jpeg","View")</f>
        <v>View</v>
      </c>
      <c r="P1049" s="27"/>
    </row>
    <row r="1050">
      <c r="A1050" s="19">
        <v>42706.923368055555</v>
      </c>
      <c r="B1050" s="20" t="str">
        <f>HYPERLINK("https://twitter.com/PaulaYamiley","@PaulaYamiley")</f>
        <v>@PaulaYamiley</v>
      </c>
      <c r="C1050" s="21" t="s">
        <v>2184</v>
      </c>
      <c r="D1050" s="21" t="s">
        <v>2185</v>
      </c>
      <c r="E1050" s="22" t="str">
        <f>HYPERLINK("https://twitter.com/PaulaYamiley/status/804809782347624448","804809782347624448")</f>
        <v>804809782347624448</v>
      </c>
      <c r="F1050" s="23" t="s">
        <v>41</v>
      </c>
      <c r="G1050" s="24">
        <v>349.0</v>
      </c>
      <c r="H1050" s="24">
        <v>206.0</v>
      </c>
      <c r="I1050" s="24">
        <v>1.0</v>
      </c>
      <c r="J1050" s="24">
        <v>0.0</v>
      </c>
      <c r="K1050" s="23" t="s">
        <v>27</v>
      </c>
      <c r="L1050" s="25">
        <v>40972.69296296296</v>
      </c>
      <c r="M1050" s="26" t="s">
        <v>65</v>
      </c>
      <c r="N1050" s="26" t="s">
        <v>2186</v>
      </c>
      <c r="O1050" s="22" t="str">
        <f>HYPERLINK("https://pbs.twimg.com/profile_images/766745270193426432/-pqAF1F4_normal.jpg","View")</f>
        <v>View</v>
      </c>
      <c r="P1050" s="27"/>
    </row>
    <row r="1051">
      <c r="A1051" s="19">
        <v>42706.92402777778</v>
      </c>
      <c r="B1051" s="20" t="str">
        <f>HYPERLINK("https://twitter.com/javier_e_br","@javier_e_br")</f>
        <v>@javier_e_br</v>
      </c>
      <c r="C1051" s="21" t="s">
        <v>334</v>
      </c>
      <c r="D1051" s="21" t="s">
        <v>2065</v>
      </c>
      <c r="E1051" s="22" t="str">
        <f>HYPERLINK("https://twitter.com/javier_e_br/status/804810019988500480","804810019988500480")</f>
        <v>804810019988500480</v>
      </c>
      <c r="F1051" s="23" t="s">
        <v>37</v>
      </c>
      <c r="G1051" s="24">
        <v>23398.0</v>
      </c>
      <c r="H1051" s="24">
        <v>19910.0</v>
      </c>
      <c r="I1051" s="24">
        <v>11.0</v>
      </c>
      <c r="J1051" s="24">
        <v>0.0</v>
      </c>
      <c r="K1051" s="23" t="s">
        <v>27</v>
      </c>
      <c r="L1051" s="25">
        <v>41214.94907407407</v>
      </c>
      <c r="M1051" s="26" t="s">
        <v>335</v>
      </c>
      <c r="N1051" s="26" t="s">
        <v>336</v>
      </c>
      <c r="O1051" s="22" t="str">
        <f>HYPERLINK("https://pbs.twimg.com/profile_images/782870651996692480/6jjashki_normal.jpg","View")</f>
        <v>View</v>
      </c>
      <c r="P1051" s="27"/>
    </row>
    <row r="1052">
      <c r="A1052" s="19">
        <v>42706.93300925926</v>
      </c>
      <c r="B1052" s="20" t="str">
        <f>HYPERLINK("https://twitter.com/fourthjude","@fourthjude")</f>
        <v>@fourthjude</v>
      </c>
      <c r="C1052" s="21" t="s">
        <v>2187</v>
      </c>
      <c r="D1052" s="21" t="s">
        <v>1874</v>
      </c>
      <c r="E1052" s="22" t="str">
        <f>HYPERLINK("https://twitter.com/fourthjude/status/804813275959529472","804813275959529472")</f>
        <v>804813275959529472</v>
      </c>
      <c r="F1052" s="23" t="s">
        <v>41</v>
      </c>
      <c r="G1052" s="24">
        <v>64.0</v>
      </c>
      <c r="H1052" s="24">
        <v>89.0</v>
      </c>
      <c r="I1052" s="24">
        <v>92.0</v>
      </c>
      <c r="J1052" s="24">
        <v>0.0</v>
      </c>
      <c r="K1052" s="23" t="s">
        <v>27</v>
      </c>
      <c r="L1052" s="25">
        <v>41422.66853009259</v>
      </c>
      <c r="M1052" s="26" t="s">
        <v>463</v>
      </c>
      <c r="N1052" s="26" t="s">
        <v>2188</v>
      </c>
      <c r="O1052" s="22" t="str">
        <f>HYPERLINK("https://pbs.twimg.com/profile_images/795818164600836100/nz_f2Xj1_normal.jpg","View")</f>
        <v>View</v>
      </c>
      <c r="P1052" s="27"/>
    </row>
    <row r="1053">
      <c r="A1053" s="19">
        <v>42706.93585648148</v>
      </c>
      <c r="B1053" s="20" t="str">
        <f>HYPERLINK("https://twitter.com/hoimetliske","@hoimetliske")</f>
        <v>@hoimetliske</v>
      </c>
      <c r="C1053" s="21" t="s">
        <v>2189</v>
      </c>
      <c r="D1053" s="21" t="s">
        <v>2190</v>
      </c>
      <c r="E1053" s="22" t="str">
        <f>HYPERLINK("https://twitter.com/hoimetliske/status/804814308177809409","804814308177809409")</f>
        <v>804814308177809409</v>
      </c>
      <c r="F1053" s="23" t="s">
        <v>81</v>
      </c>
      <c r="G1053" s="24">
        <v>513.0</v>
      </c>
      <c r="H1053" s="24">
        <v>292.0</v>
      </c>
      <c r="I1053" s="24">
        <v>1.0</v>
      </c>
      <c r="J1053" s="24">
        <v>0.0</v>
      </c>
      <c r="K1053" s="23" t="s">
        <v>27</v>
      </c>
      <c r="L1053" s="25">
        <v>39990.47878472222</v>
      </c>
      <c r="M1053" s="26" t="s">
        <v>2191</v>
      </c>
      <c r="N1053" s="26" t="s">
        <v>2192</v>
      </c>
      <c r="O1053" s="22" t="str">
        <f>HYPERLINK("https://pbs.twimg.com/profile_images/773126432612610048/7YHoNnKM_normal.jpg","View")</f>
        <v>View</v>
      </c>
      <c r="P1053" s="27"/>
    </row>
    <row r="1054">
      <c r="A1054" s="19">
        <v>42706.93681712963</v>
      </c>
      <c r="B1054" s="20" t="str">
        <f>HYPERLINK("https://twitter.com/LesRandosdeCaco","@LesRandosdeCaco")</f>
        <v>@LesRandosdeCaco</v>
      </c>
      <c r="C1054" s="21" t="s">
        <v>186</v>
      </c>
      <c r="D1054" s="21" t="s">
        <v>2193</v>
      </c>
      <c r="E1054" s="22" t="str">
        <f>HYPERLINK("https://twitter.com/LesRandosdeCaco/status/804814657366200320","804814657366200320")</f>
        <v>804814657366200320</v>
      </c>
      <c r="F1054" s="23" t="s">
        <v>41</v>
      </c>
      <c r="G1054" s="24">
        <v>7.0</v>
      </c>
      <c r="H1054" s="24">
        <v>57.0</v>
      </c>
      <c r="I1054" s="24">
        <v>0.0</v>
      </c>
      <c r="J1054" s="24">
        <v>0.0</v>
      </c>
      <c r="K1054" s="23" t="s">
        <v>27</v>
      </c>
      <c r="L1054" s="25">
        <v>41643.68407407407</v>
      </c>
      <c r="M1054" s="26" t="s">
        <v>188</v>
      </c>
      <c r="N1054" s="26" t="s">
        <v>189</v>
      </c>
      <c r="O1054" s="22" t="str">
        <f>HYPERLINK("https://pbs.twimg.com/profile_images/802073872866705408/wMHnHYch_normal.jpg","View")</f>
        <v>View</v>
      </c>
      <c r="P1054" s="27"/>
    </row>
    <row r="1055">
      <c r="A1055" s="19">
        <v>42706.93814814815</v>
      </c>
      <c r="B1055" s="20" t="str">
        <f>HYPERLINK("https://twitter.com/churchatworknl","@churchatworknl")</f>
        <v>@churchatworknl</v>
      </c>
      <c r="C1055" s="21" t="s">
        <v>2194</v>
      </c>
      <c r="D1055" s="21" t="s">
        <v>2195</v>
      </c>
      <c r="E1055" s="22" t="str">
        <f>HYPERLINK("https://twitter.com/churchatworknl/status/804815140210221057","804815140210221057")</f>
        <v>804815140210221057</v>
      </c>
      <c r="F1055" s="23" t="s">
        <v>1074</v>
      </c>
      <c r="G1055" s="24">
        <v>1166.0</v>
      </c>
      <c r="H1055" s="24">
        <v>434.0</v>
      </c>
      <c r="I1055" s="24">
        <v>1.0</v>
      </c>
      <c r="J1055" s="24">
        <v>0.0</v>
      </c>
      <c r="K1055" s="23" t="s">
        <v>27</v>
      </c>
      <c r="L1055" s="25">
        <v>41747.66991898148</v>
      </c>
      <c r="M1055" s="26" t="s">
        <v>2196</v>
      </c>
      <c r="N1055" s="26" t="s">
        <v>2197</v>
      </c>
      <c r="O1055" s="22" t="str">
        <f>HYPERLINK("https://pbs.twimg.com/profile_images/457174004868980736/psegl2Bm_normal.png","View")</f>
        <v>View</v>
      </c>
      <c r="P1055" s="27"/>
    </row>
    <row r="1056">
      <c r="A1056" s="19">
        <v>42706.94331018519</v>
      </c>
      <c r="B1056" s="20" t="str">
        <f>HYPERLINK("https://twitter.com/xufospace","@xufospace")</f>
        <v>@xufospace</v>
      </c>
      <c r="C1056" s="21" t="s">
        <v>2198</v>
      </c>
      <c r="D1056" s="21" t="s">
        <v>2199</v>
      </c>
      <c r="E1056" s="22" t="str">
        <f>HYPERLINK("https://twitter.com/xufospace/status/804817009372491776","804817009372491776")</f>
        <v>804817009372491776</v>
      </c>
      <c r="F1056" s="23" t="s">
        <v>37</v>
      </c>
      <c r="G1056" s="24">
        <v>104.0</v>
      </c>
      <c r="H1056" s="24">
        <v>266.0</v>
      </c>
      <c r="I1056" s="24">
        <v>0.0</v>
      </c>
      <c r="J1056" s="24">
        <v>0.0</v>
      </c>
      <c r="K1056" s="23" t="s">
        <v>27</v>
      </c>
      <c r="L1056" s="25">
        <v>41039.46952546296</v>
      </c>
      <c r="M1056" s="28"/>
      <c r="N1056" s="26" t="s">
        <v>2200</v>
      </c>
      <c r="O1056" s="22" t="str">
        <f>HYPERLINK("https://pbs.twimg.com/profile_images/764568767942844417/blg88kk0_normal.jpg","View")</f>
        <v>View</v>
      </c>
      <c r="P1056" s="27"/>
    </row>
    <row r="1057">
      <c r="A1057" s="19">
        <v>42706.94371527778</v>
      </c>
      <c r="B1057" s="20" t="str">
        <f>HYPERLINK("https://twitter.com/JulioAl18175505","@JulioAl18175505")</f>
        <v>@JulioAl18175505</v>
      </c>
      <c r="C1057" s="21" t="s">
        <v>248</v>
      </c>
      <c r="D1057" s="21" t="s">
        <v>2065</v>
      </c>
      <c r="E1057" s="22" t="str">
        <f>HYPERLINK("https://twitter.com/JulioAl18175505/status/804817157573984261","804817157573984261")</f>
        <v>804817157573984261</v>
      </c>
      <c r="F1057" s="23" t="s">
        <v>41</v>
      </c>
      <c r="G1057" s="24">
        <v>3883.0</v>
      </c>
      <c r="H1057" s="24">
        <v>3761.0</v>
      </c>
      <c r="I1057" s="24">
        <v>11.0</v>
      </c>
      <c r="J1057" s="24">
        <v>0.0</v>
      </c>
      <c r="K1057" s="23" t="s">
        <v>27</v>
      </c>
      <c r="L1057" s="25">
        <v>41713.45993055555</v>
      </c>
      <c r="M1057" s="26" t="s">
        <v>250</v>
      </c>
      <c r="N1057" s="26" t="s">
        <v>251</v>
      </c>
      <c r="O1057" s="22" t="str">
        <f>HYPERLINK("https://pbs.twimg.com/profile_images/706839494851436544/7igsf91D_normal.jpg","View")</f>
        <v>View</v>
      </c>
      <c r="P1057" s="27"/>
    </row>
    <row r="1058">
      <c r="A1058" s="19">
        <v>42706.953877314816</v>
      </c>
      <c r="B1058" s="20" t="str">
        <f>HYPERLINK("https://twitter.com/aClilToClimb","@aClilToClimb")</f>
        <v>@aClilToClimb</v>
      </c>
      <c r="C1058" s="21" t="s">
        <v>2201</v>
      </c>
      <c r="D1058" s="21" t="s">
        <v>2202</v>
      </c>
      <c r="E1058" s="22" t="str">
        <f>HYPERLINK("https://twitter.com/aClilToClimb/status/804820838805569536","804820838805569536")</f>
        <v>804820838805569536</v>
      </c>
      <c r="F1058" s="23" t="s">
        <v>37</v>
      </c>
      <c r="G1058" s="24">
        <v>3562.0</v>
      </c>
      <c r="H1058" s="24">
        <v>2374.0</v>
      </c>
      <c r="I1058" s="24">
        <v>0.0</v>
      </c>
      <c r="J1058" s="24">
        <v>0.0</v>
      </c>
      <c r="K1058" s="23" t="s">
        <v>27</v>
      </c>
      <c r="L1058" s="25">
        <v>40077.96445601852</v>
      </c>
      <c r="M1058" s="26" t="s">
        <v>2203</v>
      </c>
      <c r="N1058" s="26" t="s">
        <v>2204</v>
      </c>
      <c r="O1058" s="22" t="str">
        <f>HYPERLINK("https://pbs.twimg.com/profile_images/501473384681578496/DUT-NmBS_normal.jpeg","View")</f>
        <v>View</v>
      </c>
      <c r="P1058" s="27"/>
    </row>
    <row r="1059">
      <c r="A1059" s="19">
        <v>42706.958750000005</v>
      </c>
      <c r="B1059" s="20" t="str">
        <f t="shared" ref="B1059:B1060" si="109">HYPERLINK("https://twitter.com/javicelard","@javicelard")</f>
        <v>@javicelard</v>
      </c>
      <c r="C1059" s="21" t="s">
        <v>2205</v>
      </c>
      <c r="D1059" s="21" t="s">
        <v>2206</v>
      </c>
      <c r="E1059" s="22" t="str">
        <f>HYPERLINK("https://twitter.com/javicelard/status/804822602652884992","804822602652884992")</f>
        <v>804822602652884992</v>
      </c>
      <c r="F1059" s="23" t="s">
        <v>81</v>
      </c>
      <c r="G1059" s="24">
        <v>421.0</v>
      </c>
      <c r="H1059" s="24">
        <v>82.0</v>
      </c>
      <c r="I1059" s="24">
        <v>0.0</v>
      </c>
      <c r="J1059" s="24">
        <v>0.0</v>
      </c>
      <c r="K1059" s="23" t="s">
        <v>27</v>
      </c>
      <c r="L1059" s="25">
        <v>39977.998136574075</v>
      </c>
      <c r="M1059" s="26" t="s">
        <v>2207</v>
      </c>
      <c r="N1059" s="26" t="s">
        <v>2208</v>
      </c>
      <c r="O1059" s="22" t="str">
        <f t="shared" ref="O1059:O1060" si="110">HYPERLINK("https://pbs.twimg.com/profile_images/1377811605/Kh853uky_normal","View")</f>
        <v>View</v>
      </c>
      <c r="P1059" s="27" t="str">
        <f t="shared" ref="P1059:P1060" si="111">HYPERLINK("https://ctrlq.org/maps/address/#28.3833,-16.55","Map")</f>
        <v>#ERROR!</v>
      </c>
    </row>
    <row r="1060">
      <c r="A1060" s="19">
        <v>42706.95997685185</v>
      </c>
      <c r="B1060" s="20" t="str">
        <f t="shared" si="109"/>
        <v>@javicelard</v>
      </c>
      <c r="C1060" s="21" t="s">
        <v>2205</v>
      </c>
      <c r="D1060" s="21" t="s">
        <v>2209</v>
      </c>
      <c r="E1060" s="22" t="str">
        <f>HYPERLINK("https://twitter.com/javicelard/status/804823047597268993","804823047597268993")</f>
        <v>804823047597268993</v>
      </c>
      <c r="F1060" s="23" t="s">
        <v>81</v>
      </c>
      <c r="G1060" s="24">
        <v>421.0</v>
      </c>
      <c r="H1060" s="24">
        <v>82.0</v>
      </c>
      <c r="I1060" s="24">
        <v>0.0</v>
      </c>
      <c r="J1060" s="24">
        <v>0.0</v>
      </c>
      <c r="K1060" s="23" t="s">
        <v>27</v>
      </c>
      <c r="L1060" s="25">
        <v>39977.998136574075</v>
      </c>
      <c r="M1060" s="26" t="s">
        <v>2207</v>
      </c>
      <c r="N1060" s="26" t="s">
        <v>2208</v>
      </c>
      <c r="O1060" s="22" t="str">
        <f t="shared" si="110"/>
        <v>View</v>
      </c>
      <c r="P1060" s="27" t="str">
        <f t="shared" si="111"/>
        <v>#ERROR!</v>
      </c>
    </row>
    <row r="1061">
      <c r="A1061" s="19">
        <v>42706.98023148148</v>
      </c>
      <c r="B1061" s="20" t="str">
        <f>HYPERLINK("https://twitter.com/JulioAl18175505","@JulioAl18175505")</f>
        <v>@JulioAl18175505</v>
      </c>
      <c r="C1061" s="21" t="s">
        <v>248</v>
      </c>
      <c r="D1061" s="21" t="s">
        <v>2051</v>
      </c>
      <c r="E1061" s="22" t="str">
        <f>HYPERLINK("https://twitter.com/JulioAl18175505/status/804830387797192704","804830387797192704")</f>
        <v>804830387797192704</v>
      </c>
      <c r="F1061" s="23" t="s">
        <v>41</v>
      </c>
      <c r="G1061" s="24">
        <v>3883.0</v>
      </c>
      <c r="H1061" s="24">
        <v>3761.0</v>
      </c>
      <c r="I1061" s="24">
        <v>9.0</v>
      </c>
      <c r="J1061" s="24">
        <v>0.0</v>
      </c>
      <c r="K1061" s="23" t="s">
        <v>27</v>
      </c>
      <c r="L1061" s="25">
        <v>41713.45993055555</v>
      </c>
      <c r="M1061" s="26" t="s">
        <v>250</v>
      </c>
      <c r="N1061" s="26" t="s">
        <v>251</v>
      </c>
      <c r="O1061" s="22" t="str">
        <f>HYPERLINK("https://pbs.twimg.com/profile_images/706839494851436544/7igsf91D_normal.jpg","View")</f>
        <v>View</v>
      </c>
      <c r="P1061" s="27"/>
    </row>
    <row r="1062">
      <c r="A1062" s="19">
        <v>42706.98025462963</v>
      </c>
      <c r="B1062" s="20" t="str">
        <f t="shared" ref="B1062:B1063" si="112">HYPERLINK("https://twitter.com/swisshop4uEs","@swisshop4uEs")</f>
        <v>@swisshop4uEs</v>
      </c>
      <c r="C1062" s="21" t="s">
        <v>48</v>
      </c>
      <c r="D1062" s="21" t="s">
        <v>2210</v>
      </c>
      <c r="E1062" s="22" t="str">
        <f>HYPERLINK("https://twitter.com/swisshop4uEs/status/804830395921534981","804830395921534981")</f>
        <v>804830395921534981</v>
      </c>
      <c r="F1062" s="23" t="s">
        <v>50</v>
      </c>
      <c r="G1062" s="24">
        <v>455.0</v>
      </c>
      <c r="H1062" s="24">
        <v>424.0</v>
      </c>
      <c r="I1062" s="24">
        <v>0.0</v>
      </c>
      <c r="J1062" s="24">
        <v>0.0</v>
      </c>
      <c r="K1062" s="23" t="s">
        <v>27</v>
      </c>
      <c r="L1062" s="25">
        <v>41468.93072916666</v>
      </c>
      <c r="M1062" s="26" t="s">
        <v>51</v>
      </c>
      <c r="N1062" s="26" t="s">
        <v>52</v>
      </c>
      <c r="O1062" s="22" t="str">
        <f t="shared" ref="O1062:O1063" si="113">HYPERLINK("https://pbs.twimg.com/profile_images/378800000213382003/4f562b59f92995b884d2d440f71fc5ce_normal.png","View")</f>
        <v>View</v>
      </c>
      <c r="P1062" s="27"/>
    </row>
    <row r="1063">
      <c r="A1063" s="19">
        <v>42706.98025462963</v>
      </c>
      <c r="B1063" s="20" t="str">
        <f t="shared" si="112"/>
        <v>@swisshop4uEs</v>
      </c>
      <c r="C1063" s="21" t="s">
        <v>48</v>
      </c>
      <c r="D1063" s="21" t="s">
        <v>2211</v>
      </c>
      <c r="E1063" s="22" t="str">
        <f>HYPERLINK("https://twitter.com/swisshop4uEs/status/804830396018003969","804830396018003969")</f>
        <v>804830396018003969</v>
      </c>
      <c r="F1063" s="23" t="s">
        <v>50</v>
      </c>
      <c r="G1063" s="24">
        <v>455.0</v>
      </c>
      <c r="H1063" s="24">
        <v>424.0</v>
      </c>
      <c r="I1063" s="24">
        <v>0.0</v>
      </c>
      <c r="J1063" s="24">
        <v>0.0</v>
      </c>
      <c r="K1063" s="23" t="s">
        <v>27</v>
      </c>
      <c r="L1063" s="25">
        <v>41468.93072916666</v>
      </c>
      <c r="M1063" s="26" t="s">
        <v>51</v>
      </c>
      <c r="N1063" s="26" t="s">
        <v>52</v>
      </c>
      <c r="O1063" s="22" t="str">
        <f t="shared" si="113"/>
        <v>View</v>
      </c>
      <c r="P1063" s="27"/>
    </row>
    <row r="1064">
      <c r="A1064" s="19">
        <v>42706.988807870366</v>
      </c>
      <c r="B1064" s="20" t="str">
        <f>HYPERLINK("https://twitter.com/amordivino20131","@amordivino20131")</f>
        <v>@amordivino20131</v>
      </c>
      <c r="C1064" s="21" t="s">
        <v>2212</v>
      </c>
      <c r="D1064" s="21" t="s">
        <v>1533</v>
      </c>
      <c r="E1064" s="22" t="str">
        <f>HYPERLINK("https://twitter.com/amordivino20131/status/804833499333197824","804833499333197824")</f>
        <v>804833499333197824</v>
      </c>
      <c r="F1064" s="23" t="s">
        <v>41</v>
      </c>
      <c r="G1064" s="24">
        <v>10125.0</v>
      </c>
      <c r="H1064" s="24">
        <v>8500.0</v>
      </c>
      <c r="I1064" s="24">
        <v>10.0</v>
      </c>
      <c r="J1064" s="24">
        <v>0.0</v>
      </c>
      <c r="K1064" s="23" t="s">
        <v>27</v>
      </c>
      <c r="L1064" s="25">
        <v>41796.72261574074</v>
      </c>
      <c r="M1064" s="26" t="s">
        <v>65</v>
      </c>
      <c r="N1064" s="26" t="s">
        <v>749</v>
      </c>
      <c r="O1064" s="22" t="str">
        <f>HYPERLINK("https://pbs.twimg.com/profile_images/793434901961990145/ELxis0pD_normal.jpg","View")</f>
        <v>View</v>
      </c>
      <c r="P1064" s="27"/>
    </row>
    <row r="1065">
      <c r="A1065" s="19">
        <v>42706.99072916667</v>
      </c>
      <c r="B1065" s="20" t="str">
        <f>HYPERLINK("https://twitter.com/collectingsmile","@collectingsmile")</f>
        <v>@collectingsmile</v>
      </c>
      <c r="C1065" s="21" t="s">
        <v>84</v>
      </c>
      <c r="D1065" s="21" t="s">
        <v>2213</v>
      </c>
      <c r="E1065" s="22" t="str">
        <f>HYPERLINK("https://twitter.com/collectingsmile/status/804834193188470785","804834193188470785")</f>
        <v>804834193188470785</v>
      </c>
      <c r="F1065" s="23" t="s">
        <v>41</v>
      </c>
      <c r="G1065" s="24">
        <v>1085.0</v>
      </c>
      <c r="H1065" s="24">
        <v>2425.0</v>
      </c>
      <c r="I1065" s="24">
        <v>0.0</v>
      </c>
      <c r="J1065" s="24">
        <v>2.0</v>
      </c>
      <c r="K1065" s="23" t="s">
        <v>27</v>
      </c>
      <c r="L1065" s="25">
        <v>39981.71326388889</v>
      </c>
      <c r="M1065" s="26" t="s">
        <v>86</v>
      </c>
      <c r="N1065" s="26" t="s">
        <v>87</v>
      </c>
      <c r="O1065" s="22" t="str">
        <f>HYPERLINK("https://pbs.twimg.com/profile_images/267232211/me_normal.jpg","View")</f>
        <v>View</v>
      </c>
      <c r="P1065" s="27"/>
    </row>
    <row r="1066">
      <c r="A1066" s="19">
        <v>42707.011354166665</v>
      </c>
      <c r="B1066" s="20" t="str">
        <f>HYPERLINK("https://twitter.com/FlavoursandFros","@FlavoursandFros")</f>
        <v>@FlavoursandFros</v>
      </c>
      <c r="C1066" s="21" t="s">
        <v>764</v>
      </c>
      <c r="D1066" s="21" t="s">
        <v>2214</v>
      </c>
      <c r="E1066" s="22" t="str">
        <f>HYPERLINK("https://twitter.com/FlavoursandFros/status/804841666876149760","804841666876149760")</f>
        <v>804841666876149760</v>
      </c>
      <c r="F1066" s="23" t="s">
        <v>50</v>
      </c>
      <c r="G1066" s="24">
        <v>10396.0</v>
      </c>
      <c r="H1066" s="24">
        <v>7642.0</v>
      </c>
      <c r="I1066" s="24">
        <v>0.0</v>
      </c>
      <c r="J1066" s="24">
        <v>1.0</v>
      </c>
      <c r="K1066" s="23" t="s">
        <v>27</v>
      </c>
      <c r="L1066" s="25">
        <v>41395.61443287037</v>
      </c>
      <c r="M1066" s="26" t="s">
        <v>305</v>
      </c>
      <c r="N1066" s="26" t="s">
        <v>766</v>
      </c>
      <c r="O1066" s="22" t="str">
        <f>HYPERLINK("https://pbs.twimg.com/profile_images/661504929606057984/Q5xrk4Oc_normal.jpg","View")</f>
        <v>View</v>
      </c>
      <c r="P1066" s="27"/>
    </row>
    <row r="1067">
      <c r="A1067" s="19">
        <v>42707.01190972222</v>
      </c>
      <c r="B1067" s="20" t="str">
        <f>HYPERLINK("https://twitter.com/openroadb4me","@openroadb4me")</f>
        <v>@openroadb4me</v>
      </c>
      <c r="C1067" s="21" t="s">
        <v>2215</v>
      </c>
      <c r="D1067" s="21" t="s">
        <v>2216</v>
      </c>
      <c r="E1067" s="22" t="str">
        <f>HYPERLINK("https://twitter.com/openroadb4me/status/804841869020495873","804841869020495873")</f>
        <v>804841869020495873</v>
      </c>
      <c r="F1067" s="23" t="s">
        <v>37</v>
      </c>
      <c r="G1067" s="24">
        <v>2818.0</v>
      </c>
      <c r="H1067" s="24">
        <v>1992.0</v>
      </c>
      <c r="I1067" s="24">
        <v>0.0</v>
      </c>
      <c r="J1067" s="24">
        <v>0.0</v>
      </c>
      <c r="K1067" s="23" t="s">
        <v>27</v>
      </c>
      <c r="L1067" s="25">
        <v>40240.085011574076</v>
      </c>
      <c r="M1067" s="26" t="s">
        <v>2217</v>
      </c>
      <c r="N1067" s="26" t="s">
        <v>2218</v>
      </c>
      <c r="O1067" s="22" t="str">
        <f>HYPERLINK("https://pbs.twimg.com/profile_images/378800000698264593/ca953daa44f64dc712d62b32b85c370c_normal.jpeg","View")</f>
        <v>View</v>
      </c>
      <c r="P1067" s="27"/>
    </row>
    <row r="1068">
      <c r="A1068" s="19">
        <v>42707.01675925926</v>
      </c>
      <c r="B1068" s="20" t="str">
        <f>HYPERLINK("https://twitter.com/Happine74837357","@Happine74837357")</f>
        <v>@Happine74837357</v>
      </c>
      <c r="C1068" s="21" t="s">
        <v>2219</v>
      </c>
      <c r="D1068" s="21" t="s">
        <v>1533</v>
      </c>
      <c r="E1068" s="22" t="str">
        <f>HYPERLINK("https://twitter.com/Happine74837357/status/804843624840175616","804843624840175616")</f>
        <v>804843624840175616</v>
      </c>
      <c r="F1068" s="23" t="s">
        <v>41</v>
      </c>
      <c r="G1068" s="24">
        <v>3293.0</v>
      </c>
      <c r="H1068" s="24">
        <v>3080.0</v>
      </c>
      <c r="I1068" s="24">
        <v>10.0</v>
      </c>
      <c r="J1068" s="24">
        <v>0.0</v>
      </c>
      <c r="K1068" s="23" t="s">
        <v>27</v>
      </c>
      <c r="L1068" s="25">
        <v>42634.694861111115</v>
      </c>
      <c r="M1068" s="26" t="s">
        <v>65</v>
      </c>
      <c r="N1068" s="28"/>
      <c r="O1068" s="22" t="str">
        <f>HYPERLINK("https://pbs.twimg.com/profile_images/792909319062847490/HpfrVSN7_normal.jpg","View")</f>
        <v>View</v>
      </c>
      <c r="P1068" s="27"/>
    </row>
    <row r="1069">
      <c r="A1069" s="19">
        <v>42707.06178240741</v>
      </c>
      <c r="B1069" s="20" t="str">
        <f>HYPERLINK("https://twitter.com/BritSchoolGC","@BritSchoolGC")</f>
        <v>@BritSchoolGC</v>
      </c>
      <c r="C1069" s="21" t="s">
        <v>1259</v>
      </c>
      <c r="D1069" s="21" t="s">
        <v>2220</v>
      </c>
      <c r="E1069" s="22" t="str">
        <f>HYPERLINK("https://twitter.com/BritSchoolGC/status/804859943451066368","804859943451066368")</f>
        <v>804859943451066368</v>
      </c>
      <c r="F1069" s="23" t="s">
        <v>167</v>
      </c>
      <c r="G1069" s="24">
        <v>99.0</v>
      </c>
      <c r="H1069" s="24">
        <v>150.0</v>
      </c>
      <c r="I1069" s="24">
        <v>0.0</v>
      </c>
      <c r="J1069" s="24">
        <v>0.0</v>
      </c>
      <c r="K1069" s="23" t="s">
        <v>27</v>
      </c>
      <c r="L1069" s="25">
        <v>42538.46364583333</v>
      </c>
      <c r="M1069" s="26" t="s">
        <v>332</v>
      </c>
      <c r="N1069" s="26" t="s">
        <v>1260</v>
      </c>
      <c r="O1069" s="22" t="str">
        <f>HYPERLINK("https://pbs.twimg.com/profile_images/743747412934549504/0IyF4J14_normal.jpg","View")</f>
        <v>View</v>
      </c>
      <c r="P1069" s="27"/>
    </row>
    <row r="1070">
      <c r="A1070" s="19">
        <v>42707.07190972222</v>
      </c>
      <c r="B1070" s="20" t="str">
        <f>HYPERLINK("https://twitter.com/SyDGlobal147","@SyDGlobal147")</f>
        <v>@SyDGlobal147</v>
      </c>
      <c r="C1070" s="21" t="s">
        <v>2221</v>
      </c>
      <c r="D1070" s="21" t="s">
        <v>1874</v>
      </c>
      <c r="E1070" s="22" t="str">
        <f>HYPERLINK("https://twitter.com/SyDGlobal147/status/804863614423285760","804863614423285760")</f>
        <v>804863614423285760</v>
      </c>
      <c r="F1070" s="23" t="s">
        <v>37</v>
      </c>
      <c r="G1070" s="24">
        <v>0.0</v>
      </c>
      <c r="H1070" s="24">
        <v>0.0</v>
      </c>
      <c r="I1070" s="24">
        <v>92.0</v>
      </c>
      <c r="J1070" s="24">
        <v>0.0</v>
      </c>
      <c r="K1070" s="23" t="s">
        <v>27</v>
      </c>
      <c r="L1070" s="25">
        <v>42687.96505787037</v>
      </c>
      <c r="M1070" s="28"/>
      <c r="N1070" s="28"/>
      <c r="O1070" s="22" t="str">
        <f>HYPERLINK("https://pbs.twimg.com/profile_images/797944562132123648/YWm21lJB_normal.jpg","View")</f>
        <v>View</v>
      </c>
      <c r="P1070" s="27"/>
    </row>
    <row r="1071">
      <c r="A1071" s="19">
        <v>42707.112916666665</v>
      </c>
      <c r="B1071" s="20" t="str">
        <f>HYPERLINK("https://twitter.com/JesmVidal","@JesmVidal")</f>
        <v>@JesmVidal</v>
      </c>
      <c r="C1071" s="21" t="s">
        <v>2222</v>
      </c>
      <c r="D1071" s="21" t="s">
        <v>1874</v>
      </c>
      <c r="E1071" s="22" t="str">
        <f>HYPERLINK("https://twitter.com/JesmVidal/status/804878471247888384","804878471247888384")</f>
        <v>804878471247888384</v>
      </c>
      <c r="F1071" s="23" t="s">
        <v>41</v>
      </c>
      <c r="G1071" s="24">
        <v>26.0</v>
      </c>
      <c r="H1071" s="24">
        <v>73.0</v>
      </c>
      <c r="I1071" s="24">
        <v>92.0</v>
      </c>
      <c r="J1071" s="24">
        <v>0.0</v>
      </c>
      <c r="K1071" s="23" t="s">
        <v>27</v>
      </c>
      <c r="L1071" s="25">
        <v>41972.89561342592</v>
      </c>
      <c r="M1071" s="28"/>
      <c r="N1071" s="26" t="s">
        <v>2223</v>
      </c>
      <c r="O1071" s="22" t="str">
        <f>HYPERLINK("https://pbs.twimg.com/profile_images/538833262668709889/7PGKLM1e_normal.jpeg","View")</f>
        <v>View</v>
      </c>
      <c r="P1071" s="27"/>
    </row>
    <row r="1072">
      <c r="A1072" s="19">
        <v>42707.12428240741</v>
      </c>
      <c r="B1072" s="20" t="str">
        <f>HYPERLINK("https://twitter.com/MatthewHirtes","@MatthewHirtes")</f>
        <v>@MatthewHirtes</v>
      </c>
      <c r="C1072" s="21" t="s">
        <v>1294</v>
      </c>
      <c r="D1072" s="21" t="s">
        <v>1874</v>
      </c>
      <c r="E1072" s="22" t="str">
        <f>HYPERLINK("https://twitter.com/MatthewHirtes/status/804882593682493440","804882593682493440")</f>
        <v>804882593682493440</v>
      </c>
      <c r="F1072" s="23" t="s">
        <v>167</v>
      </c>
      <c r="G1072" s="24">
        <v>4048.0</v>
      </c>
      <c r="H1072" s="24">
        <v>1734.0</v>
      </c>
      <c r="I1072" s="24">
        <v>92.0</v>
      </c>
      <c r="J1072" s="24">
        <v>0.0</v>
      </c>
      <c r="K1072" s="23" t="s">
        <v>27</v>
      </c>
      <c r="L1072" s="25">
        <v>39896.476319444446</v>
      </c>
      <c r="M1072" s="26" t="s">
        <v>109</v>
      </c>
      <c r="N1072" s="26" t="s">
        <v>1296</v>
      </c>
      <c r="O1072" s="22" t="str">
        <f>HYPERLINK("https://pbs.twimg.com/profile_images/2882758712/12b371fa0215f5747eecc910e918ee79_normal.jpeg","View")</f>
        <v>View</v>
      </c>
      <c r="P1072" s="27"/>
    </row>
    <row r="1073">
      <c r="A1073" s="19">
        <v>42707.12538194444</v>
      </c>
      <c r="B1073" s="20" t="str">
        <f>HYPERLINK("https://twitter.com/Johnalanpick","@Johnalanpick")</f>
        <v>@Johnalanpick</v>
      </c>
      <c r="C1073" s="21" t="s">
        <v>30</v>
      </c>
      <c r="D1073" s="21" t="s">
        <v>31</v>
      </c>
      <c r="E1073" s="22" t="str">
        <f>HYPERLINK("https://twitter.com/Johnalanpick/status/804882991860236290","804882991860236290")</f>
        <v>804882991860236290</v>
      </c>
      <c r="F1073" s="23" t="s">
        <v>32</v>
      </c>
      <c r="G1073" s="24">
        <v>1309.0</v>
      </c>
      <c r="H1073" s="24">
        <v>1417.0</v>
      </c>
      <c r="I1073" s="24">
        <v>0.0</v>
      </c>
      <c r="J1073" s="24">
        <v>0.0</v>
      </c>
      <c r="K1073" s="23" t="s">
        <v>27</v>
      </c>
      <c r="L1073" s="25">
        <v>39949.55190972222</v>
      </c>
      <c r="M1073" s="26" t="s">
        <v>33</v>
      </c>
      <c r="N1073" s="26" t="s">
        <v>34</v>
      </c>
      <c r="O1073" s="22" t="str">
        <f>HYPERLINK("https://pbs.twimg.com/profile_images/721987658449305600/1WmSYuM-_normal.jpg","View")</f>
        <v>View</v>
      </c>
      <c r="P1073" s="27"/>
    </row>
    <row r="1074">
      <c r="A1074" s="19">
        <v>42707.15976851852</v>
      </c>
      <c r="B1074" s="20" t="str">
        <f>HYPERLINK("https://twitter.com/MatthewHirtes","@MatthewHirtes")</f>
        <v>@MatthewHirtes</v>
      </c>
      <c r="C1074" s="21" t="s">
        <v>1294</v>
      </c>
      <c r="D1074" s="21" t="s">
        <v>1855</v>
      </c>
      <c r="E1074" s="22" t="str">
        <f>HYPERLINK("https://twitter.com/MatthewHirtes/status/804895452780986369","804895452780986369")</f>
        <v>804895452780986369</v>
      </c>
      <c r="F1074" s="23" t="s">
        <v>167</v>
      </c>
      <c r="G1074" s="24">
        <v>4048.0</v>
      </c>
      <c r="H1074" s="24">
        <v>1734.0</v>
      </c>
      <c r="I1074" s="24">
        <v>7.0</v>
      </c>
      <c r="J1074" s="24">
        <v>0.0</v>
      </c>
      <c r="K1074" s="23" t="s">
        <v>27</v>
      </c>
      <c r="L1074" s="25">
        <v>39896.476319444446</v>
      </c>
      <c r="M1074" s="26" t="s">
        <v>109</v>
      </c>
      <c r="N1074" s="26" t="s">
        <v>1296</v>
      </c>
      <c r="O1074" s="22" t="str">
        <f>HYPERLINK("https://pbs.twimg.com/profile_images/2882758712/12b371fa0215f5747eecc910e918ee79_normal.jpeg","View")</f>
        <v>View</v>
      </c>
      <c r="P1074" s="27"/>
    </row>
    <row r="1075">
      <c r="A1075" s="19">
        <v>42707.220937499995</v>
      </c>
      <c r="B1075" s="20" t="str">
        <f>HYPERLINK("https://twitter.com/alfredo0523","@alfredo0523")</f>
        <v>@alfredo0523</v>
      </c>
      <c r="C1075" s="21" t="s">
        <v>2224</v>
      </c>
      <c r="D1075" s="21" t="s">
        <v>1874</v>
      </c>
      <c r="E1075" s="22" t="str">
        <f>HYPERLINK("https://twitter.com/alfredo0523/status/804917616863100928","804917616863100928")</f>
        <v>804917616863100928</v>
      </c>
      <c r="F1075" s="23" t="s">
        <v>41</v>
      </c>
      <c r="G1075" s="24">
        <v>37.0</v>
      </c>
      <c r="H1075" s="24">
        <v>341.0</v>
      </c>
      <c r="I1075" s="24">
        <v>92.0</v>
      </c>
      <c r="J1075" s="24">
        <v>0.0</v>
      </c>
      <c r="K1075" s="23" t="s">
        <v>27</v>
      </c>
      <c r="L1075" s="25">
        <v>42510.73326388889</v>
      </c>
      <c r="M1075" s="28"/>
      <c r="N1075" s="28"/>
      <c r="O1075" s="22" t="str">
        <f>HYPERLINK("https://pbs.twimg.com/profile_images/748178234152411136/-s1oQdkD_normal.jpg","View")</f>
        <v>View</v>
      </c>
      <c r="P1075" s="27"/>
    </row>
    <row r="1076">
      <c r="A1076" s="19">
        <v>42707.2472337963</v>
      </c>
      <c r="B1076" s="20" t="str">
        <f>HYPERLINK("https://twitter.com/kpPalmmy","@kpPalmmy")</f>
        <v>@kpPalmmy</v>
      </c>
      <c r="C1076" s="21" t="s">
        <v>2225</v>
      </c>
      <c r="D1076" s="21" t="s">
        <v>1874</v>
      </c>
      <c r="E1076" s="22" t="str">
        <f>HYPERLINK("https://twitter.com/kpPalmmy/status/804927148880371712","804927148880371712")</f>
        <v>804927148880371712</v>
      </c>
      <c r="F1076" s="23" t="s">
        <v>41</v>
      </c>
      <c r="G1076" s="24">
        <v>49.0</v>
      </c>
      <c r="H1076" s="24">
        <v>184.0</v>
      </c>
      <c r="I1076" s="24">
        <v>92.0</v>
      </c>
      <c r="J1076" s="24">
        <v>0.0</v>
      </c>
      <c r="K1076" s="23" t="s">
        <v>27</v>
      </c>
      <c r="L1076" s="25">
        <v>41180.648356481484</v>
      </c>
      <c r="M1076" s="28"/>
      <c r="N1076" s="26" t="s">
        <v>2226</v>
      </c>
      <c r="O1076" s="22" t="str">
        <f>HYPERLINK("https://pbs.twimg.com/profile_images/804043601554509824/aIpYeD17_normal.jpg","View")</f>
        <v>View</v>
      </c>
      <c r="P1076" s="27"/>
    </row>
    <row r="1077">
      <c r="A1077" s="19">
        <v>42707.29181712963</v>
      </c>
      <c r="B1077" s="20" t="str">
        <f>HYPERLINK("https://twitter.com/Fefo_SaliCity","@Fefo_SaliCity")</f>
        <v>@Fefo_SaliCity</v>
      </c>
      <c r="C1077" s="21" t="s">
        <v>2227</v>
      </c>
      <c r="D1077" s="21" t="s">
        <v>2228</v>
      </c>
      <c r="E1077" s="22" t="str">
        <f>HYPERLINK("https://twitter.com/Fefo_SaliCity/status/804943303783256064","804943303783256064")</f>
        <v>804943303783256064</v>
      </c>
      <c r="F1077" s="23" t="s">
        <v>81</v>
      </c>
      <c r="G1077" s="24">
        <v>419.0</v>
      </c>
      <c r="H1077" s="24">
        <v>1646.0</v>
      </c>
      <c r="I1077" s="24">
        <v>0.0</v>
      </c>
      <c r="J1077" s="24">
        <v>0.0</v>
      </c>
      <c r="K1077" s="23" t="s">
        <v>27</v>
      </c>
      <c r="L1077" s="25">
        <v>41019.21871527778</v>
      </c>
      <c r="M1077" s="28"/>
      <c r="N1077" s="26" t="s">
        <v>2229</v>
      </c>
      <c r="O1077" s="22" t="str">
        <f>HYPERLINK("https://pbs.twimg.com/profile_images/697221997701558272/E8fg_mn-_normal.jpg","View")</f>
        <v>View</v>
      </c>
      <c r="P1077" s="27"/>
    </row>
    <row r="1078">
      <c r="A1078" s="19">
        <v>42707.30990740741</v>
      </c>
      <c r="B1078" s="20" t="str">
        <f>HYPERLINK("https://twitter.com/PBondaryk","@PBondaryk")</f>
        <v>@PBondaryk</v>
      </c>
      <c r="C1078" s="21" t="s">
        <v>2230</v>
      </c>
      <c r="D1078" s="21" t="s">
        <v>1874</v>
      </c>
      <c r="E1078" s="22" t="str">
        <f>HYPERLINK("https://twitter.com/PBondaryk/status/804949859736358912","804949859736358912")</f>
        <v>804949859736358912</v>
      </c>
      <c r="F1078" s="23" t="s">
        <v>41</v>
      </c>
      <c r="G1078" s="24">
        <v>116.0</v>
      </c>
      <c r="H1078" s="24">
        <v>386.0</v>
      </c>
      <c r="I1078" s="24">
        <v>92.0</v>
      </c>
      <c r="J1078" s="24">
        <v>0.0</v>
      </c>
      <c r="K1078" s="23" t="s">
        <v>27</v>
      </c>
      <c r="L1078" s="25">
        <v>42231.798993055556</v>
      </c>
      <c r="M1078" s="26" t="s">
        <v>2231</v>
      </c>
      <c r="N1078" s="26" t="s">
        <v>2232</v>
      </c>
      <c r="O1078" s="22" t="str">
        <f>HYPERLINK("https://pbs.twimg.com/profile_images/793790558049370112/f4vCfXmf_normal.jpg","View")</f>
        <v>View</v>
      </c>
      <c r="P1078" s="27"/>
    </row>
    <row r="1079">
      <c r="A1079" s="19">
        <v>42707.31045138889</v>
      </c>
      <c r="B1079" s="20" t="str">
        <f>HYPERLINK("https://twitter.com/Tophangar","@Tophangar")</f>
        <v>@Tophangar</v>
      </c>
      <c r="C1079" s="21" t="s">
        <v>2050</v>
      </c>
      <c r="D1079" s="21" t="s">
        <v>1874</v>
      </c>
      <c r="E1079" s="22" t="str">
        <f>HYPERLINK("https://twitter.com/Tophangar/status/804950058596790272","804950058596790272")</f>
        <v>804950058596790272</v>
      </c>
      <c r="F1079" s="23" t="s">
        <v>41</v>
      </c>
      <c r="G1079" s="24">
        <v>49.0</v>
      </c>
      <c r="H1079" s="24">
        <v>94.0</v>
      </c>
      <c r="I1079" s="24">
        <v>92.0</v>
      </c>
      <c r="J1079" s="24">
        <v>0.0</v>
      </c>
      <c r="K1079" s="23" t="s">
        <v>27</v>
      </c>
      <c r="L1079" s="25">
        <v>41844.425578703704</v>
      </c>
      <c r="M1079" s="26" t="s">
        <v>2233</v>
      </c>
      <c r="N1079" s="28"/>
      <c r="O1079" s="22" t="str">
        <f>HYPERLINK("https://pbs.twimg.com/profile_images/525547543665459200/pOoNOcxW_normal.jpeg","View")</f>
        <v>View</v>
      </c>
      <c r="P1079" s="27"/>
    </row>
    <row r="1080">
      <c r="A1080" s="19">
        <v>42707.311053240745</v>
      </c>
      <c r="B1080" s="20" t="str">
        <f>HYPERLINK("https://twitter.com/_TenDive","@_TenDive")</f>
        <v>@_TenDive</v>
      </c>
      <c r="C1080" s="21" t="s">
        <v>103</v>
      </c>
      <c r="D1080" s="21" t="s">
        <v>2234</v>
      </c>
      <c r="E1080" s="22" t="str">
        <f>HYPERLINK("https://twitter.com/_TenDive/status/804950275249307648","804950275249307648")</f>
        <v>804950275249307648</v>
      </c>
      <c r="F1080" s="23" t="s">
        <v>37</v>
      </c>
      <c r="G1080" s="24">
        <v>235.0</v>
      </c>
      <c r="H1080" s="24">
        <v>118.0</v>
      </c>
      <c r="I1080" s="24">
        <v>0.0</v>
      </c>
      <c r="J1080" s="24">
        <v>0.0</v>
      </c>
      <c r="K1080" s="23" t="s">
        <v>27</v>
      </c>
      <c r="L1080" s="25">
        <v>41385.479999999996</v>
      </c>
      <c r="M1080" s="26" t="s">
        <v>105</v>
      </c>
      <c r="N1080" s="26" t="s">
        <v>106</v>
      </c>
      <c r="O1080" s="22" t="str">
        <f>HYPERLINK("https://pbs.twimg.com/profile_images/694439157893107712/KkG57Zcq_normal.jpg","View")</f>
        <v>View</v>
      </c>
      <c r="P1080" s="27"/>
    </row>
    <row r="1081">
      <c r="A1081" s="19">
        <v>42707.35416666667</v>
      </c>
      <c r="B1081" s="20" t="str">
        <f>HYPERLINK("https://twitter.com/SuneHolidays","@SuneHolidays")</f>
        <v>@SuneHolidays</v>
      </c>
      <c r="C1081" s="21" t="s">
        <v>62</v>
      </c>
      <c r="D1081" s="21" t="s">
        <v>2235</v>
      </c>
      <c r="E1081" s="22" t="str">
        <f>HYPERLINK("https://twitter.com/SuneHolidays/status/804965900419874816","804965900419874816")</f>
        <v>804965900419874816</v>
      </c>
      <c r="F1081" s="23" t="s">
        <v>64</v>
      </c>
      <c r="G1081" s="24">
        <v>396.0</v>
      </c>
      <c r="H1081" s="24">
        <v>990.0</v>
      </c>
      <c r="I1081" s="24">
        <v>1.0</v>
      </c>
      <c r="J1081" s="24">
        <v>2.0</v>
      </c>
      <c r="K1081" s="23" t="s">
        <v>27</v>
      </c>
      <c r="L1081" s="25">
        <v>40929.92998842592</v>
      </c>
      <c r="M1081" s="26" t="s">
        <v>65</v>
      </c>
      <c r="N1081" s="26" t="s">
        <v>66</v>
      </c>
      <c r="O1081" s="22" t="str">
        <f>HYPERLINK("https://pbs.twimg.com/profile_images/686922727480029184/9ztyb32p_normal.jpg","View")</f>
        <v>View</v>
      </c>
      <c r="P1081" s="27"/>
    </row>
    <row r="1082">
      <c r="A1082" s="19">
        <v>42707.3609375</v>
      </c>
      <c r="B1082" s="20" t="str">
        <f>HYPERLINK("https://twitter.com/KeyserSoSo","@KeyserSoSo")</f>
        <v>@KeyserSoSo</v>
      </c>
      <c r="C1082" s="21" t="s">
        <v>452</v>
      </c>
      <c r="D1082" s="21" t="s">
        <v>2236</v>
      </c>
      <c r="E1082" s="22" t="str">
        <f>HYPERLINK("https://twitter.com/KeyserSoSo/status/804968350623399936","804968350623399936")</f>
        <v>804968350623399936</v>
      </c>
      <c r="F1082" s="23" t="s">
        <v>26</v>
      </c>
      <c r="G1082" s="24">
        <v>65.0</v>
      </c>
      <c r="H1082" s="24">
        <v>122.0</v>
      </c>
      <c r="I1082" s="24">
        <v>1.0</v>
      </c>
      <c r="J1082" s="24">
        <v>0.0</v>
      </c>
      <c r="K1082" s="23" t="s">
        <v>27</v>
      </c>
      <c r="L1082" s="25">
        <v>41843.658842592595</v>
      </c>
      <c r="M1082" s="26" t="s">
        <v>292</v>
      </c>
      <c r="N1082" s="28"/>
      <c r="O1082" s="22" t="str">
        <f>HYPERLINK("https://pbs.twimg.com/profile_images/592798998773235713/aPa65SQO_normal.jpg","View")</f>
        <v>View</v>
      </c>
      <c r="P1082" s="27"/>
    </row>
    <row r="1083">
      <c r="A1083" s="19">
        <v>42707.36237268518</v>
      </c>
      <c r="B1083" s="20" t="str">
        <f>HYPERLINK("https://twitter.com/aghotelspa","@aghotelspa")</f>
        <v>@aghotelspa</v>
      </c>
      <c r="C1083" s="21" t="s">
        <v>2237</v>
      </c>
      <c r="D1083" s="21" t="s">
        <v>2238</v>
      </c>
      <c r="E1083" s="22" t="str">
        <f>HYPERLINK("https://twitter.com/aghotelspa/status/804968871065255936","804968871065255936")</f>
        <v>804968871065255936</v>
      </c>
      <c r="F1083" s="23" t="s">
        <v>81</v>
      </c>
      <c r="G1083" s="24">
        <v>987.0</v>
      </c>
      <c r="H1083" s="24">
        <v>191.0</v>
      </c>
      <c r="I1083" s="24">
        <v>0.0</v>
      </c>
      <c r="J1083" s="24">
        <v>1.0</v>
      </c>
      <c r="K1083" s="23" t="s">
        <v>27</v>
      </c>
      <c r="L1083" s="25">
        <v>41263.781539351854</v>
      </c>
      <c r="M1083" s="26" t="s">
        <v>2239</v>
      </c>
      <c r="N1083" s="26" t="s">
        <v>2240</v>
      </c>
      <c r="O1083" s="22" t="str">
        <f>HYPERLINK("https://pbs.twimg.com/profile_images/3224102495/88947978fb5cc36495ea869a5fb39f8d_normal.jpeg","View")</f>
        <v>View</v>
      </c>
      <c r="P1083" s="27" t="str">
        <f>HYPERLINK("https://ctrlq.org/maps/address/#28.95789709,-13.55494841","Map")</f>
        <v>#ERROR!</v>
      </c>
    </row>
    <row r="1084">
      <c r="A1084" s="19">
        <v>42707.364652777775</v>
      </c>
      <c r="B1084" s="20" t="str">
        <f>HYPERLINK("https://twitter.com/AlexBramwellGC","@AlexBramwellGC")</f>
        <v>@AlexBramwellGC</v>
      </c>
      <c r="C1084" s="21" t="s">
        <v>475</v>
      </c>
      <c r="D1084" s="21" t="s">
        <v>2241</v>
      </c>
      <c r="E1084" s="22" t="str">
        <f>HYPERLINK("https://twitter.com/AlexBramwellGC/status/804969698995666944","804969698995666944")</f>
        <v>804969698995666944</v>
      </c>
      <c r="F1084" s="23" t="s">
        <v>167</v>
      </c>
      <c r="G1084" s="24">
        <v>4023.0</v>
      </c>
      <c r="H1084" s="24">
        <v>2573.0</v>
      </c>
      <c r="I1084" s="24">
        <v>1.0</v>
      </c>
      <c r="J1084" s="24">
        <v>0.0</v>
      </c>
      <c r="K1084" s="23" t="s">
        <v>27</v>
      </c>
      <c r="L1084" s="25">
        <v>40233.01298611111</v>
      </c>
      <c r="M1084" s="26" t="s">
        <v>477</v>
      </c>
      <c r="N1084" s="26" t="s">
        <v>478</v>
      </c>
      <c r="O1084" s="22" t="str">
        <f>HYPERLINK("https://pbs.twimg.com/profile_images/657142929920794624/Z8UQpOEp_normal.jpg","View")</f>
        <v>View</v>
      </c>
      <c r="P1084" s="27"/>
    </row>
    <row r="1085">
      <c r="A1085" s="19">
        <v>42707.37548611111</v>
      </c>
      <c r="B1085" s="20" t="str">
        <f>HYPERLINK("https://twitter.com/swisshop4uEs","@swisshop4uEs")</f>
        <v>@swisshop4uEs</v>
      </c>
      <c r="C1085" s="21" t="s">
        <v>48</v>
      </c>
      <c r="D1085" s="21" t="s">
        <v>2242</v>
      </c>
      <c r="E1085" s="22" t="str">
        <f>HYPERLINK("https://twitter.com/swisshop4uEs/status/804973625560498176","804973625560498176")</f>
        <v>804973625560498176</v>
      </c>
      <c r="F1085" s="23" t="s">
        <v>50</v>
      </c>
      <c r="G1085" s="24">
        <v>455.0</v>
      </c>
      <c r="H1085" s="24">
        <v>424.0</v>
      </c>
      <c r="I1085" s="24">
        <v>0.0</v>
      </c>
      <c r="J1085" s="24">
        <v>0.0</v>
      </c>
      <c r="K1085" s="23" t="s">
        <v>27</v>
      </c>
      <c r="L1085" s="25">
        <v>41468.93072916666</v>
      </c>
      <c r="M1085" s="26" t="s">
        <v>51</v>
      </c>
      <c r="N1085" s="26" t="s">
        <v>52</v>
      </c>
      <c r="O1085" s="22" t="str">
        <f>HYPERLINK("https://pbs.twimg.com/profile_images/378800000213382003/4f562b59f92995b884d2d440f71fc5ce_normal.png","View")</f>
        <v>View</v>
      </c>
      <c r="P1085" s="27"/>
    </row>
    <row r="1086">
      <c r="A1086" s="19">
        <v>42707.38334490741</v>
      </c>
      <c r="B1086" s="20" t="str">
        <f>HYPERLINK("https://twitter.com/Tenerife_Ocio","@Tenerife_Ocio")</f>
        <v>@Tenerife_Ocio</v>
      </c>
      <c r="C1086" s="21" t="s">
        <v>2243</v>
      </c>
      <c r="D1086" s="21" t="s">
        <v>2065</v>
      </c>
      <c r="E1086" s="22" t="str">
        <f>HYPERLINK("https://twitter.com/Tenerife_Ocio/status/804976471517360128","804976471517360128")</f>
        <v>804976471517360128</v>
      </c>
      <c r="F1086" s="23" t="s">
        <v>167</v>
      </c>
      <c r="G1086" s="24">
        <v>22228.0</v>
      </c>
      <c r="H1086" s="24">
        <v>6132.0</v>
      </c>
      <c r="I1086" s="24">
        <v>11.0</v>
      </c>
      <c r="J1086" s="24">
        <v>0.0</v>
      </c>
      <c r="K1086" s="23" t="s">
        <v>27</v>
      </c>
      <c r="L1086" s="25">
        <v>41004.85806712963</v>
      </c>
      <c r="M1086" s="26" t="s">
        <v>2244</v>
      </c>
      <c r="N1086" s="26" t="s">
        <v>2245</v>
      </c>
      <c r="O1086" s="22" t="str">
        <f>HYPERLINK("https://pbs.twimg.com/profile_images/2292101801/yvlsbgo4g2iz2p7et4mq_normal.jpeg","View")</f>
        <v>View</v>
      </c>
      <c r="P1086" s="27"/>
    </row>
    <row r="1087">
      <c r="A1087" s="19">
        <v>42707.415081018524</v>
      </c>
      <c r="B1087" s="20" t="str">
        <f>HYPERLINK("https://twitter.com/manubizreye","@manubizreye")</f>
        <v>@manubizreye</v>
      </c>
      <c r="C1087" s="21" t="s">
        <v>2246</v>
      </c>
      <c r="D1087" s="21" t="s">
        <v>2065</v>
      </c>
      <c r="E1087" s="22" t="str">
        <f>HYPERLINK("https://twitter.com/manubizreye/status/804987971833384960","804987971833384960")</f>
        <v>804987971833384960</v>
      </c>
      <c r="F1087" s="23" t="s">
        <v>41</v>
      </c>
      <c r="G1087" s="24">
        <v>53.0</v>
      </c>
      <c r="H1087" s="24">
        <v>152.0</v>
      </c>
      <c r="I1087" s="24">
        <v>11.0</v>
      </c>
      <c r="J1087" s="24">
        <v>0.0</v>
      </c>
      <c r="K1087" s="23" t="s">
        <v>27</v>
      </c>
      <c r="L1087" s="25">
        <v>41707.81988425926</v>
      </c>
      <c r="M1087" s="26" t="s">
        <v>2247</v>
      </c>
      <c r="N1087" s="26" t="s">
        <v>2248</v>
      </c>
      <c r="O1087" s="22" t="str">
        <f>HYPERLINK("https://pbs.twimg.com/profile_images/560143207443746816/O9hRgpA9_normal.jpeg","View")</f>
        <v>View</v>
      </c>
      <c r="P1087" s="27"/>
    </row>
    <row r="1088">
      <c r="A1088" s="19">
        <v>42707.41728009259</v>
      </c>
      <c r="B1088" s="20" t="str">
        <f>HYPERLINK("https://twitter.com/onlyapartments","@onlyapartments")</f>
        <v>@onlyapartments</v>
      </c>
      <c r="C1088" s="21" t="s">
        <v>2249</v>
      </c>
      <c r="D1088" s="21" t="s">
        <v>2250</v>
      </c>
      <c r="E1088" s="22" t="str">
        <f>HYPERLINK("https://twitter.com/onlyapartments/status/804988768830849024","804988768830849024")</f>
        <v>804988768830849024</v>
      </c>
      <c r="F1088" s="23" t="s">
        <v>401</v>
      </c>
      <c r="G1088" s="24">
        <v>2925.0</v>
      </c>
      <c r="H1088" s="24">
        <v>1145.0</v>
      </c>
      <c r="I1088" s="24">
        <v>0.0</v>
      </c>
      <c r="J1088" s="24">
        <v>0.0</v>
      </c>
      <c r="K1088" s="23" t="s">
        <v>27</v>
      </c>
      <c r="L1088" s="25">
        <v>39833.49741898148</v>
      </c>
      <c r="M1088" s="26" t="s">
        <v>255</v>
      </c>
      <c r="N1088" s="26" t="s">
        <v>2251</v>
      </c>
      <c r="O1088" s="22" t="str">
        <f>HYPERLINK("https://pbs.twimg.com/profile_images/699983023215874052/_ldkgCB1_normal.jpg","View")</f>
        <v>View</v>
      </c>
      <c r="P1088" s="27"/>
    </row>
    <row r="1089">
      <c r="A1089" s="19">
        <v>42707.42244212963</v>
      </c>
      <c r="B1089" s="20" t="str">
        <f>HYPERLINK("https://twitter.com/hoimetliske","@hoimetliske")</f>
        <v>@hoimetliske</v>
      </c>
      <c r="C1089" s="21" t="s">
        <v>2189</v>
      </c>
      <c r="D1089" s="21" t="s">
        <v>2252</v>
      </c>
      <c r="E1089" s="22" t="str">
        <f>HYPERLINK("https://twitter.com/hoimetliske/status/804990639385493504","804990639385493504")</f>
        <v>804990639385493504</v>
      </c>
      <c r="F1089" s="23" t="s">
        <v>81</v>
      </c>
      <c r="G1089" s="24">
        <v>513.0</v>
      </c>
      <c r="H1089" s="24">
        <v>292.0</v>
      </c>
      <c r="I1089" s="24">
        <v>0.0</v>
      </c>
      <c r="J1089" s="24">
        <v>0.0</v>
      </c>
      <c r="K1089" s="23" t="s">
        <v>27</v>
      </c>
      <c r="L1089" s="25">
        <v>39990.47878472222</v>
      </c>
      <c r="M1089" s="26" t="s">
        <v>2191</v>
      </c>
      <c r="N1089" s="26" t="s">
        <v>2192</v>
      </c>
      <c r="O1089" s="22" t="str">
        <f>HYPERLINK("https://pbs.twimg.com/profile_images/773126432612610048/7YHoNnKM_normal.jpg","View")</f>
        <v>View</v>
      </c>
      <c r="P1089" s="27"/>
    </row>
    <row r="1090">
      <c r="A1090" s="19">
        <v>42707.42438657407</v>
      </c>
      <c r="B1090" s="20" t="str">
        <f>HYPERLINK("https://twitter.com/xxmichellexx88","@xxmichellexx88")</f>
        <v>@xxmichellexx88</v>
      </c>
      <c r="C1090" s="21" t="s">
        <v>2253</v>
      </c>
      <c r="D1090" s="21" t="s">
        <v>2254</v>
      </c>
      <c r="E1090" s="22" t="str">
        <f>HYPERLINK("https://twitter.com/xxmichellexx88/status/804991344846344192","804991344846344192")</f>
        <v>804991344846344192</v>
      </c>
      <c r="F1090" s="23" t="s">
        <v>81</v>
      </c>
      <c r="G1090" s="24">
        <v>713.0</v>
      </c>
      <c r="H1090" s="24">
        <v>1087.0</v>
      </c>
      <c r="I1090" s="24">
        <v>0.0</v>
      </c>
      <c r="J1090" s="24">
        <v>0.0</v>
      </c>
      <c r="K1090" s="23" t="s">
        <v>27</v>
      </c>
      <c r="L1090" s="25">
        <v>40039.70659722222</v>
      </c>
      <c r="M1090" s="26" t="s">
        <v>2255</v>
      </c>
      <c r="N1090" s="26" t="s">
        <v>2256</v>
      </c>
      <c r="O1090" s="22" t="str">
        <f>HYPERLINK("https://pbs.twimg.com/profile_images/787458541238059008/AgvdQmqy_normal.jpg","View")</f>
        <v>View</v>
      </c>
      <c r="P1090" s="27"/>
    </row>
    <row r="1091">
      <c r="A1091" s="19">
        <v>42707.42680555556</v>
      </c>
      <c r="B1091" s="20" t="str">
        <f>HYPERLINK("https://twitter.com/hoimetliske","@hoimetliske")</f>
        <v>@hoimetliske</v>
      </c>
      <c r="C1091" s="21" t="s">
        <v>2189</v>
      </c>
      <c r="D1091" s="21" t="s">
        <v>2257</v>
      </c>
      <c r="E1091" s="22" t="str">
        <f>HYPERLINK("https://twitter.com/hoimetliske/status/804992221779021824","804992221779021824")</f>
        <v>804992221779021824</v>
      </c>
      <c r="F1091" s="23" t="s">
        <v>81</v>
      </c>
      <c r="G1091" s="24">
        <v>513.0</v>
      </c>
      <c r="H1091" s="24">
        <v>292.0</v>
      </c>
      <c r="I1091" s="24">
        <v>0.0</v>
      </c>
      <c r="J1091" s="24">
        <v>0.0</v>
      </c>
      <c r="K1091" s="23" t="s">
        <v>27</v>
      </c>
      <c r="L1091" s="25">
        <v>39990.47878472222</v>
      </c>
      <c r="M1091" s="26" t="s">
        <v>2191</v>
      </c>
      <c r="N1091" s="26" t="s">
        <v>2192</v>
      </c>
      <c r="O1091" s="22" t="str">
        <f>HYPERLINK("https://pbs.twimg.com/profile_images/773126432612610048/7YHoNnKM_normal.jpg","View")</f>
        <v>View</v>
      </c>
      <c r="P1091" s="27"/>
    </row>
    <row r="1092">
      <c r="A1092" s="19">
        <v>42707.438310185185</v>
      </c>
      <c r="B1092" s="20" t="str">
        <f>HYPERLINK("https://twitter.com/INTERVALPLASTIC","@INTERVALPLASTIC")</f>
        <v>@INTERVALPLASTIC</v>
      </c>
      <c r="C1092" s="21" t="s">
        <v>2258</v>
      </c>
      <c r="D1092" s="21" t="s">
        <v>2259</v>
      </c>
      <c r="E1092" s="22" t="str">
        <f>HYPERLINK("https://twitter.com/INTERVALPLASTIC/status/804996393484029957","804996393484029957")</f>
        <v>804996393484029957</v>
      </c>
      <c r="F1092" s="23" t="s">
        <v>37</v>
      </c>
      <c r="G1092" s="24">
        <v>170.0</v>
      </c>
      <c r="H1092" s="24">
        <v>214.0</v>
      </c>
      <c r="I1092" s="24">
        <v>0.0</v>
      </c>
      <c r="J1092" s="24">
        <v>0.0</v>
      </c>
      <c r="K1092" s="23" t="s">
        <v>27</v>
      </c>
      <c r="L1092" s="25">
        <v>41535.376493055555</v>
      </c>
      <c r="M1092" s="28"/>
      <c r="N1092" s="26" t="s">
        <v>2260</v>
      </c>
      <c r="O1092" s="22" t="str">
        <f>HYPERLINK("https://pbs.twimg.com/profile_images/649548167613149184/DCD89O4M_normal.jpg","View")</f>
        <v>View</v>
      </c>
      <c r="P1092" s="27"/>
    </row>
    <row r="1093">
      <c r="A1093" s="19">
        <v>42707.471550925926</v>
      </c>
      <c r="B1093" s="20" t="str">
        <f>HYPERLINK("https://twitter.com/AurinkoTenerife","@AurinkoTenerife")</f>
        <v>@AurinkoTenerife</v>
      </c>
      <c r="C1093" s="21" t="s">
        <v>2261</v>
      </c>
      <c r="D1093" s="21" t="s">
        <v>1504</v>
      </c>
      <c r="E1093" s="22" t="str">
        <f>HYPERLINK("https://twitter.com/AurinkoTenerife/status/805008436748517377","805008436748517377")</f>
        <v>805008436748517377</v>
      </c>
      <c r="F1093" s="23" t="s">
        <v>37</v>
      </c>
      <c r="G1093" s="24">
        <v>542.0</v>
      </c>
      <c r="H1093" s="24">
        <v>606.0</v>
      </c>
      <c r="I1093" s="24">
        <v>16.0</v>
      </c>
      <c r="J1093" s="24">
        <v>0.0</v>
      </c>
      <c r="K1093" s="23" t="s">
        <v>27</v>
      </c>
      <c r="L1093" s="25">
        <v>41661.46844907408</v>
      </c>
      <c r="M1093" s="26" t="s">
        <v>301</v>
      </c>
      <c r="N1093" s="26" t="s">
        <v>2262</v>
      </c>
      <c r="O1093" s="22" t="str">
        <f>HYPERLINK("https://pbs.twimg.com/profile_images/425949963990728704/hnPlGLoM_normal.jpeg","View")</f>
        <v>View</v>
      </c>
      <c r="P1093" s="27"/>
    </row>
    <row r="1094">
      <c r="A1094" s="19">
        <v>42707.48630787037</v>
      </c>
      <c r="B1094" s="20" t="str">
        <f>HYPERLINK("https://twitter.com/DunasHoteles","@DunasHoteles")</f>
        <v>@DunasHoteles</v>
      </c>
      <c r="C1094" s="21" t="s">
        <v>1233</v>
      </c>
      <c r="D1094" s="21" t="s">
        <v>2263</v>
      </c>
      <c r="E1094" s="22" t="str">
        <f>HYPERLINK("https://twitter.com/DunasHoteles/status/805013786293915648","805013786293915648")</f>
        <v>805013786293915648</v>
      </c>
      <c r="F1094" s="23" t="s">
        <v>401</v>
      </c>
      <c r="G1094" s="24">
        <v>2603.0</v>
      </c>
      <c r="H1094" s="24">
        <v>2117.0</v>
      </c>
      <c r="I1094" s="24">
        <v>1.0</v>
      </c>
      <c r="J1094" s="24">
        <v>2.0</v>
      </c>
      <c r="K1094" s="23" t="s">
        <v>27</v>
      </c>
      <c r="L1094" s="25">
        <v>39769.46932870371</v>
      </c>
      <c r="M1094" s="26" t="s">
        <v>109</v>
      </c>
      <c r="N1094" s="26" t="s">
        <v>1235</v>
      </c>
      <c r="O1094" s="22" t="str">
        <f>HYPERLINK("https://pbs.twimg.com/profile_images/461470205227454465/4u4KGofw_normal.jpeg","View")</f>
        <v>View</v>
      </c>
      <c r="P1094" s="27"/>
    </row>
    <row r="1095">
      <c r="A1095" s="19">
        <v>42707.48771990741</v>
      </c>
      <c r="B1095" s="20" t="str">
        <f>HYPERLINK("https://twitter.com/FaniMatesanz","@FaniMatesanz")</f>
        <v>@FaniMatesanz</v>
      </c>
      <c r="C1095" s="21" t="s">
        <v>2264</v>
      </c>
      <c r="D1095" s="21" t="s">
        <v>1874</v>
      </c>
      <c r="E1095" s="22" t="str">
        <f>HYPERLINK("https://twitter.com/FaniMatesanz/status/805014297109729280","805014297109729280")</f>
        <v>805014297109729280</v>
      </c>
      <c r="F1095" s="23" t="s">
        <v>41</v>
      </c>
      <c r="G1095" s="24">
        <v>68.0</v>
      </c>
      <c r="H1095" s="24">
        <v>93.0</v>
      </c>
      <c r="I1095" s="24">
        <v>92.0</v>
      </c>
      <c r="J1095" s="24">
        <v>0.0</v>
      </c>
      <c r="K1095" s="23" t="s">
        <v>27</v>
      </c>
      <c r="L1095" s="25">
        <v>40987.76263888889</v>
      </c>
      <c r="M1095" s="26" t="s">
        <v>2265</v>
      </c>
      <c r="N1095" s="26" t="s">
        <v>2266</v>
      </c>
      <c r="O1095" s="22" t="str">
        <f>HYPERLINK("https://pbs.twimg.com/profile_images/3376484717/74d2e6c4d6cb4ae3a1a25820abf10edb_normal.jpeg","View")</f>
        <v>View</v>
      </c>
      <c r="P1095" s="27"/>
    </row>
    <row r="1096">
      <c r="A1096" s="19">
        <v>42707.488657407404</v>
      </c>
      <c r="B1096" s="20" t="str">
        <f>HYPERLINK("https://twitter.com/PamitaRao","@PamitaRao")</f>
        <v>@PamitaRao</v>
      </c>
      <c r="C1096" s="21" t="s">
        <v>2267</v>
      </c>
      <c r="D1096" s="21" t="s">
        <v>2268</v>
      </c>
      <c r="E1096" s="22" t="str">
        <f>HYPERLINK("https://twitter.com/PamitaRao/status/805014638446411777","805014638446411777")</f>
        <v>805014638446411777</v>
      </c>
      <c r="F1096" s="23" t="s">
        <v>2269</v>
      </c>
      <c r="G1096" s="24">
        <v>7621.0</v>
      </c>
      <c r="H1096" s="24">
        <v>7160.0</v>
      </c>
      <c r="I1096" s="24">
        <v>1.0</v>
      </c>
      <c r="J1096" s="24">
        <v>0.0</v>
      </c>
      <c r="K1096" s="23" t="s">
        <v>27</v>
      </c>
      <c r="L1096" s="25">
        <v>39961.26055555556</v>
      </c>
      <c r="M1096" s="28"/>
      <c r="N1096" s="26" t="s">
        <v>2270</v>
      </c>
      <c r="O1096" s="22" t="str">
        <f>HYPERLINK("https://pbs.twimg.com/profile_images/753485723098050560/oiVzslRh_normal.jpg","View")</f>
        <v>View</v>
      </c>
      <c r="P1096" s="27"/>
    </row>
    <row r="1097">
      <c r="A1097" s="19">
        <v>42707.494675925926</v>
      </c>
      <c r="B1097" s="20" t="str">
        <f>HYPERLINK("https://twitter.com/Selhso","@Selhso")</f>
        <v>@Selhso</v>
      </c>
      <c r="C1097" s="21" t="s">
        <v>194</v>
      </c>
      <c r="D1097" s="21" t="s">
        <v>2271</v>
      </c>
      <c r="E1097" s="22" t="str">
        <f>HYPERLINK("https://twitter.com/Selhso/status/805016817391505408","805016817391505408")</f>
        <v>805016817391505408</v>
      </c>
      <c r="F1097" s="23" t="s">
        <v>37</v>
      </c>
      <c r="G1097" s="24">
        <v>1615.0</v>
      </c>
      <c r="H1097" s="24">
        <v>1661.0</v>
      </c>
      <c r="I1097" s="24">
        <v>8.0</v>
      </c>
      <c r="J1097" s="24">
        <v>14.0</v>
      </c>
      <c r="K1097" s="23" t="s">
        <v>27</v>
      </c>
      <c r="L1097" s="25">
        <v>40372.68681712963</v>
      </c>
      <c r="M1097" s="26" t="s">
        <v>196</v>
      </c>
      <c r="N1097" s="26" t="s">
        <v>109</v>
      </c>
      <c r="O1097" s="22" t="str">
        <f>HYPERLINK("https://pbs.twimg.com/profile_images/800845512836579328/cKh_5hB2_normal.jpg","View")</f>
        <v>View</v>
      </c>
      <c r="P1097" s="27"/>
    </row>
    <row r="1098">
      <c r="A1098" s="19">
        <v>42707.49591435185</v>
      </c>
      <c r="B1098" s="20" t="str">
        <f>HYPERLINK("https://twitter.com/paisajecanario","@paisajecanario")</f>
        <v>@paisajecanario</v>
      </c>
      <c r="C1098" s="21" t="s">
        <v>70</v>
      </c>
      <c r="D1098" s="21" t="s">
        <v>2272</v>
      </c>
      <c r="E1098" s="22" t="str">
        <f>HYPERLINK("https://twitter.com/paisajecanario/status/805017264600780800","805017264600780800")</f>
        <v>805017264600780800</v>
      </c>
      <c r="F1098" s="23" t="s">
        <v>26</v>
      </c>
      <c r="G1098" s="24">
        <v>13324.0</v>
      </c>
      <c r="H1098" s="24">
        <v>434.0</v>
      </c>
      <c r="I1098" s="24">
        <v>8.0</v>
      </c>
      <c r="J1098" s="24">
        <v>0.0</v>
      </c>
      <c r="K1098" s="23" t="s">
        <v>27</v>
      </c>
      <c r="L1098" s="25">
        <v>41815.714641203704</v>
      </c>
      <c r="M1098" s="26" t="s">
        <v>71</v>
      </c>
      <c r="N1098" s="26" t="s">
        <v>72</v>
      </c>
      <c r="O1098" s="22" t="str">
        <f>HYPERLINK("https://pbs.twimg.com/profile_images/789364630850240512/Mw90qAlM_normal.jpg","View")</f>
        <v>View</v>
      </c>
      <c r="P1098" s="27"/>
    </row>
    <row r="1099">
      <c r="A1099" s="19">
        <v>42707.49953703704</v>
      </c>
      <c r="B1099" s="20" t="str">
        <f>HYPERLINK("https://twitter.com/Salamanca_SSV","@Salamanca_SSV")</f>
        <v>@Salamanca_SSV</v>
      </c>
      <c r="C1099" s="21" t="s">
        <v>170</v>
      </c>
      <c r="D1099" s="21" t="s">
        <v>2272</v>
      </c>
      <c r="E1099" s="22" t="str">
        <f>HYPERLINK("https://twitter.com/Salamanca_SSV/status/805018581280948224","805018581280948224")</f>
        <v>805018581280948224</v>
      </c>
      <c r="F1099" s="23" t="s">
        <v>41</v>
      </c>
      <c r="G1099" s="24">
        <v>7240.0</v>
      </c>
      <c r="H1099" s="24">
        <v>7824.0</v>
      </c>
      <c r="I1099" s="24">
        <v>8.0</v>
      </c>
      <c r="J1099" s="24">
        <v>0.0</v>
      </c>
      <c r="K1099" s="23" t="s">
        <v>27</v>
      </c>
      <c r="L1099" s="25">
        <v>41317.78532407407</v>
      </c>
      <c r="M1099" s="26" t="s">
        <v>171</v>
      </c>
      <c r="N1099" s="26" t="s">
        <v>172</v>
      </c>
      <c r="O1099" s="22" t="str">
        <f>HYPERLINK("https://pbs.twimg.com/profile_images/3461850627/70f1c6c744e939681691ad3a09d64375_normal.png","View")</f>
        <v>View</v>
      </c>
      <c r="P1099" s="27"/>
    </row>
    <row r="1100">
      <c r="A1100" s="19">
        <v>42707.5125</v>
      </c>
      <c r="B1100" s="20" t="str">
        <f>HYPERLINK("https://twitter.com/DiscontaES","@DiscontaES")</f>
        <v>@DiscontaES</v>
      </c>
      <c r="C1100" s="32" t="s">
        <v>2273</v>
      </c>
      <c r="D1100" s="21" t="s">
        <v>2274</v>
      </c>
      <c r="E1100" s="22" t="str">
        <f>HYPERLINK("https://twitter.com/DiscontaES/status/805023276238065664","805023276238065664")</f>
        <v>805023276238065664</v>
      </c>
      <c r="F1100" s="23" t="s">
        <v>37</v>
      </c>
      <c r="G1100" s="24">
        <v>290.0</v>
      </c>
      <c r="H1100" s="24">
        <v>844.0</v>
      </c>
      <c r="I1100" s="24">
        <v>1.0</v>
      </c>
      <c r="J1100" s="24">
        <v>0.0</v>
      </c>
      <c r="K1100" s="23" t="s">
        <v>27</v>
      </c>
      <c r="L1100" s="25">
        <v>42308.74613425926</v>
      </c>
      <c r="M1100" s="28"/>
      <c r="N1100" s="28"/>
      <c r="O1100" s="22" t="str">
        <f>HYPERLINK("https://pbs.twimg.com/profile_images/660517985719705600/Kf335A7J_normal.png","View")</f>
        <v>View</v>
      </c>
      <c r="P1100" s="27"/>
    </row>
    <row r="1101">
      <c r="A1101" s="19">
        <v>42707.513287037036</v>
      </c>
      <c r="B1101" s="20" t="str">
        <f t="shared" ref="B1101:B1102" si="114">HYPERLINK("https://twitter.com/bermaxo09","@bermaxo09")</f>
        <v>@bermaxo09</v>
      </c>
      <c r="C1101" s="21" t="s">
        <v>284</v>
      </c>
      <c r="D1101" s="21" t="s">
        <v>2275</v>
      </c>
      <c r="E1101" s="22" t="str">
        <f>HYPERLINK("https://twitter.com/bermaxo09/status/805023562692259840","805023562692259840")</f>
        <v>805023562692259840</v>
      </c>
      <c r="F1101" s="23" t="s">
        <v>37</v>
      </c>
      <c r="G1101" s="24">
        <v>193.0</v>
      </c>
      <c r="H1101" s="24">
        <v>196.0</v>
      </c>
      <c r="I1101" s="24">
        <v>1.0</v>
      </c>
      <c r="J1101" s="24">
        <v>3.0</v>
      </c>
      <c r="K1101" s="23" t="s">
        <v>27</v>
      </c>
      <c r="L1101" s="25">
        <v>42689.441516203704</v>
      </c>
      <c r="M1101" s="26" t="s">
        <v>109</v>
      </c>
      <c r="N1101" s="26" t="s">
        <v>286</v>
      </c>
      <c r="O1101" s="22" t="str">
        <f t="shared" ref="O1101:O1102" si="115">HYPERLINK("https://pbs.twimg.com/profile_images/798476790478073856/iOD0HIRa_normal.jpg","View")</f>
        <v>View</v>
      </c>
      <c r="P1101" s="27"/>
    </row>
    <row r="1102">
      <c r="A1102" s="19">
        <v>42707.514652777776</v>
      </c>
      <c r="B1102" s="20" t="str">
        <f t="shared" si="114"/>
        <v>@bermaxo09</v>
      </c>
      <c r="C1102" s="21" t="s">
        <v>284</v>
      </c>
      <c r="D1102" s="21" t="s">
        <v>2276</v>
      </c>
      <c r="E1102" s="22" t="str">
        <f>HYPERLINK("https://twitter.com/bermaxo09/status/805024058324713473","805024058324713473")</f>
        <v>805024058324713473</v>
      </c>
      <c r="F1102" s="23" t="s">
        <v>37</v>
      </c>
      <c r="G1102" s="24">
        <v>193.0</v>
      </c>
      <c r="H1102" s="24">
        <v>196.0</v>
      </c>
      <c r="I1102" s="24">
        <v>1.0</v>
      </c>
      <c r="J1102" s="24">
        <v>2.0</v>
      </c>
      <c r="K1102" s="23" t="s">
        <v>27</v>
      </c>
      <c r="L1102" s="25">
        <v>42689.441516203704</v>
      </c>
      <c r="M1102" s="26" t="s">
        <v>109</v>
      </c>
      <c r="N1102" s="26" t="s">
        <v>286</v>
      </c>
      <c r="O1102" s="22" t="str">
        <f t="shared" si="115"/>
        <v>View</v>
      </c>
      <c r="P1102" s="27"/>
    </row>
    <row r="1103">
      <c r="A1103" s="19">
        <v>42707.51762731481</v>
      </c>
      <c r="B1103" s="20" t="str">
        <f>HYPERLINK("https://twitter.com/bethgarrotxa","@bethgarrotxa")</f>
        <v>@bethgarrotxa</v>
      </c>
      <c r="C1103" s="21" t="s">
        <v>648</v>
      </c>
      <c r="D1103" s="21" t="s">
        <v>2277</v>
      </c>
      <c r="E1103" s="22" t="str">
        <f>HYPERLINK("https://twitter.com/bethgarrotxa/status/805025134582992897","805025134582992897")</f>
        <v>805025134582992897</v>
      </c>
      <c r="F1103" s="23" t="s">
        <v>81</v>
      </c>
      <c r="G1103" s="24">
        <v>189.0</v>
      </c>
      <c r="H1103" s="24">
        <v>168.0</v>
      </c>
      <c r="I1103" s="24">
        <v>0.0</v>
      </c>
      <c r="J1103" s="24">
        <v>0.0</v>
      </c>
      <c r="K1103" s="23" t="s">
        <v>27</v>
      </c>
      <c r="L1103" s="25">
        <v>40609.69993055556</v>
      </c>
      <c r="M1103" s="26" t="s">
        <v>455</v>
      </c>
      <c r="N1103" s="26" t="s">
        <v>650</v>
      </c>
      <c r="O1103" s="22" t="str">
        <f>HYPERLINK("https://pbs.twimg.com/profile_images/2784461956/37b6d95f5bcac37b93611f81029dd365_normal.jpeg","View")</f>
        <v>View</v>
      </c>
      <c r="P1103" s="27" t="str">
        <f>HYPERLINK("https://ctrlq.org/maps/address/#28.62182913,-17.75295296","Map")</f>
        <v>#ERROR!</v>
      </c>
    </row>
    <row r="1104">
      <c r="A1104" s="19">
        <v>42707.52133101852</v>
      </c>
      <c r="B1104" s="20" t="str">
        <f>HYPERLINK("https://twitter.com/samsungnoterosi","@samsungnoterosi")</f>
        <v>@samsungnoterosi</v>
      </c>
      <c r="C1104" s="21" t="s">
        <v>2278</v>
      </c>
      <c r="D1104" s="21" t="s">
        <v>2051</v>
      </c>
      <c r="E1104" s="22" t="str">
        <f>HYPERLINK("https://twitter.com/samsungnoterosi/status/805026475414028288","805026475414028288")</f>
        <v>805026475414028288</v>
      </c>
      <c r="F1104" s="23" t="s">
        <v>41</v>
      </c>
      <c r="G1104" s="24">
        <v>132.0</v>
      </c>
      <c r="H1104" s="24">
        <v>288.0</v>
      </c>
      <c r="I1104" s="24">
        <v>9.0</v>
      </c>
      <c r="J1104" s="24">
        <v>0.0</v>
      </c>
      <c r="K1104" s="23" t="s">
        <v>27</v>
      </c>
      <c r="L1104" s="25">
        <v>41961.580034722225</v>
      </c>
      <c r="M1104" s="26" t="s">
        <v>2279</v>
      </c>
      <c r="N1104" s="26" t="s">
        <v>2280</v>
      </c>
      <c r="O1104" s="22" t="str">
        <f>HYPERLINK("https://pbs.twimg.com/profile_images/534721192725590016/-eRJyb3Z_normal.jpeg","View")</f>
        <v>View</v>
      </c>
      <c r="P1104" s="27"/>
    </row>
    <row r="1105">
      <c r="A1105" s="19">
        <v>42707.52989583333</v>
      </c>
      <c r="B1105" s="20" t="str">
        <f t="shared" ref="B1105:B1109" si="116">HYPERLINK("https://twitter.com/bermaxo09","@bermaxo09")</f>
        <v>@bermaxo09</v>
      </c>
      <c r="C1105" s="21" t="s">
        <v>284</v>
      </c>
      <c r="D1105" s="21" t="s">
        <v>2281</v>
      </c>
      <c r="E1105" s="22" t="str">
        <f>HYPERLINK("https://twitter.com/bermaxo09/status/805029580369231873","805029580369231873")</f>
        <v>805029580369231873</v>
      </c>
      <c r="F1105" s="23" t="s">
        <v>37</v>
      </c>
      <c r="G1105" s="24">
        <v>193.0</v>
      </c>
      <c r="H1105" s="24">
        <v>196.0</v>
      </c>
      <c r="I1105" s="24">
        <v>1.0</v>
      </c>
      <c r="J1105" s="24">
        <v>1.0</v>
      </c>
      <c r="K1105" s="23" t="s">
        <v>27</v>
      </c>
      <c r="L1105" s="25">
        <v>42689.441516203704</v>
      </c>
      <c r="M1105" s="26" t="s">
        <v>109</v>
      </c>
      <c r="N1105" s="26" t="s">
        <v>286</v>
      </c>
      <c r="O1105" s="22" t="str">
        <f t="shared" ref="O1105:O1109" si="117">HYPERLINK("https://pbs.twimg.com/profile_images/798476790478073856/iOD0HIRa_normal.jpg","View")</f>
        <v>View</v>
      </c>
      <c r="P1105" s="27"/>
    </row>
    <row r="1106">
      <c r="A1106" s="19">
        <v>42707.531493055554</v>
      </c>
      <c r="B1106" s="20" t="str">
        <f t="shared" si="116"/>
        <v>@bermaxo09</v>
      </c>
      <c r="C1106" s="21" t="s">
        <v>284</v>
      </c>
      <c r="D1106" s="21" t="s">
        <v>2282</v>
      </c>
      <c r="E1106" s="22" t="str">
        <f>HYPERLINK("https://twitter.com/bermaxo09/status/805030160449806337","805030160449806337")</f>
        <v>805030160449806337</v>
      </c>
      <c r="F1106" s="23" t="s">
        <v>37</v>
      </c>
      <c r="G1106" s="24">
        <v>193.0</v>
      </c>
      <c r="H1106" s="24">
        <v>196.0</v>
      </c>
      <c r="I1106" s="24">
        <v>2.0</v>
      </c>
      <c r="J1106" s="24">
        <v>5.0</v>
      </c>
      <c r="K1106" s="23" t="s">
        <v>27</v>
      </c>
      <c r="L1106" s="25">
        <v>42689.441516203704</v>
      </c>
      <c r="M1106" s="26" t="s">
        <v>109</v>
      </c>
      <c r="N1106" s="26" t="s">
        <v>286</v>
      </c>
      <c r="O1106" s="22" t="str">
        <f t="shared" si="117"/>
        <v>View</v>
      </c>
      <c r="P1106" s="27"/>
    </row>
    <row r="1107">
      <c r="A1107" s="19">
        <v>42707.53394675926</v>
      </c>
      <c r="B1107" s="20" t="str">
        <f t="shared" si="116"/>
        <v>@bermaxo09</v>
      </c>
      <c r="C1107" s="21" t="s">
        <v>284</v>
      </c>
      <c r="D1107" s="21" t="s">
        <v>2283</v>
      </c>
      <c r="E1107" s="22" t="str">
        <f>HYPERLINK("https://twitter.com/bermaxo09/status/805031051110322176","805031051110322176")</f>
        <v>805031051110322176</v>
      </c>
      <c r="F1107" s="23" t="s">
        <v>37</v>
      </c>
      <c r="G1107" s="24">
        <v>193.0</v>
      </c>
      <c r="H1107" s="24">
        <v>196.0</v>
      </c>
      <c r="I1107" s="24">
        <v>1.0</v>
      </c>
      <c r="J1107" s="24">
        <v>3.0</v>
      </c>
      <c r="K1107" s="23" t="s">
        <v>27</v>
      </c>
      <c r="L1107" s="25">
        <v>42689.441516203704</v>
      </c>
      <c r="M1107" s="26" t="s">
        <v>109</v>
      </c>
      <c r="N1107" s="26" t="s">
        <v>286</v>
      </c>
      <c r="O1107" s="22" t="str">
        <f t="shared" si="117"/>
        <v>View</v>
      </c>
      <c r="P1107" s="27"/>
    </row>
    <row r="1108">
      <c r="A1108" s="19">
        <v>42707.53763888888</v>
      </c>
      <c r="B1108" s="20" t="str">
        <f t="shared" si="116"/>
        <v>@bermaxo09</v>
      </c>
      <c r="C1108" s="21" t="s">
        <v>284</v>
      </c>
      <c r="D1108" s="21" t="s">
        <v>2284</v>
      </c>
      <c r="E1108" s="22" t="str">
        <f>HYPERLINK("https://twitter.com/bermaxo09/status/805032387054862337","805032387054862337")</f>
        <v>805032387054862337</v>
      </c>
      <c r="F1108" s="23" t="s">
        <v>37</v>
      </c>
      <c r="G1108" s="24">
        <v>193.0</v>
      </c>
      <c r="H1108" s="24">
        <v>196.0</v>
      </c>
      <c r="I1108" s="24">
        <v>1.0</v>
      </c>
      <c r="J1108" s="24">
        <v>1.0</v>
      </c>
      <c r="K1108" s="23" t="s">
        <v>27</v>
      </c>
      <c r="L1108" s="25">
        <v>42689.441516203704</v>
      </c>
      <c r="M1108" s="26" t="s">
        <v>109</v>
      </c>
      <c r="N1108" s="26" t="s">
        <v>286</v>
      </c>
      <c r="O1108" s="22" t="str">
        <f t="shared" si="117"/>
        <v>View</v>
      </c>
      <c r="P1108" s="27"/>
    </row>
    <row r="1109">
      <c r="A1109" s="19">
        <v>42707.54346064814</v>
      </c>
      <c r="B1109" s="20" t="str">
        <f t="shared" si="116"/>
        <v>@bermaxo09</v>
      </c>
      <c r="C1109" s="21" t="s">
        <v>284</v>
      </c>
      <c r="D1109" s="21" t="s">
        <v>2285</v>
      </c>
      <c r="E1109" s="22" t="str">
        <f>HYPERLINK("https://twitter.com/bermaxo09/status/805034497221808128","805034497221808128")</f>
        <v>805034497221808128</v>
      </c>
      <c r="F1109" s="23" t="s">
        <v>37</v>
      </c>
      <c r="G1109" s="24">
        <v>193.0</v>
      </c>
      <c r="H1109" s="24">
        <v>196.0</v>
      </c>
      <c r="I1109" s="24">
        <v>1.0</v>
      </c>
      <c r="J1109" s="24">
        <v>2.0</v>
      </c>
      <c r="K1109" s="23" t="s">
        <v>27</v>
      </c>
      <c r="L1109" s="25">
        <v>42689.441516203704</v>
      </c>
      <c r="M1109" s="26" t="s">
        <v>109</v>
      </c>
      <c r="N1109" s="26" t="s">
        <v>286</v>
      </c>
      <c r="O1109" s="22" t="str">
        <f t="shared" si="117"/>
        <v>View</v>
      </c>
      <c r="P1109" s="27"/>
    </row>
    <row r="1110">
      <c r="A1110" s="19">
        <v>42707.553506944445</v>
      </c>
      <c r="B1110" s="20" t="str">
        <f>HYPERLINK("https://twitter.com/BabesPromo2","@BabesPromo2")</f>
        <v>@BabesPromo2</v>
      </c>
      <c r="C1110" s="21" t="s">
        <v>2286</v>
      </c>
      <c r="D1110" s="21" t="s">
        <v>1734</v>
      </c>
      <c r="E1110" s="22" t="str">
        <f>HYPERLINK("https://twitter.com/BabesPromo2/status/805038137235927041","805038137235927041")</f>
        <v>805038137235927041</v>
      </c>
      <c r="F1110" s="23" t="s">
        <v>26</v>
      </c>
      <c r="G1110" s="24">
        <v>309872.0</v>
      </c>
      <c r="H1110" s="24">
        <v>629.0</v>
      </c>
      <c r="I1110" s="24">
        <v>38.0</v>
      </c>
      <c r="J1110" s="24">
        <v>0.0</v>
      </c>
      <c r="K1110" s="23" t="s">
        <v>27</v>
      </c>
      <c r="L1110" s="25">
        <v>41173.49799768518</v>
      </c>
      <c r="M1110" s="28"/>
      <c r="N1110" s="26" t="s">
        <v>2287</v>
      </c>
      <c r="O1110" s="22" t="str">
        <f>HYPERLINK("https://pbs.twimg.com/profile_images/785328438177632256/oYFAw687_normal.jpg","View")</f>
        <v>View</v>
      </c>
      <c r="P1110" s="27"/>
    </row>
    <row r="1111">
      <c r="A1111" s="19">
        <v>42707.553773148145</v>
      </c>
      <c r="B1111" s="20" t="str">
        <f>HYPERLINK("https://twitter.com/onlyhotgirlzz","@onlyhotgirlzz")</f>
        <v>@onlyhotgirlzz</v>
      </c>
      <c r="C1111" s="21" t="s">
        <v>2288</v>
      </c>
      <c r="D1111" s="21" t="s">
        <v>1734</v>
      </c>
      <c r="E1111" s="22" t="str">
        <f>HYPERLINK("https://twitter.com/onlyhotgirlzz/status/805038232891228160","805038232891228160")</f>
        <v>805038232891228160</v>
      </c>
      <c r="F1111" s="23" t="s">
        <v>41</v>
      </c>
      <c r="G1111" s="24">
        <v>192615.0</v>
      </c>
      <c r="H1111" s="24">
        <v>498.0</v>
      </c>
      <c r="I1111" s="24">
        <v>38.0</v>
      </c>
      <c r="J1111" s="24">
        <v>0.0</v>
      </c>
      <c r="K1111" s="23" t="s">
        <v>27</v>
      </c>
      <c r="L1111" s="25">
        <v>41465.46695601852</v>
      </c>
      <c r="M1111" s="28"/>
      <c r="N1111" s="26" t="s">
        <v>2289</v>
      </c>
      <c r="O1111" s="22" t="str">
        <f>HYPERLINK("https://pbs.twimg.com/profile_images/700023220917944320/43BV-aqx_normal.jpg","View")</f>
        <v>View</v>
      </c>
      <c r="P1111" s="27"/>
    </row>
    <row r="1112">
      <c r="A1112" s="19">
        <v>42707.5549537037</v>
      </c>
      <c r="B1112" s="20" t="str">
        <f>HYPERLINK("https://twitter.com/jucyjo7","@jucyjo7")</f>
        <v>@jucyjo7</v>
      </c>
      <c r="C1112" s="21" t="s">
        <v>2290</v>
      </c>
      <c r="D1112" s="21" t="s">
        <v>1734</v>
      </c>
      <c r="E1112" s="22" t="str">
        <f>HYPERLINK("https://twitter.com/jucyjo7/status/805038662165680128","805038662165680128")</f>
        <v>805038662165680128</v>
      </c>
      <c r="F1112" s="23" t="s">
        <v>780</v>
      </c>
      <c r="G1112" s="24">
        <v>95.0</v>
      </c>
      <c r="H1112" s="24">
        <v>171.0</v>
      </c>
      <c r="I1112" s="24">
        <v>38.0</v>
      </c>
      <c r="J1112" s="24">
        <v>0.0</v>
      </c>
      <c r="K1112" s="23" t="s">
        <v>27</v>
      </c>
      <c r="L1112" s="25">
        <v>41665.73417824074</v>
      </c>
      <c r="M1112" s="26" t="s">
        <v>2291</v>
      </c>
      <c r="N1112" s="26" t="s">
        <v>2292</v>
      </c>
      <c r="O1112" s="22" t="str">
        <f>HYPERLINK("https://pbs.twimg.com/profile_images/453030903187800064/zSBavjt9_normal.jpeg","View")</f>
        <v>View</v>
      </c>
      <c r="P1112" s="27"/>
    </row>
    <row r="1113">
      <c r="A1113" s="19">
        <v>42707.5553125</v>
      </c>
      <c r="B1113" s="20" t="str">
        <f>HYPERLINK("https://twitter.com/pornenter","@pornenter")</f>
        <v>@pornenter</v>
      </c>
      <c r="C1113" s="21" t="s">
        <v>2293</v>
      </c>
      <c r="D1113" s="21" t="s">
        <v>1734</v>
      </c>
      <c r="E1113" s="22" t="str">
        <f>HYPERLINK("https://twitter.com/pornenter/status/805038791861932032","805038791861932032")</f>
        <v>805038791861932032</v>
      </c>
      <c r="F1113" s="23" t="s">
        <v>1268</v>
      </c>
      <c r="G1113" s="24">
        <v>1219.0</v>
      </c>
      <c r="H1113" s="24">
        <v>488.0</v>
      </c>
      <c r="I1113" s="24">
        <v>38.0</v>
      </c>
      <c r="J1113" s="24">
        <v>0.0</v>
      </c>
      <c r="K1113" s="23" t="s">
        <v>27</v>
      </c>
      <c r="L1113" s="25">
        <v>42049.63513888889</v>
      </c>
      <c r="M1113" s="26" t="s">
        <v>2294</v>
      </c>
      <c r="N1113" s="26" t="s">
        <v>2295</v>
      </c>
      <c r="O1113" s="22" t="str">
        <f>HYPERLINK("https://pbs.twimg.com/profile_images/757593993584766976/_8t_BDRB_normal.jpg","View")</f>
        <v>View</v>
      </c>
      <c r="P1113" s="27"/>
    </row>
    <row r="1114">
      <c r="A1114" s="19">
        <v>42707.56420138889</v>
      </c>
      <c r="B1114" s="20" t="str">
        <f>HYPERLINK("https://twitter.com/No1ifill","@No1ifill")</f>
        <v>@No1ifill</v>
      </c>
      <c r="C1114" s="21" t="s">
        <v>2296</v>
      </c>
      <c r="D1114" s="21" t="s">
        <v>1734</v>
      </c>
      <c r="E1114" s="22" t="str">
        <f>HYPERLINK("https://twitter.com/No1ifill/status/805042012814770176","805042012814770176")</f>
        <v>805042012814770176</v>
      </c>
      <c r="F1114" s="23" t="s">
        <v>26</v>
      </c>
      <c r="G1114" s="24">
        <v>2861.0</v>
      </c>
      <c r="H1114" s="24">
        <v>2390.0</v>
      </c>
      <c r="I1114" s="24">
        <v>38.0</v>
      </c>
      <c r="J1114" s="24">
        <v>0.0</v>
      </c>
      <c r="K1114" s="23" t="s">
        <v>27</v>
      </c>
      <c r="L1114" s="25">
        <v>41119.91578703704</v>
      </c>
      <c r="M1114" s="26" t="s">
        <v>2297</v>
      </c>
      <c r="N1114" s="26" t="s">
        <v>2298</v>
      </c>
      <c r="O1114" s="22" t="str">
        <f>HYPERLINK("https://pbs.twimg.com/profile_images/3016955759/b06bb799862af51e6e11a84e70bffc9d_normal.jpeg","View")</f>
        <v>View</v>
      </c>
      <c r="P1114" s="27"/>
    </row>
    <row r="1115">
      <c r="A1115" s="19">
        <v>42707.56453703703</v>
      </c>
      <c r="B1115" s="20" t="str">
        <f>HYPERLINK("https://twitter.com/islaspromo","@islaspromo")</f>
        <v>@islaspromo</v>
      </c>
      <c r="C1115" s="21" t="s">
        <v>215</v>
      </c>
      <c r="D1115" s="21" t="s">
        <v>2272</v>
      </c>
      <c r="E1115" s="22" t="str">
        <f>HYPERLINK("https://twitter.com/islaspromo/status/805042135087087617","805042135087087617")</f>
        <v>805042135087087617</v>
      </c>
      <c r="F1115" s="23" t="s">
        <v>37</v>
      </c>
      <c r="G1115" s="24">
        <v>785.0</v>
      </c>
      <c r="H1115" s="24">
        <v>591.0</v>
      </c>
      <c r="I1115" s="24">
        <v>8.0</v>
      </c>
      <c r="J1115" s="24">
        <v>0.0</v>
      </c>
      <c r="K1115" s="23" t="s">
        <v>27</v>
      </c>
      <c r="L1115" s="25">
        <v>42060.74221064815</v>
      </c>
      <c r="M1115" s="26" t="s">
        <v>51</v>
      </c>
      <c r="N1115" s="26" t="s">
        <v>216</v>
      </c>
      <c r="O1115" s="22" t="str">
        <f>HYPERLINK("https://pbs.twimg.com/profile_images/570644453866483712/dvbC2x8W_normal.jpeg","View")</f>
        <v>View</v>
      </c>
      <c r="P1115" s="27"/>
    </row>
    <row r="1116">
      <c r="A1116" s="19">
        <v>42707.566608796296</v>
      </c>
      <c r="B1116" s="20" t="str">
        <f>HYPERLINK("https://twitter.com/petra_v_leeuwen","@petra_v_leeuwen")</f>
        <v>@petra_v_leeuwen</v>
      </c>
      <c r="C1116" s="21" t="s">
        <v>2299</v>
      </c>
      <c r="D1116" s="21" t="s">
        <v>2300</v>
      </c>
      <c r="E1116" s="22" t="str">
        <f>HYPERLINK("https://twitter.com/petra_v_leeuwen/status/805042883732578304","805042883732578304")</f>
        <v>805042883732578304</v>
      </c>
      <c r="F1116" s="23" t="s">
        <v>37</v>
      </c>
      <c r="G1116" s="24">
        <v>147.0</v>
      </c>
      <c r="H1116" s="24">
        <v>192.0</v>
      </c>
      <c r="I1116" s="24">
        <v>0.0</v>
      </c>
      <c r="J1116" s="24">
        <v>0.0</v>
      </c>
      <c r="K1116" s="23" t="s">
        <v>27</v>
      </c>
      <c r="L1116" s="25">
        <v>40735.40971064815</v>
      </c>
      <c r="M1116" s="26" t="s">
        <v>2301</v>
      </c>
      <c r="N1116" s="28"/>
      <c r="O1116" s="22" t="str">
        <f>HYPERLINK("https://pbs.twimg.com/profile_images/498751016653692928/dz-aHJpf_normal.jpeg","View")</f>
        <v>View</v>
      </c>
      <c r="P1116" s="27"/>
    </row>
    <row r="1117">
      <c r="A1117" s="19">
        <v>42707.568773148145</v>
      </c>
      <c r="B1117" s="20" t="str">
        <f>HYPERLINK("https://twitter.com/holyber","@holyber")</f>
        <v>@holyber</v>
      </c>
      <c r="C1117" s="21" t="s">
        <v>45</v>
      </c>
      <c r="D1117" s="21" t="s">
        <v>2272</v>
      </c>
      <c r="E1117" s="22" t="str">
        <f>HYPERLINK("https://twitter.com/holyber/status/805043668004536322","805043668004536322")</f>
        <v>805043668004536322</v>
      </c>
      <c r="F1117" s="23" t="s">
        <v>37</v>
      </c>
      <c r="G1117" s="24">
        <v>106410.0</v>
      </c>
      <c r="H1117" s="24">
        <v>94316.0</v>
      </c>
      <c r="I1117" s="24">
        <v>8.0</v>
      </c>
      <c r="J1117" s="24">
        <v>0.0</v>
      </c>
      <c r="K1117" s="23" t="s">
        <v>27</v>
      </c>
      <c r="L1117" s="25">
        <v>41144.80637731482</v>
      </c>
      <c r="M1117" s="26" t="s">
        <v>46</v>
      </c>
      <c r="N1117" s="26" t="s">
        <v>47</v>
      </c>
      <c r="O1117" s="22" t="str">
        <f>HYPERLINK("https://pbs.twimg.com/profile_images/475644614448123904/FiCl2pX4_normal.jpeg","View")</f>
        <v>View</v>
      </c>
      <c r="P1117" s="27"/>
    </row>
    <row r="1118">
      <c r="A1118" s="19">
        <v>42707.58163194444</v>
      </c>
      <c r="B1118" s="20" t="str">
        <f>HYPERLINK("https://twitter.com/LpaVisit","@LpaVisit")</f>
        <v>@LpaVisit</v>
      </c>
      <c r="C1118" s="21" t="s">
        <v>141</v>
      </c>
      <c r="D1118" s="21" t="s">
        <v>2272</v>
      </c>
      <c r="E1118" s="22" t="str">
        <f>HYPERLINK("https://twitter.com/LpaVisit/status/805048331143618560","805048331143618560")</f>
        <v>805048331143618560</v>
      </c>
      <c r="F1118" s="23" t="s">
        <v>37</v>
      </c>
      <c r="G1118" s="24">
        <v>9640.0</v>
      </c>
      <c r="H1118" s="24">
        <v>554.0</v>
      </c>
      <c r="I1118" s="24">
        <v>8.0</v>
      </c>
      <c r="J1118" s="24">
        <v>0.0</v>
      </c>
      <c r="K1118" s="23" t="s">
        <v>27</v>
      </c>
      <c r="L1118" s="25">
        <v>40866.561064814814</v>
      </c>
      <c r="M1118" s="26" t="s">
        <v>109</v>
      </c>
      <c r="N1118" s="26" t="s">
        <v>142</v>
      </c>
      <c r="O1118" s="22" t="str">
        <f>HYPERLINK("https://pbs.twimg.com/profile_images/656385242819907584/6_e-4aUc_normal.jpg","View")</f>
        <v>View</v>
      </c>
      <c r="P1118" s="27"/>
    </row>
    <row r="1119">
      <c r="A1119" s="19">
        <v>42707.5828587963</v>
      </c>
      <c r="B1119" s="20" t="str">
        <f>HYPERLINK("https://twitter.com/sergon2000","@sergon2000")</f>
        <v>@sergon2000</v>
      </c>
      <c r="C1119" s="21" t="s">
        <v>157</v>
      </c>
      <c r="D1119" s="21" t="s">
        <v>2302</v>
      </c>
      <c r="E1119" s="22" t="str">
        <f>HYPERLINK("https://twitter.com/sergon2000/status/805048774334808065","805048774334808065")</f>
        <v>805048774334808065</v>
      </c>
      <c r="F1119" s="23" t="s">
        <v>69</v>
      </c>
      <c r="G1119" s="24">
        <v>123.0</v>
      </c>
      <c r="H1119" s="24">
        <v>191.0</v>
      </c>
      <c r="I1119" s="24">
        <v>1.0</v>
      </c>
      <c r="J1119" s="24">
        <v>3.0</v>
      </c>
      <c r="K1119" s="23" t="s">
        <v>27</v>
      </c>
      <c r="L1119" s="25">
        <v>40350.56459490741</v>
      </c>
      <c r="M1119" s="26" t="s">
        <v>159</v>
      </c>
      <c r="N1119" s="26" t="s">
        <v>160</v>
      </c>
      <c r="O1119" s="22" t="str">
        <f>HYPERLINK("https://pbs.twimg.com/profile_images/1519010345/yo_normal.jpg","View")</f>
        <v>View</v>
      </c>
      <c r="P1119" s="27"/>
    </row>
    <row r="1120">
      <c r="A1120" s="19">
        <v>42707.59123842593</v>
      </c>
      <c r="B1120" s="20" t="str">
        <f>HYPERLINK("https://twitter.com/RLGieling","@RLGieling")</f>
        <v>@RLGieling</v>
      </c>
      <c r="C1120" s="21" t="s">
        <v>2303</v>
      </c>
      <c r="D1120" s="21" t="s">
        <v>2304</v>
      </c>
      <c r="E1120" s="22" t="str">
        <f>HYPERLINK("https://twitter.com/RLGieling/status/805051811497439233","805051811497439233")</f>
        <v>805051811497439233</v>
      </c>
      <c r="F1120" s="23" t="s">
        <v>81</v>
      </c>
      <c r="G1120" s="24">
        <v>1478.0</v>
      </c>
      <c r="H1120" s="24">
        <v>1183.0</v>
      </c>
      <c r="I1120" s="24">
        <v>0.0</v>
      </c>
      <c r="J1120" s="24">
        <v>0.0</v>
      </c>
      <c r="K1120" s="23" t="s">
        <v>27</v>
      </c>
      <c r="L1120" s="25">
        <v>40574.452731481484</v>
      </c>
      <c r="M1120" s="26" t="s">
        <v>2305</v>
      </c>
      <c r="N1120" s="26" t="s">
        <v>2306</v>
      </c>
      <c r="O1120" s="22" t="str">
        <f>HYPERLINK("https://pbs.twimg.com/profile_images/739040004022935556/1zrwUw2h_normal.jpg","View")</f>
        <v>View</v>
      </c>
      <c r="P1120" s="27" t="str">
        <f>HYPERLINK("https://ctrlq.org/maps/address/#28.10868124,-15.41670979","Map")</f>
        <v>#ERROR!</v>
      </c>
    </row>
    <row r="1121">
      <c r="A1121" s="19">
        <v>42707.620844907404</v>
      </c>
      <c r="B1121" s="20" t="str">
        <f>HYPERLINK("https://twitter.com/MokaGonzalez_","@MokaGonzalez_")</f>
        <v>@MokaGonzalez_</v>
      </c>
      <c r="C1121" s="21" t="s">
        <v>967</v>
      </c>
      <c r="D1121" s="21" t="s">
        <v>2307</v>
      </c>
      <c r="E1121" s="22" t="str">
        <f>HYPERLINK("https://twitter.com/MokaGonzalez_/status/805062538060791808","805062538060791808")</f>
        <v>805062538060791808</v>
      </c>
      <c r="F1121" s="23" t="s">
        <v>41</v>
      </c>
      <c r="G1121" s="24">
        <v>167.0</v>
      </c>
      <c r="H1121" s="24">
        <v>115.0</v>
      </c>
      <c r="I1121" s="24">
        <v>2.0</v>
      </c>
      <c r="J1121" s="24">
        <v>10.0</v>
      </c>
      <c r="K1121" s="23" t="s">
        <v>27</v>
      </c>
      <c r="L1121" s="25">
        <v>42601.60578703704</v>
      </c>
      <c r="M1121" s="26" t="s">
        <v>969</v>
      </c>
      <c r="N1121" s="26" t="s">
        <v>970</v>
      </c>
      <c r="O1121" s="22" t="str">
        <f>HYPERLINK("https://pbs.twimg.com/profile_images/805759744292122624/GVNyopcr_normal.jpg","View")</f>
        <v>View</v>
      </c>
      <c r="P1121" s="27"/>
    </row>
    <row r="1122">
      <c r="A1122" s="19">
        <v>42707.62758101852</v>
      </c>
      <c r="B1122" s="20" t="str">
        <f>HYPERLINK("https://twitter.com/stani320","@stani320")</f>
        <v>@stani320</v>
      </c>
      <c r="C1122" s="21" t="s">
        <v>2308</v>
      </c>
      <c r="D1122" s="21" t="s">
        <v>2309</v>
      </c>
      <c r="E1122" s="22" t="str">
        <f>HYPERLINK("https://twitter.com/stani320/status/805064981549027328","805064981549027328")</f>
        <v>805064981549027328</v>
      </c>
      <c r="F1122" s="23" t="s">
        <v>26</v>
      </c>
      <c r="G1122" s="24">
        <v>746.0</v>
      </c>
      <c r="H1122" s="24">
        <v>522.0</v>
      </c>
      <c r="I1122" s="24">
        <v>0.0</v>
      </c>
      <c r="J1122" s="24">
        <v>4.0</v>
      </c>
      <c r="K1122" s="23" t="s">
        <v>27</v>
      </c>
      <c r="L1122" s="25">
        <v>40572.34303240741</v>
      </c>
      <c r="M1122" s="26" t="s">
        <v>2310</v>
      </c>
      <c r="N1122" s="26" t="s">
        <v>2311</v>
      </c>
      <c r="O1122" s="22" t="str">
        <f>HYPERLINK("https://pbs.twimg.com/profile_images/597076476278788096/_4hbSxb7_normal.jpg","View")</f>
        <v>View</v>
      </c>
      <c r="P1122" s="27"/>
    </row>
    <row r="1123">
      <c r="A1123" s="19">
        <v>42707.628159722226</v>
      </c>
      <c r="B1123" s="20" t="str">
        <f>HYPERLINK("https://twitter.com/LuxurySpainTrav","@LuxurySpainTrav")</f>
        <v>@LuxurySpainTrav</v>
      </c>
      <c r="C1123" s="21" t="s">
        <v>344</v>
      </c>
      <c r="D1123" s="21" t="s">
        <v>1855</v>
      </c>
      <c r="E1123" s="22" t="str">
        <f>HYPERLINK("https://twitter.com/LuxurySpainTrav/status/805065191717294080","805065191717294080")</f>
        <v>805065191717294080</v>
      </c>
      <c r="F1123" s="23" t="s">
        <v>37</v>
      </c>
      <c r="G1123" s="24">
        <v>1252.0</v>
      </c>
      <c r="H1123" s="24">
        <v>1932.0</v>
      </c>
      <c r="I1123" s="24">
        <v>7.0</v>
      </c>
      <c r="J1123" s="24">
        <v>0.0</v>
      </c>
      <c r="K1123" s="23" t="s">
        <v>27</v>
      </c>
      <c r="L1123" s="25">
        <v>40635.43659722222</v>
      </c>
      <c r="M1123" s="26" t="s">
        <v>203</v>
      </c>
      <c r="N1123" s="26" t="s">
        <v>346</v>
      </c>
      <c r="O1123" s="22" t="str">
        <f>HYPERLINK("https://pbs.twimg.com/profile_images/659310953503334400/p4bMqDd0_normal.jpg","View")</f>
        <v>View</v>
      </c>
      <c r="P1123" s="27"/>
    </row>
    <row r="1124">
      <c r="A1124" s="19">
        <v>42707.63909722222</v>
      </c>
      <c r="B1124" s="20" t="str">
        <f>HYPERLINK("https://twitter.com/bethgarrotxa","@bethgarrotxa")</f>
        <v>@bethgarrotxa</v>
      </c>
      <c r="C1124" s="21" t="s">
        <v>648</v>
      </c>
      <c r="D1124" s="21" t="s">
        <v>2312</v>
      </c>
      <c r="E1124" s="22" t="str">
        <f>HYPERLINK("https://twitter.com/bethgarrotxa/status/805069156227772416","805069156227772416")</f>
        <v>805069156227772416</v>
      </c>
      <c r="F1124" s="23" t="s">
        <v>81</v>
      </c>
      <c r="G1124" s="24">
        <v>189.0</v>
      </c>
      <c r="H1124" s="24">
        <v>168.0</v>
      </c>
      <c r="I1124" s="24">
        <v>0.0</v>
      </c>
      <c r="J1124" s="24">
        <v>1.0</v>
      </c>
      <c r="K1124" s="23" t="s">
        <v>27</v>
      </c>
      <c r="L1124" s="25">
        <v>40609.69993055556</v>
      </c>
      <c r="M1124" s="26" t="s">
        <v>455</v>
      </c>
      <c r="N1124" s="26" t="s">
        <v>650</v>
      </c>
      <c r="O1124" s="22" t="str">
        <f>HYPERLINK("https://pbs.twimg.com/profile_images/2784461956/37b6d95f5bcac37b93611f81029dd365_normal.jpeg","View")</f>
        <v>View</v>
      </c>
      <c r="P1124" s="27" t="str">
        <f>HYPERLINK("https://ctrlq.org/maps/address/#28.04776896,-16.57761525","Map")</f>
        <v>#ERROR!</v>
      </c>
    </row>
    <row r="1125">
      <c r="A1125" s="19">
        <v>42707.64383101852</v>
      </c>
      <c r="B1125" s="20" t="str">
        <f>HYPERLINK("https://twitter.com/JimmyDa15361694","@JimmyDa15361694")</f>
        <v>@JimmyDa15361694</v>
      </c>
      <c r="C1125" s="21" t="s">
        <v>2313</v>
      </c>
      <c r="D1125" s="21" t="s">
        <v>1734</v>
      </c>
      <c r="E1125" s="22" t="str">
        <f>HYPERLINK("https://twitter.com/JimmyDa15361694/status/805070870691610624","805070870691610624")</f>
        <v>805070870691610624</v>
      </c>
      <c r="F1125" s="23" t="s">
        <v>26</v>
      </c>
      <c r="G1125" s="24">
        <v>192.0</v>
      </c>
      <c r="H1125" s="24">
        <v>565.0</v>
      </c>
      <c r="I1125" s="24">
        <v>38.0</v>
      </c>
      <c r="J1125" s="24">
        <v>0.0</v>
      </c>
      <c r="K1125" s="23" t="s">
        <v>27</v>
      </c>
      <c r="L1125" s="25">
        <v>42576.6571412037</v>
      </c>
      <c r="M1125" s="28"/>
      <c r="N1125" s="28"/>
      <c r="O1125" s="22" t="str">
        <f>HYPERLINK("https://pbs.twimg.com/profile_images/805063252275240960/YGXc0Joi_normal.jpg","View")</f>
        <v>View</v>
      </c>
      <c r="P1125" s="27"/>
    </row>
    <row r="1126">
      <c r="A1126" s="19">
        <v>42707.64633101852</v>
      </c>
      <c r="B1126" s="20" t="str">
        <f>HYPERLINK("https://twitter.com/LesRandosdeCaco","@LesRandosdeCaco")</f>
        <v>@LesRandosdeCaco</v>
      </c>
      <c r="C1126" s="21" t="s">
        <v>186</v>
      </c>
      <c r="D1126" s="21" t="s">
        <v>2314</v>
      </c>
      <c r="E1126" s="22" t="str">
        <f>HYPERLINK("https://twitter.com/LesRandosdeCaco/status/805071773914005504","805071773914005504")</f>
        <v>805071773914005504</v>
      </c>
      <c r="F1126" s="23" t="s">
        <v>41</v>
      </c>
      <c r="G1126" s="24">
        <v>7.0</v>
      </c>
      <c r="H1126" s="24">
        <v>57.0</v>
      </c>
      <c r="I1126" s="24">
        <v>0.0</v>
      </c>
      <c r="J1126" s="24">
        <v>0.0</v>
      </c>
      <c r="K1126" s="23" t="s">
        <v>27</v>
      </c>
      <c r="L1126" s="25">
        <v>41643.68407407407</v>
      </c>
      <c r="M1126" s="26" t="s">
        <v>188</v>
      </c>
      <c r="N1126" s="26" t="s">
        <v>189</v>
      </c>
      <c r="O1126" s="22" t="str">
        <f>HYPERLINK("https://pbs.twimg.com/profile_images/802073872866705408/wMHnHYch_normal.jpg","View")</f>
        <v>View</v>
      </c>
      <c r="P1126" s="27"/>
    </row>
    <row r="1127">
      <c r="A1127" s="19">
        <v>42707.66378472222</v>
      </c>
      <c r="B1127" s="20" t="str">
        <f>HYPERLINK("https://twitter.com/AlmendrosSpain","@AlmendrosSpain")</f>
        <v>@AlmendrosSpain</v>
      </c>
      <c r="C1127" s="21" t="s">
        <v>2315</v>
      </c>
      <c r="D1127" s="21" t="s">
        <v>2316</v>
      </c>
      <c r="E1127" s="22" t="str">
        <f>HYPERLINK("https://twitter.com/AlmendrosSpain/status/805078099817889793","805078099817889793")</f>
        <v>805078099817889793</v>
      </c>
      <c r="F1127" s="23" t="s">
        <v>401</v>
      </c>
      <c r="G1127" s="24">
        <v>369.0</v>
      </c>
      <c r="H1127" s="24">
        <v>358.0</v>
      </c>
      <c r="I1127" s="24">
        <v>1.0</v>
      </c>
      <c r="J1127" s="24">
        <v>1.0</v>
      </c>
      <c r="K1127" s="23" t="s">
        <v>27</v>
      </c>
      <c r="L1127" s="25">
        <v>41456.50480324074</v>
      </c>
      <c r="M1127" s="28"/>
      <c r="N1127" s="26" t="s">
        <v>2317</v>
      </c>
      <c r="O1127" s="22" t="str">
        <f>HYPERLINK("https://pbs.twimg.com/profile_images/459381901417918464/KT-m5UB0_normal.jpeg","View")</f>
        <v>View</v>
      </c>
      <c r="P1127" s="27"/>
    </row>
    <row r="1128">
      <c r="A1128" s="19">
        <v>42707.66378472222</v>
      </c>
      <c r="B1128" s="20" t="str">
        <f>HYPERLINK("https://twitter.com/Dido_in_Spain","@Dido_in_Spain")</f>
        <v>@Dido_in_Spain</v>
      </c>
      <c r="C1128" s="21" t="s">
        <v>2318</v>
      </c>
      <c r="D1128" s="21" t="s">
        <v>2319</v>
      </c>
      <c r="E1128" s="22" t="str">
        <f>HYPERLINK("https://twitter.com/Dido_in_Spain/status/805078099843026948","805078099843026948")</f>
        <v>805078099843026948</v>
      </c>
      <c r="F1128" s="23" t="s">
        <v>401</v>
      </c>
      <c r="G1128" s="24">
        <v>1204.0</v>
      </c>
      <c r="H1128" s="24">
        <v>1147.0</v>
      </c>
      <c r="I1128" s="24">
        <v>0.0</v>
      </c>
      <c r="J1128" s="24">
        <v>1.0</v>
      </c>
      <c r="K1128" s="23" t="s">
        <v>27</v>
      </c>
      <c r="L1128" s="25">
        <v>40406.17767361111</v>
      </c>
      <c r="M1128" s="26" t="s">
        <v>203</v>
      </c>
      <c r="N1128" s="26" t="s">
        <v>2320</v>
      </c>
      <c r="O1128" s="22" t="str">
        <f>HYPERLINK("https://pbs.twimg.com/profile_images/529650976492232705/7fNPI032_normal.jpeg","View")</f>
        <v>View</v>
      </c>
      <c r="P1128" s="27"/>
    </row>
    <row r="1129">
      <c r="A1129" s="19">
        <v>42707.66378472222</v>
      </c>
      <c r="B1129" s="20" t="str">
        <f>HYPERLINK("https://twitter.com/SoButterfly_VA","@SoButterfly_VA")</f>
        <v>@SoButterfly_VA</v>
      </c>
      <c r="C1129" s="21" t="s">
        <v>2318</v>
      </c>
      <c r="D1129" s="21" t="s">
        <v>2321</v>
      </c>
      <c r="E1129" s="22" t="str">
        <f>HYPERLINK("https://twitter.com/SoButterfly_VA/status/805078100224655360","805078100224655360")</f>
        <v>805078100224655360</v>
      </c>
      <c r="F1129" s="23" t="s">
        <v>401</v>
      </c>
      <c r="G1129" s="24">
        <v>1271.0</v>
      </c>
      <c r="H1129" s="24">
        <v>1132.0</v>
      </c>
      <c r="I1129" s="24">
        <v>0.0</v>
      </c>
      <c r="J1129" s="24">
        <v>1.0</v>
      </c>
      <c r="K1129" s="23" t="s">
        <v>27</v>
      </c>
      <c r="L1129" s="25">
        <v>41108.790625</v>
      </c>
      <c r="M1129" s="26" t="s">
        <v>810</v>
      </c>
      <c r="N1129" s="26" t="s">
        <v>2322</v>
      </c>
      <c r="O1129" s="22" t="str">
        <f>HYPERLINK("https://pbs.twimg.com/profile_images/647381778622246912/U7XAx0PV_normal.jpg","View")</f>
        <v>View</v>
      </c>
      <c r="P1129" s="27"/>
    </row>
    <row r="1130">
      <c r="A1130" s="19">
        <v>42707.66378472222</v>
      </c>
      <c r="B1130" s="20" t="str">
        <f>HYPERLINK("https://twitter.com/soc1albutterfly","@soc1albutterfly")</f>
        <v>@soc1albutterfly</v>
      </c>
      <c r="C1130" s="21" t="s">
        <v>2318</v>
      </c>
      <c r="D1130" s="21" t="s">
        <v>2323</v>
      </c>
      <c r="E1130" s="22" t="str">
        <f>HYPERLINK("https://twitter.com/soc1albutterfly/status/805078100279263232","805078100279263232")</f>
        <v>805078100279263232</v>
      </c>
      <c r="F1130" s="23" t="s">
        <v>401</v>
      </c>
      <c r="G1130" s="24">
        <v>9118.0</v>
      </c>
      <c r="H1130" s="24">
        <v>7310.0</v>
      </c>
      <c r="I1130" s="24">
        <v>0.0</v>
      </c>
      <c r="J1130" s="24">
        <v>1.0</v>
      </c>
      <c r="K1130" s="23" t="s">
        <v>27</v>
      </c>
      <c r="L1130" s="25">
        <v>40927.74599537037</v>
      </c>
      <c r="M1130" s="26" t="s">
        <v>2324</v>
      </c>
      <c r="N1130" s="26" t="s">
        <v>2325</v>
      </c>
      <c r="O1130" s="22" t="str">
        <f>HYPERLINK("https://pbs.twimg.com/profile_images/740082483857915906/LzpS5BXB_normal.jpg","View")</f>
        <v>View</v>
      </c>
      <c r="P1130" s="27"/>
    </row>
    <row r="1131">
      <c r="A1131" s="19">
        <v>42707.667708333334</v>
      </c>
      <c r="B1131" s="20" t="str">
        <f>HYPERLINK("https://twitter.com/GonaRonaldo","@GonaRonaldo")</f>
        <v>@GonaRonaldo</v>
      </c>
      <c r="C1131" s="21" t="s">
        <v>2326</v>
      </c>
      <c r="D1131" s="21" t="s">
        <v>1734</v>
      </c>
      <c r="E1131" s="22" t="str">
        <f>HYPERLINK("https://twitter.com/GonaRonaldo/status/805079524622921728","805079524622921728")</f>
        <v>805079524622921728</v>
      </c>
      <c r="F1131" s="23" t="s">
        <v>41</v>
      </c>
      <c r="G1131" s="24">
        <v>116.0</v>
      </c>
      <c r="H1131" s="24">
        <v>239.0</v>
      </c>
      <c r="I1131" s="24">
        <v>38.0</v>
      </c>
      <c r="J1131" s="24">
        <v>0.0</v>
      </c>
      <c r="K1131" s="23" t="s">
        <v>27</v>
      </c>
      <c r="L1131" s="25">
        <v>41795.89869212963</v>
      </c>
      <c r="M1131" s="26" t="s">
        <v>2327</v>
      </c>
      <c r="N1131" s="28"/>
      <c r="O1131" s="22" t="str">
        <f>HYPERLINK("https://pbs.twimg.com/profile_images/478304113529483264/I24JsRB1_normal.jpeg","View")</f>
        <v>View</v>
      </c>
      <c r="P1131" s="27"/>
    </row>
    <row r="1132">
      <c r="A1132" s="19">
        <v>42707.725011574075</v>
      </c>
      <c r="B1132" s="20" t="str">
        <f>HYPERLINK("https://twitter.com/travelerapps","@travelerapps")</f>
        <v>@travelerapps</v>
      </c>
      <c r="C1132" s="21" t="s">
        <v>2328</v>
      </c>
      <c r="D1132" s="21" t="s">
        <v>112</v>
      </c>
      <c r="E1132" s="22" t="str">
        <f>HYPERLINK("https://twitter.com/travelerapps/status/805100286876516352","805100286876516352")</f>
        <v>805100286876516352</v>
      </c>
      <c r="F1132" s="23" t="s">
        <v>90</v>
      </c>
      <c r="G1132" s="24">
        <v>5672.0</v>
      </c>
      <c r="H1132" s="24">
        <v>6080.0</v>
      </c>
      <c r="I1132" s="24">
        <v>63.0</v>
      </c>
      <c r="J1132" s="24">
        <v>0.0</v>
      </c>
      <c r="K1132" s="23" t="s">
        <v>27</v>
      </c>
      <c r="L1132" s="25">
        <v>42488.06953703704</v>
      </c>
      <c r="M1132" s="28"/>
      <c r="N1132" s="26" t="s">
        <v>2329</v>
      </c>
      <c r="O1132" s="22" t="str">
        <f>HYPERLINK("https://pbs.twimg.com/profile_images/725487065257807872/MF0imL9g_normal.jpg","View")</f>
        <v>View</v>
      </c>
      <c r="P1132" s="27"/>
    </row>
    <row r="1133">
      <c r="A1133" s="19">
        <v>42707.73846064815</v>
      </c>
      <c r="B1133" s="20" t="str">
        <f>HYPERLINK("https://twitter.com/MatthewHirtes","@MatthewHirtes")</f>
        <v>@MatthewHirtes</v>
      </c>
      <c r="C1133" s="21" t="s">
        <v>1294</v>
      </c>
      <c r="D1133" s="21" t="s">
        <v>2330</v>
      </c>
      <c r="E1133" s="22" t="str">
        <f>HYPERLINK("https://twitter.com/MatthewHirtes/status/805105160980758529","805105160980758529")</f>
        <v>805105160980758529</v>
      </c>
      <c r="F1133" s="23" t="s">
        <v>37</v>
      </c>
      <c r="G1133" s="24">
        <v>4048.0</v>
      </c>
      <c r="H1133" s="24">
        <v>1734.0</v>
      </c>
      <c r="I1133" s="24">
        <v>1.0</v>
      </c>
      <c r="J1133" s="24">
        <v>0.0</v>
      </c>
      <c r="K1133" s="23" t="s">
        <v>27</v>
      </c>
      <c r="L1133" s="25">
        <v>39896.476319444446</v>
      </c>
      <c r="M1133" s="26" t="s">
        <v>109</v>
      </c>
      <c r="N1133" s="26" t="s">
        <v>1296</v>
      </c>
      <c r="O1133" s="22" t="str">
        <f>HYPERLINK("https://pbs.twimg.com/profile_images/2882758712/12b371fa0215f5747eecc910e918ee79_normal.jpeg","View")</f>
        <v>View</v>
      </c>
      <c r="P1133" s="27"/>
    </row>
    <row r="1134">
      <c r="A1134" s="19">
        <v>42707.74056712963</v>
      </c>
      <c r="B1134" s="20" t="str">
        <f>HYPERLINK("https://twitter.com/RincondeCali","@RincondeCali")</f>
        <v>@RincondeCali</v>
      </c>
      <c r="C1134" s="21" t="s">
        <v>2331</v>
      </c>
      <c r="D1134" s="21" t="s">
        <v>2332</v>
      </c>
      <c r="E1134" s="22" t="str">
        <f>HYPERLINK("https://twitter.com/RincondeCali/status/805105926667694080","805105926667694080")</f>
        <v>805105926667694080</v>
      </c>
      <c r="F1134" s="23" t="s">
        <v>81</v>
      </c>
      <c r="G1134" s="24">
        <v>179.0</v>
      </c>
      <c r="H1134" s="24">
        <v>173.0</v>
      </c>
      <c r="I1134" s="24">
        <v>0.0</v>
      </c>
      <c r="J1134" s="24">
        <v>0.0</v>
      </c>
      <c r="K1134" s="23" t="s">
        <v>27</v>
      </c>
      <c r="L1134" s="25">
        <v>42231.99185185185</v>
      </c>
      <c r="M1134" s="28"/>
      <c r="N1134" s="26" t="s">
        <v>2333</v>
      </c>
      <c r="O1134" s="22" t="str">
        <f>HYPERLINK("https://pbs.twimg.com/profile_images/784730905403330560/cpdXhYxJ_normal.jpg","View")</f>
        <v>View</v>
      </c>
      <c r="P1134" s="27"/>
    </row>
    <row r="1135">
      <c r="A1135" s="19">
        <v>42707.74107638889</v>
      </c>
      <c r="B1135" s="20" t="str">
        <f>HYPERLINK("https://twitter.com/NelsonTeixeira","@NelsonTeixeira")</f>
        <v>@NelsonTeixeira</v>
      </c>
      <c r="C1135" s="21" t="s">
        <v>2334</v>
      </c>
      <c r="D1135" s="21" t="s">
        <v>2335</v>
      </c>
      <c r="E1135" s="22" t="str">
        <f>HYPERLINK("https://twitter.com/NelsonTeixeira/status/805106111632306178","805106111632306178")</f>
        <v>805106111632306178</v>
      </c>
      <c r="F1135" s="23" t="s">
        <v>81</v>
      </c>
      <c r="G1135" s="24">
        <v>202.0</v>
      </c>
      <c r="H1135" s="24">
        <v>427.0</v>
      </c>
      <c r="I1135" s="24">
        <v>0.0</v>
      </c>
      <c r="J1135" s="24">
        <v>1.0</v>
      </c>
      <c r="K1135" s="23" t="s">
        <v>27</v>
      </c>
      <c r="L1135" s="25">
        <v>39842.5300462963</v>
      </c>
      <c r="M1135" s="26" t="s">
        <v>2336</v>
      </c>
      <c r="N1135" s="26" t="s">
        <v>2337</v>
      </c>
      <c r="O1135" s="22" t="str">
        <f>HYPERLINK("https://pbs.twimg.com/profile_images/1287142423/_MG_8906_normal.jpg","View")</f>
        <v>View</v>
      </c>
      <c r="P1135" s="27" t="str">
        <f t="shared" ref="P1135:P1136" si="118">HYPERLINK("https://ctrlq.org/maps/address/#28.8767246,-13.84987747","Map")</f>
        <v>#ERROR!</v>
      </c>
    </row>
    <row r="1136">
      <c r="A1136" s="19">
        <v>42707.74465277778</v>
      </c>
      <c r="B1136" s="20" t="str">
        <f>HYPERLINK("https://twitter.com/asierbaquero","@asierbaquero")</f>
        <v>@asierbaquero</v>
      </c>
      <c r="C1136" s="21" t="s">
        <v>201</v>
      </c>
      <c r="D1136" s="21" t="s">
        <v>2338</v>
      </c>
      <c r="E1136" s="22" t="str">
        <f>HYPERLINK("https://twitter.com/asierbaquero/status/805107408309776384","805107408309776384")</f>
        <v>805107408309776384</v>
      </c>
      <c r="F1136" s="23" t="s">
        <v>81</v>
      </c>
      <c r="G1136" s="24">
        <v>11368.0</v>
      </c>
      <c r="H1136" s="24">
        <v>11204.0</v>
      </c>
      <c r="I1136" s="24">
        <v>0.0</v>
      </c>
      <c r="J1136" s="24">
        <v>0.0</v>
      </c>
      <c r="K1136" s="23" t="s">
        <v>27</v>
      </c>
      <c r="L1136" s="25">
        <v>39982.34755787037</v>
      </c>
      <c r="M1136" s="26" t="s">
        <v>203</v>
      </c>
      <c r="N1136" s="26" t="s">
        <v>204</v>
      </c>
      <c r="O1136" s="22" t="str">
        <f>HYPERLINK("https://pbs.twimg.com/profile_images/3497575836/b2ae6be61f3184c86257069654bfa8d6_normal.jpeg","View")</f>
        <v>View</v>
      </c>
      <c r="P1136" s="27" t="str">
        <f t="shared" si="118"/>
        <v>#ERROR!</v>
      </c>
    </row>
    <row r="1137">
      <c r="A1137" s="19">
        <v>42707.76394675926</v>
      </c>
      <c r="B1137" s="20" t="str">
        <f>HYPERLINK("https://twitter.com/visi_maria","@visi_maria")</f>
        <v>@visi_maria</v>
      </c>
      <c r="C1137" s="21" t="s">
        <v>2339</v>
      </c>
      <c r="D1137" s="21" t="s">
        <v>2340</v>
      </c>
      <c r="E1137" s="22" t="str">
        <f>HYPERLINK("https://twitter.com/visi_maria/status/805114397362372608","805114397362372608")</f>
        <v>805114397362372608</v>
      </c>
      <c r="F1137" s="23" t="s">
        <v>41</v>
      </c>
      <c r="G1137" s="24">
        <v>79.0</v>
      </c>
      <c r="H1137" s="24">
        <v>167.0</v>
      </c>
      <c r="I1137" s="24">
        <v>5.0</v>
      </c>
      <c r="J1137" s="24">
        <v>8.0</v>
      </c>
      <c r="K1137" s="23" t="s">
        <v>27</v>
      </c>
      <c r="L1137" s="25">
        <v>42390.89173611111</v>
      </c>
      <c r="M1137" s="26" t="s">
        <v>51</v>
      </c>
      <c r="N1137" s="26" t="s">
        <v>2341</v>
      </c>
      <c r="O1137" s="22" t="str">
        <f>HYPERLINK("https://pbs.twimg.com/profile_images/690284858552250368/8M1qZWOt_normal.jpg","View")</f>
        <v>View</v>
      </c>
      <c r="P1137" s="27"/>
    </row>
    <row r="1138">
      <c r="A1138" s="19">
        <v>42707.76516203704</v>
      </c>
      <c r="B1138" s="20" t="str">
        <f>HYPERLINK("https://twitter.com/Visidesigner","@Visidesigner")</f>
        <v>@Visidesigner</v>
      </c>
      <c r="C1138" s="21" t="s">
        <v>2342</v>
      </c>
      <c r="D1138" s="21" t="s">
        <v>2343</v>
      </c>
      <c r="E1138" s="22" t="str">
        <f>HYPERLINK("https://twitter.com/Visidesigner/status/805114837059731457","805114837059731457")</f>
        <v>805114837059731457</v>
      </c>
      <c r="F1138" s="23" t="s">
        <v>41</v>
      </c>
      <c r="G1138" s="24">
        <v>224.0</v>
      </c>
      <c r="H1138" s="24">
        <v>559.0</v>
      </c>
      <c r="I1138" s="24">
        <v>5.0</v>
      </c>
      <c r="J1138" s="24">
        <v>0.0</v>
      </c>
      <c r="K1138" s="23" t="s">
        <v>27</v>
      </c>
      <c r="L1138" s="25">
        <v>41687.817523148144</v>
      </c>
      <c r="M1138" s="26" t="s">
        <v>51</v>
      </c>
      <c r="N1138" s="26" t="s">
        <v>2344</v>
      </c>
      <c r="O1138" s="22" t="str">
        <f>HYPERLINK("https://pbs.twimg.com/profile_images/540864884054188032/hrV0hjKN_normal.jpeg","View")</f>
        <v>View</v>
      </c>
      <c r="P1138" s="27"/>
    </row>
    <row r="1139">
      <c r="A1139" s="19">
        <v>42707.76809027778</v>
      </c>
      <c r="B1139" s="20" t="str">
        <f>HYPERLINK("https://twitter.com/ShopAfortunadas","@ShopAfortunadas")</f>
        <v>@ShopAfortunadas</v>
      </c>
      <c r="C1139" s="21" t="s">
        <v>143</v>
      </c>
      <c r="D1139" s="21" t="s">
        <v>2345</v>
      </c>
      <c r="E1139" s="22" t="str">
        <f>HYPERLINK("https://twitter.com/ShopAfortunadas/status/805115898885472257","805115898885472257")</f>
        <v>805115898885472257</v>
      </c>
      <c r="F1139" s="23" t="s">
        <v>81</v>
      </c>
      <c r="G1139" s="24">
        <v>187.0</v>
      </c>
      <c r="H1139" s="24">
        <v>240.0</v>
      </c>
      <c r="I1139" s="24">
        <v>0.0</v>
      </c>
      <c r="J1139" s="24">
        <v>1.0</v>
      </c>
      <c r="K1139" s="23" t="s">
        <v>27</v>
      </c>
      <c r="L1139" s="25">
        <v>41772.625543981485</v>
      </c>
      <c r="M1139" s="26" t="s">
        <v>42</v>
      </c>
      <c r="N1139" s="26" t="s">
        <v>145</v>
      </c>
      <c r="O1139" s="22" t="str">
        <f>HYPERLINK("https://pbs.twimg.com/profile_images/679251177305972736/xtBJP7kS_normal.jpg","View")</f>
        <v>View</v>
      </c>
      <c r="P1139" s="27"/>
    </row>
    <row r="1140">
      <c r="A1140" s="19">
        <v>42707.77601851852</v>
      </c>
      <c r="B1140" s="20" t="str">
        <f>HYPERLINK("https://twitter.com/travelsaurous","@travelsaurous")</f>
        <v>@travelsaurous</v>
      </c>
      <c r="C1140" s="21" t="s">
        <v>794</v>
      </c>
      <c r="D1140" s="21" t="s">
        <v>2346</v>
      </c>
      <c r="E1140" s="22" t="str">
        <f>HYPERLINK("https://twitter.com/travelsaurous/status/805118773846020096","805118773846020096")</f>
        <v>805118773846020096</v>
      </c>
      <c r="F1140" s="23" t="s">
        <v>37</v>
      </c>
      <c r="G1140" s="24">
        <v>80.0</v>
      </c>
      <c r="H1140" s="24">
        <v>130.0</v>
      </c>
      <c r="I1140" s="24">
        <v>0.0</v>
      </c>
      <c r="J1140" s="24">
        <v>0.0</v>
      </c>
      <c r="K1140" s="23" t="s">
        <v>27</v>
      </c>
      <c r="L1140" s="25">
        <v>41397.90511574074</v>
      </c>
      <c r="M1140" s="26" t="s">
        <v>796</v>
      </c>
      <c r="N1140" s="26" t="s">
        <v>797</v>
      </c>
      <c r="O1140" s="22" t="str">
        <f>HYPERLINK("https://pbs.twimg.com/profile_images/801007789334265856/Myj73CWN_normal.jpg","View")</f>
        <v>View</v>
      </c>
      <c r="P1140" s="27"/>
    </row>
    <row r="1141">
      <c r="A1141" s="19">
        <v>42707.777442129634</v>
      </c>
      <c r="B1141" s="20" t="str">
        <f>HYPERLINK("https://twitter.com/RincondeCali","@RincondeCali")</f>
        <v>@RincondeCali</v>
      </c>
      <c r="C1141" s="21" t="s">
        <v>2331</v>
      </c>
      <c r="D1141" s="21" t="s">
        <v>2347</v>
      </c>
      <c r="E1141" s="22" t="str">
        <f>HYPERLINK("https://twitter.com/RincondeCali/status/805119288281534464","805119288281534464")</f>
        <v>805119288281534464</v>
      </c>
      <c r="F1141" s="23" t="s">
        <v>81</v>
      </c>
      <c r="G1141" s="24">
        <v>179.0</v>
      </c>
      <c r="H1141" s="24">
        <v>173.0</v>
      </c>
      <c r="I1141" s="24">
        <v>0.0</v>
      </c>
      <c r="J1141" s="24">
        <v>0.0</v>
      </c>
      <c r="K1141" s="23" t="s">
        <v>27</v>
      </c>
      <c r="L1141" s="25">
        <v>42231.99185185185</v>
      </c>
      <c r="M1141" s="28"/>
      <c r="N1141" s="26" t="s">
        <v>2333</v>
      </c>
      <c r="O1141" s="22" t="str">
        <f>HYPERLINK("https://pbs.twimg.com/profile_images/784730905403330560/cpdXhYxJ_normal.jpg","View")</f>
        <v>View</v>
      </c>
      <c r="P1141" s="27"/>
    </row>
    <row r="1142">
      <c r="A1142" s="19">
        <v>42707.778460648144</v>
      </c>
      <c r="B1142" s="20" t="str">
        <f>HYPERLINK("https://twitter.com/RLGieling","@RLGieling")</f>
        <v>@RLGieling</v>
      </c>
      <c r="C1142" s="21" t="s">
        <v>2303</v>
      </c>
      <c r="D1142" s="21" t="s">
        <v>2348</v>
      </c>
      <c r="E1142" s="22" t="str">
        <f>HYPERLINK("https://twitter.com/RLGieling/status/805119659481636865","805119659481636865")</f>
        <v>805119659481636865</v>
      </c>
      <c r="F1142" s="23" t="s">
        <v>81</v>
      </c>
      <c r="G1142" s="24">
        <v>1478.0</v>
      </c>
      <c r="H1142" s="24">
        <v>1183.0</v>
      </c>
      <c r="I1142" s="24">
        <v>0.0</v>
      </c>
      <c r="J1142" s="24">
        <v>0.0</v>
      </c>
      <c r="K1142" s="23" t="s">
        <v>27</v>
      </c>
      <c r="L1142" s="25">
        <v>40574.452731481484</v>
      </c>
      <c r="M1142" s="26" t="s">
        <v>2305</v>
      </c>
      <c r="N1142" s="26" t="s">
        <v>2306</v>
      </c>
      <c r="O1142" s="22" t="str">
        <f>HYPERLINK("https://pbs.twimg.com/profile_images/739040004022935556/1zrwUw2h_normal.jpg","View")</f>
        <v>View</v>
      </c>
      <c r="P1142" s="27" t="str">
        <f>HYPERLINK("https://ctrlq.org/maps/address/#28.12722222,-15.43138889","Map")</f>
        <v>#ERROR!</v>
      </c>
    </row>
    <row r="1143">
      <c r="A1143" s="19">
        <v>42707.779756944445</v>
      </c>
      <c r="B1143" s="20" t="str">
        <f>HYPERLINK("https://twitter.com/raffisweb","@raffisweb")</f>
        <v>@raffisweb</v>
      </c>
      <c r="C1143" s="21" t="s">
        <v>2349</v>
      </c>
      <c r="D1143" s="21" t="s">
        <v>2350</v>
      </c>
      <c r="E1143" s="22" t="str">
        <f>HYPERLINK("https://twitter.com/raffisweb/status/805120127142400000","805120127142400000")</f>
        <v>805120127142400000</v>
      </c>
      <c r="F1143" s="23" t="s">
        <v>69</v>
      </c>
      <c r="G1143" s="24">
        <v>2226.0</v>
      </c>
      <c r="H1143" s="24">
        <v>1373.0</v>
      </c>
      <c r="I1143" s="24">
        <v>0.0</v>
      </c>
      <c r="J1143" s="24">
        <v>6.0</v>
      </c>
      <c r="K1143" s="23" t="s">
        <v>27</v>
      </c>
      <c r="L1143" s="25">
        <v>39591.04112268519</v>
      </c>
      <c r="M1143" s="26" t="s">
        <v>2351</v>
      </c>
      <c r="N1143" s="26" t="s">
        <v>2352</v>
      </c>
      <c r="O1143" s="22" t="str">
        <f>HYPERLINK("https://pbs.twimg.com/profile_images/557659235945689088/ofJ0ycK1_normal.jpeg","View")</f>
        <v>View</v>
      </c>
      <c r="P1143" s="27"/>
    </row>
    <row r="1144">
      <c r="A1144" s="19">
        <v>42707.77993055555</v>
      </c>
      <c r="B1144" s="20" t="str">
        <f>HYPERLINK("https://twitter.com/violetapena1","@violetapena1")</f>
        <v>@violetapena1</v>
      </c>
      <c r="C1144" s="21" t="s">
        <v>2353</v>
      </c>
      <c r="D1144" s="21" t="s">
        <v>1734</v>
      </c>
      <c r="E1144" s="22" t="str">
        <f>HYPERLINK("https://twitter.com/violetapena1/status/805120192053264385","805120192053264385")</f>
        <v>805120192053264385</v>
      </c>
      <c r="F1144" s="23" t="s">
        <v>26</v>
      </c>
      <c r="G1144" s="24">
        <v>2975.0</v>
      </c>
      <c r="H1144" s="24">
        <v>818.0</v>
      </c>
      <c r="I1144" s="24">
        <v>38.0</v>
      </c>
      <c r="J1144" s="24">
        <v>0.0</v>
      </c>
      <c r="K1144" s="23" t="s">
        <v>27</v>
      </c>
      <c r="L1144" s="25">
        <v>41254.20653935185</v>
      </c>
      <c r="M1144" s="26" t="s">
        <v>2354</v>
      </c>
      <c r="N1144" s="26" t="s">
        <v>2355</v>
      </c>
      <c r="O1144" s="22" t="str">
        <f>HYPERLINK("https://pbs.twimg.com/profile_images/454894085950541825/rQCk9Tgv_normal.jpeg","View")</f>
        <v>View</v>
      </c>
      <c r="P1144" s="27"/>
    </row>
    <row r="1145">
      <c r="A1145" s="19">
        <v>42707.78377314815</v>
      </c>
      <c r="B1145" s="20" t="str">
        <f>HYPERLINK("https://twitter.com/fafi1000rr","@fafi1000rr")</f>
        <v>@fafi1000rr</v>
      </c>
      <c r="C1145" s="21" t="s">
        <v>2356</v>
      </c>
      <c r="D1145" s="21" t="s">
        <v>1874</v>
      </c>
      <c r="E1145" s="22" t="str">
        <f>HYPERLINK("https://twitter.com/fafi1000rr/status/805121581630582785","805121581630582785")</f>
        <v>805121581630582785</v>
      </c>
      <c r="F1145" s="23" t="s">
        <v>41</v>
      </c>
      <c r="G1145" s="24">
        <v>229.0</v>
      </c>
      <c r="H1145" s="24">
        <v>853.0</v>
      </c>
      <c r="I1145" s="24">
        <v>92.0</v>
      </c>
      <c r="J1145" s="24">
        <v>0.0</v>
      </c>
      <c r="K1145" s="23" t="s">
        <v>27</v>
      </c>
      <c r="L1145" s="25">
        <v>40975.93413194444</v>
      </c>
      <c r="M1145" s="28"/>
      <c r="N1145" s="26" t="s">
        <v>2357</v>
      </c>
      <c r="O1145" s="22" t="str">
        <f>HYPERLINK("https://pbs.twimg.com/profile_images/668716407790661632/0XWyIvzZ_normal.jpg","View")</f>
        <v>View</v>
      </c>
      <c r="P1145" s="27"/>
    </row>
    <row r="1146">
      <c r="A1146" s="19">
        <v>42707.789618055554</v>
      </c>
      <c r="B1146" s="20" t="str">
        <f>HYPERLINK("https://twitter.com/Sr_DONE","@Sr_DONE")</f>
        <v>@Sr_DONE</v>
      </c>
      <c r="C1146" s="21" t="s">
        <v>2358</v>
      </c>
      <c r="D1146" s="21" t="s">
        <v>2359</v>
      </c>
      <c r="E1146" s="22" t="str">
        <f>HYPERLINK("https://twitter.com/Sr_DONE/status/805123701746372612","805123701746372612")</f>
        <v>805123701746372612</v>
      </c>
      <c r="F1146" s="23" t="s">
        <v>81</v>
      </c>
      <c r="G1146" s="24">
        <v>1422.0</v>
      </c>
      <c r="H1146" s="24">
        <v>560.0</v>
      </c>
      <c r="I1146" s="24">
        <v>0.0</v>
      </c>
      <c r="J1146" s="24">
        <v>1.0</v>
      </c>
      <c r="K1146" s="23" t="s">
        <v>27</v>
      </c>
      <c r="L1146" s="25">
        <v>41547.7918287037</v>
      </c>
      <c r="M1146" s="26" t="s">
        <v>2360</v>
      </c>
      <c r="N1146" s="26" t="s">
        <v>2361</v>
      </c>
      <c r="O1146" s="22" t="str">
        <f>HYPERLINK("https://pbs.twimg.com/profile_images/800806075339571201/qxmzMAmf_normal.jpg","View")</f>
        <v>View</v>
      </c>
      <c r="P1146" s="27" t="str">
        <f>HYPERLINK("https://ctrlq.org/maps/address/#28.4667,-16.25","Map")</f>
        <v>#ERROR!</v>
      </c>
    </row>
    <row r="1147">
      <c r="A1147" s="19">
        <v>42707.805393518516</v>
      </c>
      <c r="B1147" s="20" t="str">
        <f>HYPERLINK("https://twitter.com/tombrendt","@tombrendt")</f>
        <v>@tombrendt</v>
      </c>
      <c r="C1147" s="21" t="s">
        <v>2362</v>
      </c>
      <c r="D1147" s="21" t="s">
        <v>2363</v>
      </c>
      <c r="E1147" s="22" t="str">
        <f>HYPERLINK("https://twitter.com/tombrendt/status/805129417014046720","805129417014046720")</f>
        <v>805129417014046720</v>
      </c>
      <c r="F1147" s="23" t="s">
        <v>81</v>
      </c>
      <c r="G1147" s="24">
        <v>896.0</v>
      </c>
      <c r="H1147" s="24">
        <v>322.0</v>
      </c>
      <c r="I1147" s="24">
        <v>0.0</v>
      </c>
      <c r="J1147" s="24">
        <v>0.0</v>
      </c>
      <c r="K1147" s="23" t="s">
        <v>27</v>
      </c>
      <c r="L1147" s="25">
        <v>40074.38480324074</v>
      </c>
      <c r="M1147" s="26" t="s">
        <v>2364</v>
      </c>
      <c r="N1147" s="26" t="s">
        <v>2365</v>
      </c>
      <c r="O1147" s="22" t="str">
        <f>HYPERLINK("https://pbs.twimg.com/profile_images/691692016619642880/7RPDXl07_normal.jpg","View")</f>
        <v>View</v>
      </c>
      <c r="P1147" s="27"/>
    </row>
    <row r="1148">
      <c r="A1148" s="19">
        <v>42707.82015046296</v>
      </c>
      <c r="B1148" s="20" t="str">
        <f>HYPERLINK("https://twitter.com/holyber","@holyber")</f>
        <v>@holyber</v>
      </c>
      <c r="C1148" s="21" t="s">
        <v>45</v>
      </c>
      <c r="D1148" s="21" t="s">
        <v>2366</v>
      </c>
      <c r="E1148" s="22" t="str">
        <f>HYPERLINK("https://twitter.com/holyber/status/805134765087215618","805134765087215618")</f>
        <v>805134765087215618</v>
      </c>
      <c r="F1148" s="23" t="s">
        <v>37</v>
      </c>
      <c r="G1148" s="24">
        <v>106410.0</v>
      </c>
      <c r="H1148" s="24">
        <v>94316.0</v>
      </c>
      <c r="I1148" s="24">
        <v>2.0</v>
      </c>
      <c r="J1148" s="24">
        <v>0.0</v>
      </c>
      <c r="K1148" s="23" t="s">
        <v>27</v>
      </c>
      <c r="L1148" s="25">
        <v>41144.80637731482</v>
      </c>
      <c r="M1148" s="26" t="s">
        <v>46</v>
      </c>
      <c r="N1148" s="26" t="s">
        <v>47</v>
      </c>
      <c r="O1148" s="22" t="str">
        <f>HYPERLINK("https://pbs.twimg.com/profile_images/475644614448123904/FiCl2pX4_normal.jpeg","View")</f>
        <v>View</v>
      </c>
      <c r="P1148" s="27"/>
    </row>
    <row r="1149">
      <c r="A1149" s="19">
        <v>42707.823599537034</v>
      </c>
      <c r="B1149" s="20" t="str">
        <f>HYPERLINK("https://twitter.com/JulioAl18175505","@JulioAl18175505")</f>
        <v>@JulioAl18175505</v>
      </c>
      <c r="C1149" s="21" t="s">
        <v>248</v>
      </c>
      <c r="D1149" s="21" t="s">
        <v>2366</v>
      </c>
      <c r="E1149" s="22" t="str">
        <f>HYPERLINK("https://twitter.com/JulioAl18175505/status/805136014255783936","805136014255783936")</f>
        <v>805136014255783936</v>
      </c>
      <c r="F1149" s="23" t="s">
        <v>41</v>
      </c>
      <c r="G1149" s="24">
        <v>3883.0</v>
      </c>
      <c r="H1149" s="24">
        <v>3761.0</v>
      </c>
      <c r="I1149" s="24">
        <v>2.0</v>
      </c>
      <c r="J1149" s="24">
        <v>0.0</v>
      </c>
      <c r="K1149" s="23" t="s">
        <v>27</v>
      </c>
      <c r="L1149" s="25">
        <v>41713.45993055555</v>
      </c>
      <c r="M1149" s="26" t="s">
        <v>250</v>
      </c>
      <c r="N1149" s="26" t="s">
        <v>251</v>
      </c>
      <c r="O1149" s="22" t="str">
        <f>HYPERLINK("https://pbs.twimg.com/profile_images/706839494851436544/7igsf91D_normal.jpg","View")</f>
        <v>View</v>
      </c>
      <c r="P1149" s="27"/>
    </row>
    <row r="1150">
      <c r="A1150" s="19">
        <v>42707.825312500005</v>
      </c>
      <c r="B1150" s="20" t="str">
        <f>HYPERLINK("https://twitter.com/Selhso","@Selhso")</f>
        <v>@Selhso</v>
      </c>
      <c r="C1150" s="21" t="s">
        <v>194</v>
      </c>
      <c r="D1150" s="21" t="s">
        <v>2367</v>
      </c>
      <c r="E1150" s="22" t="str">
        <f>HYPERLINK("https://twitter.com/Selhso/status/805136635906113536","805136635906113536")</f>
        <v>805136635906113536</v>
      </c>
      <c r="F1150" s="23" t="s">
        <v>37</v>
      </c>
      <c r="G1150" s="24">
        <v>1615.0</v>
      </c>
      <c r="H1150" s="24">
        <v>1661.0</v>
      </c>
      <c r="I1150" s="24">
        <v>15.0</v>
      </c>
      <c r="J1150" s="24">
        <v>24.0</v>
      </c>
      <c r="K1150" s="23" t="s">
        <v>27</v>
      </c>
      <c r="L1150" s="25">
        <v>40372.68681712963</v>
      </c>
      <c r="M1150" s="26" t="s">
        <v>196</v>
      </c>
      <c r="N1150" s="26" t="s">
        <v>109</v>
      </c>
      <c r="O1150" s="22" t="str">
        <f>HYPERLINK("https://pbs.twimg.com/profile_images/800845512836579328/cKh_5hB2_normal.jpg","View")</f>
        <v>View</v>
      </c>
      <c r="P1150" s="27"/>
    </row>
    <row r="1151">
      <c r="A1151" s="19">
        <v>42707.8278125</v>
      </c>
      <c r="B1151" s="20" t="str">
        <f>HYPERLINK("https://twitter.com/JulioAl18175505","@JulioAl18175505")</f>
        <v>@JulioAl18175505</v>
      </c>
      <c r="C1151" s="21" t="s">
        <v>248</v>
      </c>
      <c r="D1151" s="21" t="s">
        <v>2272</v>
      </c>
      <c r="E1151" s="22" t="str">
        <f>HYPERLINK("https://twitter.com/JulioAl18175505/status/805137541129240576","805137541129240576")</f>
        <v>805137541129240576</v>
      </c>
      <c r="F1151" s="23" t="s">
        <v>41</v>
      </c>
      <c r="G1151" s="24">
        <v>3883.0</v>
      </c>
      <c r="H1151" s="24">
        <v>3761.0</v>
      </c>
      <c r="I1151" s="24">
        <v>8.0</v>
      </c>
      <c r="J1151" s="24">
        <v>0.0</v>
      </c>
      <c r="K1151" s="23" t="s">
        <v>27</v>
      </c>
      <c r="L1151" s="25">
        <v>41713.45993055555</v>
      </c>
      <c r="M1151" s="26" t="s">
        <v>250</v>
      </c>
      <c r="N1151" s="26" t="s">
        <v>251</v>
      </c>
      <c r="O1151" s="22" t="str">
        <f>HYPERLINK("https://pbs.twimg.com/profile_images/706839494851436544/7igsf91D_normal.jpg","View")</f>
        <v>View</v>
      </c>
      <c r="P1151" s="27"/>
    </row>
    <row r="1152">
      <c r="A1152" s="19">
        <v>42707.831921296296</v>
      </c>
      <c r="B1152" s="20" t="str">
        <f>HYPERLINK("https://twitter.com/paisajecanario","@paisajecanario")</f>
        <v>@paisajecanario</v>
      </c>
      <c r="C1152" s="21" t="s">
        <v>70</v>
      </c>
      <c r="D1152" s="21" t="s">
        <v>1055</v>
      </c>
      <c r="E1152" s="22" t="str">
        <f>HYPERLINK("https://twitter.com/paisajecanario/status/805139033202585602","805139033202585602")</f>
        <v>805139033202585602</v>
      </c>
      <c r="F1152" s="23" t="s">
        <v>26</v>
      </c>
      <c r="G1152" s="24">
        <v>13324.0</v>
      </c>
      <c r="H1152" s="24">
        <v>434.0</v>
      </c>
      <c r="I1152" s="24">
        <v>15.0</v>
      </c>
      <c r="J1152" s="24">
        <v>0.0</v>
      </c>
      <c r="K1152" s="23" t="s">
        <v>27</v>
      </c>
      <c r="L1152" s="25">
        <v>41815.714641203704</v>
      </c>
      <c r="M1152" s="26" t="s">
        <v>71</v>
      </c>
      <c r="N1152" s="26" t="s">
        <v>72</v>
      </c>
      <c r="O1152" s="22" t="str">
        <f>HYPERLINK("https://pbs.twimg.com/profile_images/789364630850240512/Mw90qAlM_normal.jpg","View")</f>
        <v>View</v>
      </c>
      <c r="P1152" s="27"/>
    </row>
    <row r="1153">
      <c r="A1153" s="19">
        <v>42707.832280092596</v>
      </c>
      <c r="B1153" s="20" t="str">
        <f>HYPERLINK("https://twitter.com/GcMoji","@GcMoji")</f>
        <v>@GcMoji</v>
      </c>
      <c r="C1153" s="21" t="s">
        <v>2368</v>
      </c>
      <c r="D1153" s="21" t="s">
        <v>1055</v>
      </c>
      <c r="E1153" s="22" t="str">
        <f>HYPERLINK("https://twitter.com/GcMoji/status/805139163058151429","805139163058151429")</f>
        <v>805139163058151429</v>
      </c>
      <c r="F1153" s="23" t="s">
        <v>90</v>
      </c>
      <c r="G1153" s="24">
        <v>2818.0</v>
      </c>
      <c r="H1153" s="24">
        <v>762.0</v>
      </c>
      <c r="I1153" s="24">
        <v>15.0</v>
      </c>
      <c r="J1153" s="24">
        <v>0.0</v>
      </c>
      <c r="K1153" s="23" t="s">
        <v>27</v>
      </c>
      <c r="L1153" s="25">
        <v>41070.04219907407</v>
      </c>
      <c r="M1153" s="26" t="s">
        <v>2369</v>
      </c>
      <c r="N1153" s="26" t="s">
        <v>2370</v>
      </c>
      <c r="O1153" s="22" t="str">
        <f>HYPERLINK("https://pbs.twimg.com/profile_images/705869837671780353/P70Dz1Y2_normal.jpg","View")</f>
        <v>View</v>
      </c>
      <c r="P1153" s="27"/>
    </row>
    <row r="1154">
      <c r="A1154" s="19">
        <v>42707.83425925926</v>
      </c>
      <c r="B1154" s="20" t="str">
        <f>HYPERLINK("https://twitter.com/swisshop4uEs","@swisshop4uEs")</f>
        <v>@swisshop4uEs</v>
      </c>
      <c r="C1154" s="21" t="s">
        <v>48</v>
      </c>
      <c r="D1154" s="21" t="s">
        <v>2371</v>
      </c>
      <c r="E1154" s="22" t="str">
        <f>HYPERLINK("https://twitter.com/swisshop4uEs/status/805139879785009152","805139879785009152")</f>
        <v>805139879785009152</v>
      </c>
      <c r="F1154" s="23" t="s">
        <v>50</v>
      </c>
      <c r="G1154" s="24">
        <v>455.0</v>
      </c>
      <c r="H1154" s="24">
        <v>424.0</v>
      </c>
      <c r="I1154" s="24">
        <v>0.0</v>
      </c>
      <c r="J1154" s="24">
        <v>0.0</v>
      </c>
      <c r="K1154" s="23" t="s">
        <v>27</v>
      </c>
      <c r="L1154" s="25">
        <v>41468.93072916666</v>
      </c>
      <c r="M1154" s="26" t="s">
        <v>51</v>
      </c>
      <c r="N1154" s="26" t="s">
        <v>52</v>
      </c>
      <c r="O1154" s="22" t="str">
        <f>HYPERLINK("https://pbs.twimg.com/profile_images/378800000213382003/4f562b59f92995b884d2d440f71fc5ce_normal.png","View")</f>
        <v>View</v>
      </c>
      <c r="P1154" s="27"/>
    </row>
    <row r="1155">
      <c r="A1155" s="19">
        <v>42707.83893518518</v>
      </c>
      <c r="B1155" s="20" t="str">
        <f>HYPERLINK("https://twitter.com/holyber","@holyber")</f>
        <v>@holyber</v>
      </c>
      <c r="C1155" s="21" t="s">
        <v>45</v>
      </c>
      <c r="D1155" s="21" t="s">
        <v>1055</v>
      </c>
      <c r="E1155" s="22" t="str">
        <f>HYPERLINK("https://twitter.com/holyber/status/805141573663068162","805141573663068162")</f>
        <v>805141573663068162</v>
      </c>
      <c r="F1155" s="23" t="s">
        <v>37</v>
      </c>
      <c r="G1155" s="24">
        <v>106410.0</v>
      </c>
      <c r="H1155" s="24">
        <v>94316.0</v>
      </c>
      <c r="I1155" s="24">
        <v>15.0</v>
      </c>
      <c r="J1155" s="24">
        <v>0.0</v>
      </c>
      <c r="K1155" s="23" t="s">
        <v>27</v>
      </c>
      <c r="L1155" s="25">
        <v>41144.80637731482</v>
      </c>
      <c r="M1155" s="26" t="s">
        <v>46</v>
      </c>
      <c r="N1155" s="26" t="s">
        <v>47</v>
      </c>
      <c r="O1155" s="22" t="str">
        <f>HYPERLINK("https://pbs.twimg.com/profile_images/475644614448123904/FiCl2pX4_normal.jpeg","View")</f>
        <v>View</v>
      </c>
      <c r="P1155" s="27"/>
    </row>
    <row r="1156">
      <c r="A1156" s="19">
        <v>42707.84222222222</v>
      </c>
      <c r="B1156" s="20" t="str">
        <f>HYPERLINK("https://twitter.com/amerfarid10","@amerfarid10")</f>
        <v>@amerfarid10</v>
      </c>
      <c r="C1156" s="21" t="s">
        <v>2372</v>
      </c>
      <c r="D1156" s="21" t="s">
        <v>1734</v>
      </c>
      <c r="E1156" s="22" t="str">
        <f>HYPERLINK("https://twitter.com/amerfarid10/status/805142763205443584","805142763205443584")</f>
        <v>805142763205443584</v>
      </c>
      <c r="F1156" s="23" t="s">
        <v>41</v>
      </c>
      <c r="G1156" s="24">
        <v>1147.0</v>
      </c>
      <c r="H1156" s="24">
        <v>2046.0</v>
      </c>
      <c r="I1156" s="24">
        <v>38.0</v>
      </c>
      <c r="J1156" s="24">
        <v>0.0</v>
      </c>
      <c r="K1156" s="23" t="s">
        <v>27</v>
      </c>
      <c r="L1156" s="25">
        <v>42009.16644675926</v>
      </c>
      <c r="M1156" s="28"/>
      <c r="N1156" s="28"/>
      <c r="O1156" s="22" t="str">
        <f>HYPERLINK("https://pbs.twimg.com/profile_images/551951570259415041/ZDsWTHvZ_normal.jpeg","View")</f>
        <v>View</v>
      </c>
      <c r="P1156" s="27"/>
    </row>
    <row r="1157">
      <c r="A1157" s="19">
        <v>42707.85324074074</v>
      </c>
      <c r="B1157" s="20" t="str">
        <f>HYPERLINK("https://twitter.com/Michelnv16","@Michelnv16")</f>
        <v>@Michelnv16</v>
      </c>
      <c r="C1157" s="21" t="s">
        <v>2373</v>
      </c>
      <c r="D1157" s="21" t="s">
        <v>1055</v>
      </c>
      <c r="E1157" s="22" t="str">
        <f>HYPERLINK("https://twitter.com/Michelnv16/status/805146757017505794","805146757017505794")</f>
        <v>805146757017505794</v>
      </c>
      <c r="F1157" s="23" t="s">
        <v>37</v>
      </c>
      <c r="G1157" s="24">
        <v>189.0</v>
      </c>
      <c r="H1157" s="24">
        <v>816.0</v>
      </c>
      <c r="I1157" s="24">
        <v>15.0</v>
      </c>
      <c r="J1157" s="24">
        <v>0.0</v>
      </c>
      <c r="K1157" s="23" t="s">
        <v>27</v>
      </c>
      <c r="L1157" s="25">
        <v>42088.85325231482</v>
      </c>
      <c r="M1157" s="28"/>
      <c r="N1157" s="28"/>
      <c r="O1157" s="22" t="str">
        <f>HYPERLINK("https://pbs.twimg.com/profile_images/737371655736045569/F5pFmOV9_normal.jpg","View")</f>
        <v>View</v>
      </c>
      <c r="P1157" s="27"/>
    </row>
    <row r="1158">
      <c r="A1158" s="19">
        <v>42707.85523148148</v>
      </c>
      <c r="B1158" s="20" t="str">
        <f>HYPERLINK("https://twitter.com/capricolor","@capricolor")</f>
        <v>@capricolor</v>
      </c>
      <c r="C1158" s="21" t="s">
        <v>2374</v>
      </c>
      <c r="D1158" s="21" t="s">
        <v>2375</v>
      </c>
      <c r="E1158" s="22" t="str">
        <f>HYPERLINK("https://twitter.com/capricolor/status/805147479016673281","805147479016673281")</f>
        <v>805147479016673281</v>
      </c>
      <c r="F1158" s="23" t="s">
        <v>81</v>
      </c>
      <c r="G1158" s="24">
        <v>164.0</v>
      </c>
      <c r="H1158" s="24">
        <v>220.0</v>
      </c>
      <c r="I1158" s="24">
        <v>0.0</v>
      </c>
      <c r="J1158" s="24">
        <v>0.0</v>
      </c>
      <c r="K1158" s="23" t="s">
        <v>27</v>
      </c>
      <c r="L1158" s="25">
        <v>40617.05372685185</v>
      </c>
      <c r="M1158" s="26" t="s">
        <v>1084</v>
      </c>
      <c r="N1158" s="26" t="s">
        <v>2376</v>
      </c>
      <c r="O1158" s="22" t="str">
        <f>HYPERLINK("https://pbs.twimg.com/profile_images/746048628872056834/XcuSH3eQ_normal.jpg","View")</f>
        <v>View</v>
      </c>
      <c r="P1158" s="27" t="str">
        <f t="shared" ref="P1158:P1159" si="119">HYPERLINK("https://ctrlq.org/maps/address/#28.45294034,-16.44980701","Map")</f>
        <v>#ERROR!</v>
      </c>
    </row>
    <row r="1159">
      <c r="A1159" s="19">
        <v>42707.855625</v>
      </c>
      <c r="B1159" s="20" t="str">
        <f>HYPERLINK("https://twitter.com/RakheeV","@RakheeV")</f>
        <v>@RakheeV</v>
      </c>
      <c r="C1159" s="21" t="s">
        <v>1240</v>
      </c>
      <c r="D1159" s="21" t="s">
        <v>2377</v>
      </c>
      <c r="E1159" s="22" t="str">
        <f>HYPERLINK("https://twitter.com/RakheeV/status/805147622851813376","805147622851813376")</f>
        <v>805147622851813376</v>
      </c>
      <c r="F1159" s="23" t="s">
        <v>81</v>
      </c>
      <c r="G1159" s="24">
        <v>1489.0</v>
      </c>
      <c r="H1159" s="24">
        <v>2605.0</v>
      </c>
      <c r="I1159" s="24">
        <v>0.0</v>
      </c>
      <c r="J1159" s="24">
        <v>0.0</v>
      </c>
      <c r="K1159" s="23" t="s">
        <v>27</v>
      </c>
      <c r="L1159" s="25">
        <v>40921.93</v>
      </c>
      <c r="M1159" s="26" t="s">
        <v>1172</v>
      </c>
      <c r="N1159" s="26" t="s">
        <v>1242</v>
      </c>
      <c r="O1159" s="22" t="str">
        <f>HYPERLINK("https://pbs.twimg.com/profile_images/742026136801161217/evJgSUlG_normal.jpg","View")</f>
        <v>View</v>
      </c>
      <c r="P1159" s="27" t="str">
        <f t="shared" si="119"/>
        <v>#ERROR!</v>
      </c>
    </row>
    <row r="1160">
      <c r="A1160" s="19">
        <v>42707.88209490741</v>
      </c>
      <c r="B1160" s="20" t="str">
        <f>HYPERLINK("https://twitter.com/Sunbonoo","@Sunbonoo")</f>
        <v>@Sunbonoo</v>
      </c>
      <c r="C1160" s="21" t="s">
        <v>1192</v>
      </c>
      <c r="D1160" s="21" t="s">
        <v>2378</v>
      </c>
      <c r="E1160" s="22" t="str">
        <f>HYPERLINK("https://twitter.com/Sunbonoo/status/805157215149719557","805157215149719557")</f>
        <v>805157215149719557</v>
      </c>
      <c r="F1160" s="23" t="s">
        <v>401</v>
      </c>
      <c r="G1160" s="24">
        <v>625.0</v>
      </c>
      <c r="H1160" s="24">
        <v>1109.0</v>
      </c>
      <c r="I1160" s="24">
        <v>0.0</v>
      </c>
      <c r="J1160" s="24">
        <v>2.0</v>
      </c>
      <c r="K1160" s="23" t="s">
        <v>27</v>
      </c>
      <c r="L1160" s="25">
        <v>41013.81855324074</v>
      </c>
      <c r="M1160" s="26" t="s">
        <v>1194</v>
      </c>
      <c r="N1160" s="26" t="s">
        <v>1195</v>
      </c>
      <c r="O1160" s="22" t="str">
        <f>HYPERLINK("https://pbs.twimg.com/profile_images/2120421138/logo_normal.jpg","View")</f>
        <v>View</v>
      </c>
      <c r="P1160" s="27"/>
    </row>
    <row r="1161">
      <c r="A1161" s="19">
        <v>42707.882986111115</v>
      </c>
      <c r="B1161" s="20" t="str">
        <f>HYPERLINK("https://twitter.com/gord_collins","@gord_collins")</f>
        <v>@gord_collins</v>
      </c>
      <c r="C1161" s="21" t="s">
        <v>2379</v>
      </c>
      <c r="D1161" s="21" t="s">
        <v>2380</v>
      </c>
      <c r="E1161" s="22" t="str">
        <f>HYPERLINK("https://twitter.com/gord_collins/status/805157537167380481","805157537167380481")</f>
        <v>805157537167380481</v>
      </c>
      <c r="F1161" s="23" t="s">
        <v>37</v>
      </c>
      <c r="G1161" s="24">
        <v>7802.0</v>
      </c>
      <c r="H1161" s="24">
        <v>8412.0</v>
      </c>
      <c r="I1161" s="24">
        <v>0.0</v>
      </c>
      <c r="J1161" s="24">
        <v>0.0</v>
      </c>
      <c r="K1161" s="23" t="s">
        <v>27</v>
      </c>
      <c r="L1161" s="25">
        <v>39870.63923611111</v>
      </c>
      <c r="M1161" s="26" t="s">
        <v>2381</v>
      </c>
      <c r="N1161" s="26" t="s">
        <v>2382</v>
      </c>
      <c r="O1161" s="22" t="str">
        <f>HYPERLINK("https://pbs.twimg.com/profile_images/521795841455968257/IkwW2VCA_normal.jpeg","View")</f>
        <v>View</v>
      </c>
      <c r="P1161" s="27"/>
    </row>
    <row r="1162">
      <c r="A1162" s="19">
        <v>42707.885879629626</v>
      </c>
      <c r="B1162" s="20" t="str">
        <f>HYPERLINK("https://twitter.com/arieabekasis","@arieabekasis")</f>
        <v>@arieabekasis</v>
      </c>
      <c r="C1162" s="21" t="s">
        <v>2383</v>
      </c>
      <c r="D1162" s="21" t="s">
        <v>2384</v>
      </c>
      <c r="E1162" s="22" t="str">
        <f>HYPERLINK("https://twitter.com/arieabekasis/status/805158586863198208","805158586863198208")</f>
        <v>805158586863198208</v>
      </c>
      <c r="F1162" s="23" t="s">
        <v>69</v>
      </c>
      <c r="G1162" s="24">
        <v>79.0</v>
      </c>
      <c r="H1162" s="24">
        <v>153.0</v>
      </c>
      <c r="I1162" s="24">
        <v>0.0</v>
      </c>
      <c r="J1162" s="24">
        <v>0.0</v>
      </c>
      <c r="K1162" s="23" t="s">
        <v>27</v>
      </c>
      <c r="L1162" s="25">
        <v>41628.20082175926</v>
      </c>
      <c r="M1162" s="26" t="s">
        <v>2385</v>
      </c>
      <c r="N1162" s="26" t="s">
        <v>2386</v>
      </c>
      <c r="O1162" s="22" t="str">
        <f>HYPERLINK("https://pbs.twimg.com/profile_images/755153567720181760/fEeWfO94_normal.jpg","View")</f>
        <v>View</v>
      </c>
      <c r="P1162" s="27"/>
    </row>
    <row r="1163">
      <c r="A1163" s="19">
        <v>42707.88847222222</v>
      </c>
      <c r="B1163" s="20" t="str">
        <f>HYPERLINK("https://twitter.com/Salamanca_SSV","@Salamanca_SSV")</f>
        <v>@Salamanca_SSV</v>
      </c>
      <c r="C1163" s="21" t="s">
        <v>170</v>
      </c>
      <c r="D1163" s="21" t="s">
        <v>1055</v>
      </c>
      <c r="E1163" s="22" t="str">
        <f>HYPERLINK("https://twitter.com/Salamanca_SSV/status/805159523757518848","805159523757518848")</f>
        <v>805159523757518848</v>
      </c>
      <c r="F1163" s="23" t="s">
        <v>41</v>
      </c>
      <c r="G1163" s="24">
        <v>7240.0</v>
      </c>
      <c r="H1163" s="24">
        <v>7824.0</v>
      </c>
      <c r="I1163" s="24">
        <v>15.0</v>
      </c>
      <c r="J1163" s="24">
        <v>0.0</v>
      </c>
      <c r="K1163" s="23" t="s">
        <v>27</v>
      </c>
      <c r="L1163" s="25">
        <v>41317.78532407407</v>
      </c>
      <c r="M1163" s="26" t="s">
        <v>171</v>
      </c>
      <c r="N1163" s="26" t="s">
        <v>172</v>
      </c>
      <c r="O1163" s="22" t="str">
        <f>HYPERLINK("https://pbs.twimg.com/profile_images/3461850627/70f1c6c744e939681691ad3a09d64375_normal.png","View")</f>
        <v>View</v>
      </c>
      <c r="P1163" s="27"/>
    </row>
    <row r="1164">
      <c r="A1164" s="19">
        <v>42707.88978009259</v>
      </c>
      <c r="B1164" s="20" t="str">
        <f>HYPERLINK("https://twitter.com/NoamBouzaglou","@NoamBouzaglou")</f>
        <v>@NoamBouzaglou</v>
      </c>
      <c r="C1164" s="21" t="s">
        <v>2387</v>
      </c>
      <c r="D1164" s="21" t="s">
        <v>2388</v>
      </c>
      <c r="E1164" s="22" t="str">
        <f>HYPERLINK("https://twitter.com/NoamBouzaglou/status/805159998141714432","805159998141714432")</f>
        <v>805159998141714432</v>
      </c>
      <c r="F1164" s="23" t="s">
        <v>69</v>
      </c>
      <c r="G1164" s="24">
        <v>54.0</v>
      </c>
      <c r="H1164" s="24">
        <v>41.0</v>
      </c>
      <c r="I1164" s="24">
        <v>0.0</v>
      </c>
      <c r="J1164" s="24">
        <v>0.0</v>
      </c>
      <c r="K1164" s="23" t="s">
        <v>27</v>
      </c>
      <c r="L1164" s="25">
        <v>42542.715104166666</v>
      </c>
      <c r="M1164" s="26" t="s">
        <v>2389</v>
      </c>
      <c r="N1164" s="26" t="s">
        <v>2390</v>
      </c>
      <c r="O1164" s="22" t="str">
        <f>HYPERLINK("https://pbs.twimg.com/profile_images/745452670001942530/QO1UzIUL_normal.jpg","View")</f>
        <v>View</v>
      </c>
      <c r="P1164" s="27"/>
    </row>
    <row r="1165">
      <c r="A1165" s="19">
        <v>42707.89271990741</v>
      </c>
      <c r="B1165" s="20" t="str">
        <f>HYPERLINK("https://twitter.com/TenerifeHotel1","@TenerifeHotel1")</f>
        <v>@TenerifeHotel1</v>
      </c>
      <c r="C1165" s="21" t="s">
        <v>2391</v>
      </c>
      <c r="D1165" s="21" t="s">
        <v>2392</v>
      </c>
      <c r="E1165" s="22" t="str">
        <f>HYPERLINK("https://twitter.com/TenerifeHotel1/status/805161064455356416","805161064455356416")</f>
        <v>805161064455356416</v>
      </c>
      <c r="F1165" s="23" t="s">
        <v>59</v>
      </c>
      <c r="G1165" s="24">
        <v>227.0</v>
      </c>
      <c r="H1165" s="24">
        <v>674.0</v>
      </c>
      <c r="I1165" s="24">
        <v>0.0</v>
      </c>
      <c r="J1165" s="24">
        <v>0.0</v>
      </c>
      <c r="K1165" s="23" t="s">
        <v>27</v>
      </c>
      <c r="L1165" s="25">
        <v>42340.894895833335</v>
      </c>
      <c r="M1165" s="26" t="s">
        <v>2393</v>
      </c>
      <c r="N1165" s="28"/>
      <c r="O1165" s="22" t="str">
        <f>HYPERLINK("https://pbs.twimg.com/profile_images/672166617074155521/UKEAS6o6_normal.png","View")</f>
        <v>View</v>
      </c>
      <c r="P1165" s="27"/>
    </row>
    <row r="1166">
      <c r="A1166" s="19">
        <v>42707.91502314815</v>
      </c>
      <c r="B1166" s="20" t="str">
        <f>HYPERLINK("https://twitter.com/Lanzarote3C","@Lanzarote3C")</f>
        <v>@Lanzarote3C</v>
      </c>
      <c r="C1166" s="32" t="s">
        <v>2394</v>
      </c>
      <c r="D1166" s="21" t="s">
        <v>2343</v>
      </c>
      <c r="E1166" s="22" t="str">
        <f>HYPERLINK("https://twitter.com/Lanzarote3C/status/805169146770112512","805169146770112512")</f>
        <v>805169146770112512</v>
      </c>
      <c r="F1166" s="23" t="s">
        <v>37</v>
      </c>
      <c r="G1166" s="24">
        <v>3555.0</v>
      </c>
      <c r="H1166" s="24">
        <v>2262.0</v>
      </c>
      <c r="I1166" s="24">
        <v>5.0</v>
      </c>
      <c r="J1166" s="24">
        <v>0.0</v>
      </c>
      <c r="K1166" s="23" t="s">
        <v>27</v>
      </c>
      <c r="L1166" s="25">
        <v>41603.5158912037</v>
      </c>
      <c r="M1166" s="28"/>
      <c r="N1166" s="26" t="s">
        <v>2395</v>
      </c>
      <c r="O1166" s="22" t="str">
        <f>HYPERLINK("https://pbs.twimg.com/profile_images/378800000865806258/e_dAQxEM_normal.png","View")</f>
        <v>View</v>
      </c>
      <c r="P1166" s="27"/>
    </row>
    <row r="1167">
      <c r="A1167" s="19">
        <v>42707.91521990741</v>
      </c>
      <c r="B1167" s="20" t="str">
        <f>HYPERLINK("https://twitter.com/josecdiez","@josecdiez")</f>
        <v>@josecdiez</v>
      </c>
      <c r="C1167" s="21" t="s">
        <v>2396</v>
      </c>
      <c r="D1167" s="21" t="s">
        <v>2343</v>
      </c>
      <c r="E1167" s="22" t="str">
        <f>HYPERLINK("https://twitter.com/josecdiez/status/805169218673135616","805169218673135616")</f>
        <v>805169218673135616</v>
      </c>
      <c r="F1167" s="23" t="s">
        <v>26</v>
      </c>
      <c r="G1167" s="24">
        <v>88691.0</v>
      </c>
      <c r="H1167" s="24">
        <v>1289.0</v>
      </c>
      <c r="I1167" s="24">
        <v>5.0</v>
      </c>
      <c r="J1167" s="24">
        <v>0.0</v>
      </c>
      <c r="K1167" s="23" t="s">
        <v>27</v>
      </c>
      <c r="L1167" s="25">
        <v>40234.335381944446</v>
      </c>
      <c r="M1167" s="26" t="s">
        <v>65</v>
      </c>
      <c r="N1167" s="28"/>
      <c r="O1167" s="22" t="str">
        <f>HYPERLINK("https://pbs.twimg.com/profile_images/772040397921083392/9nB8yk-G_normal.jpg","View")</f>
        <v>View</v>
      </c>
      <c r="P1167" s="27"/>
    </row>
    <row r="1168">
      <c r="A1168" s="19">
        <v>42707.951828703706</v>
      </c>
      <c r="B1168" s="20" t="str">
        <f>HYPERLINK("https://twitter.com/TitsBumsAndFeet","@TitsBumsAndFeet")</f>
        <v>@TitsBumsAndFeet</v>
      </c>
      <c r="C1168" s="21" t="s">
        <v>2397</v>
      </c>
      <c r="D1168" s="21" t="s">
        <v>1734</v>
      </c>
      <c r="E1168" s="22" t="str">
        <f>HYPERLINK("https://twitter.com/TitsBumsAndFeet/status/805182485185306624","805182485185306624")</f>
        <v>805182485185306624</v>
      </c>
      <c r="F1168" s="23" t="s">
        <v>41</v>
      </c>
      <c r="G1168" s="24">
        <v>91991.0</v>
      </c>
      <c r="H1168" s="24">
        <v>110.0</v>
      </c>
      <c r="I1168" s="24">
        <v>38.0</v>
      </c>
      <c r="J1168" s="24">
        <v>0.0</v>
      </c>
      <c r="K1168" s="23" t="s">
        <v>27</v>
      </c>
      <c r="L1168" s="25">
        <v>41233.00371527778</v>
      </c>
      <c r="M1168" s="26" t="s">
        <v>2398</v>
      </c>
      <c r="N1168" s="26" t="s">
        <v>2399</v>
      </c>
      <c r="O1168" s="22" t="str">
        <f>HYPERLINK("https://pbs.twimg.com/profile_images/617602385863659520/Obwo7i_I_normal.jpg","View")</f>
        <v>View</v>
      </c>
      <c r="P1168" s="27"/>
    </row>
    <row r="1169">
      <c r="A1169" s="19">
        <v>42707.953877314816</v>
      </c>
      <c r="B1169" s="20" t="str">
        <f>HYPERLINK("https://twitter.com/LairyBoy","@LairyBoy")</f>
        <v>@LairyBoy</v>
      </c>
      <c r="C1169" s="21" t="s">
        <v>2400</v>
      </c>
      <c r="D1169" s="21" t="s">
        <v>1734</v>
      </c>
      <c r="E1169" s="22" t="str">
        <f>HYPERLINK("https://twitter.com/LairyBoy/status/805183225958121472","805183225958121472")</f>
        <v>805183225958121472</v>
      </c>
      <c r="F1169" s="23" t="s">
        <v>26</v>
      </c>
      <c r="G1169" s="24">
        <v>2767.0</v>
      </c>
      <c r="H1169" s="24">
        <v>2743.0</v>
      </c>
      <c r="I1169" s="24">
        <v>38.0</v>
      </c>
      <c r="J1169" s="24">
        <v>0.0</v>
      </c>
      <c r="K1169" s="23" t="s">
        <v>27</v>
      </c>
      <c r="L1169" s="25">
        <v>40906.82728009259</v>
      </c>
      <c r="M1169" s="28"/>
      <c r="N1169" s="28"/>
      <c r="O1169" s="22" t="str">
        <f>HYPERLINK("https://pbs.twimg.com/profile_images/589334078941437952/pe_b07J0_normal.jpg","View")</f>
        <v>View</v>
      </c>
      <c r="P1169" s="27"/>
    </row>
    <row r="1170">
      <c r="A1170" s="19">
        <v>42707.95701388889</v>
      </c>
      <c r="B1170" s="20" t="str">
        <f>HYPERLINK("https://twitter.com/spain","@spain")</f>
        <v>@spain</v>
      </c>
      <c r="C1170" s="21" t="s">
        <v>203</v>
      </c>
      <c r="D1170" s="21" t="s">
        <v>2401</v>
      </c>
      <c r="E1170" s="22" t="str">
        <f>HYPERLINK("https://twitter.com/spain/status/805184363704958976","805184363704958976")</f>
        <v>805184363704958976</v>
      </c>
      <c r="F1170" s="23" t="s">
        <v>2402</v>
      </c>
      <c r="G1170" s="24">
        <v>253404.0</v>
      </c>
      <c r="H1170" s="24">
        <v>24928.0</v>
      </c>
      <c r="I1170" s="24">
        <v>40.0</v>
      </c>
      <c r="J1170" s="24">
        <v>78.0</v>
      </c>
      <c r="K1170" s="23" t="s">
        <v>27</v>
      </c>
      <c r="L1170" s="25">
        <v>39801.56413194444</v>
      </c>
      <c r="M1170" s="26" t="s">
        <v>65</v>
      </c>
      <c r="N1170" s="26" t="s">
        <v>2403</v>
      </c>
      <c r="O1170" s="22" t="str">
        <f>HYPERLINK("https://pbs.twimg.com/profile_images/686535231541768192/Rlk05H1a_normal.jpg","View")</f>
        <v>View</v>
      </c>
      <c r="P1170" s="27"/>
    </row>
    <row r="1171">
      <c r="A1171" s="19">
        <v>42707.957777777774</v>
      </c>
      <c r="B1171" s="20" t="str">
        <f>HYPERLINK("https://twitter.com/YoMeAbstengo","@YoMeAbstengo")</f>
        <v>@YoMeAbstengo</v>
      </c>
      <c r="C1171" s="21" t="s">
        <v>2404</v>
      </c>
      <c r="D1171" s="21" t="s">
        <v>2405</v>
      </c>
      <c r="E1171" s="22" t="str">
        <f>HYPERLINK("https://twitter.com/YoMeAbstengo/status/805184642303328257","805184642303328257")</f>
        <v>805184642303328257</v>
      </c>
      <c r="F1171" s="23" t="s">
        <v>37</v>
      </c>
      <c r="G1171" s="24">
        <v>665.0</v>
      </c>
      <c r="H1171" s="24">
        <v>1561.0</v>
      </c>
      <c r="I1171" s="24">
        <v>40.0</v>
      </c>
      <c r="J1171" s="24">
        <v>0.0</v>
      </c>
      <c r="K1171" s="23" t="s">
        <v>27</v>
      </c>
      <c r="L1171" s="25">
        <v>42377.002650462964</v>
      </c>
      <c r="M1171" s="28"/>
      <c r="N1171" s="26" t="s">
        <v>2406</v>
      </c>
      <c r="O1171" s="22" t="str">
        <f>HYPERLINK("https://pbs.twimg.com/profile_images/685916732184260610/zreST-yg_normal.jpg","View")</f>
        <v>View</v>
      </c>
      <c r="P1171" s="27"/>
    </row>
    <row r="1172">
      <c r="A1172" s="19">
        <v>42707.9621875</v>
      </c>
      <c r="B1172" s="20" t="str">
        <f>HYPERLINK("https://twitter.com/nisaaziz_","@nisaaziz_")</f>
        <v>@nisaaziz_</v>
      </c>
      <c r="C1172" s="21" t="s">
        <v>2407</v>
      </c>
      <c r="D1172" s="21" t="s">
        <v>2405</v>
      </c>
      <c r="E1172" s="22" t="str">
        <f>HYPERLINK("https://twitter.com/nisaaziz_/status/805186238491676672","805186238491676672")</f>
        <v>805186238491676672</v>
      </c>
      <c r="F1172" s="23" t="s">
        <v>41</v>
      </c>
      <c r="G1172" s="24">
        <v>74.0</v>
      </c>
      <c r="H1172" s="24">
        <v>35.0</v>
      </c>
      <c r="I1172" s="24">
        <v>40.0</v>
      </c>
      <c r="J1172" s="24">
        <v>0.0</v>
      </c>
      <c r="K1172" s="23" t="s">
        <v>27</v>
      </c>
      <c r="L1172" s="25">
        <v>41218.17550925926</v>
      </c>
      <c r="M1172" s="26" t="s">
        <v>65</v>
      </c>
      <c r="N1172" s="26" t="s">
        <v>2408</v>
      </c>
      <c r="O1172" s="22" t="str">
        <f>HYPERLINK("https://pbs.twimg.com/profile_images/797475015054626816/0YtSi2Ja_normal.jpg","View")</f>
        <v>View</v>
      </c>
      <c r="P1172" s="27"/>
    </row>
    <row r="1173">
      <c r="A1173" s="19">
        <v>42707.96302083333</v>
      </c>
      <c r="B1173" s="20" t="str">
        <f>HYPERLINK("https://twitter.com/mebelle5490","@mebelle5490")</f>
        <v>@mebelle5490</v>
      </c>
      <c r="C1173" s="21" t="s">
        <v>2409</v>
      </c>
      <c r="D1173" s="21" t="s">
        <v>2405</v>
      </c>
      <c r="E1173" s="22" t="str">
        <f>HYPERLINK("https://twitter.com/mebelle5490/status/805186540947308544","805186540947308544")</f>
        <v>805186540947308544</v>
      </c>
      <c r="F1173" s="23" t="s">
        <v>41</v>
      </c>
      <c r="G1173" s="24">
        <v>643.0</v>
      </c>
      <c r="H1173" s="24">
        <v>1891.0</v>
      </c>
      <c r="I1173" s="24">
        <v>40.0</v>
      </c>
      <c r="J1173" s="24">
        <v>0.0</v>
      </c>
      <c r="K1173" s="23" t="s">
        <v>27</v>
      </c>
      <c r="L1173" s="25">
        <v>41048.66347222222</v>
      </c>
      <c r="M1173" s="26" t="s">
        <v>2410</v>
      </c>
      <c r="N1173" s="26" t="s">
        <v>2411</v>
      </c>
      <c r="O1173" s="22" t="str">
        <f>HYPERLINK("https://pbs.twimg.com/profile_images/800094840050642944/Ai0UfnVu_normal.jpg","View")</f>
        <v>View</v>
      </c>
      <c r="P1173" s="27"/>
    </row>
    <row r="1174">
      <c r="A1174" s="19">
        <v>42707.96416666667</v>
      </c>
      <c r="B1174" s="20" t="str">
        <f>HYPERLINK("https://twitter.com/ale1linares","@ale1linares")</f>
        <v>@ale1linares</v>
      </c>
      <c r="C1174" s="21" t="s">
        <v>2412</v>
      </c>
      <c r="D1174" s="21" t="s">
        <v>2405</v>
      </c>
      <c r="E1174" s="22" t="str">
        <f>HYPERLINK("https://twitter.com/ale1linares/status/805186955038392320","805186955038392320")</f>
        <v>805186955038392320</v>
      </c>
      <c r="F1174" s="23" t="s">
        <v>41</v>
      </c>
      <c r="G1174" s="24">
        <v>93.0</v>
      </c>
      <c r="H1174" s="24">
        <v>450.0</v>
      </c>
      <c r="I1174" s="24">
        <v>40.0</v>
      </c>
      <c r="J1174" s="24">
        <v>0.0</v>
      </c>
      <c r="K1174" s="23" t="s">
        <v>27</v>
      </c>
      <c r="L1174" s="25">
        <v>40660.95743055556</v>
      </c>
      <c r="M1174" s="28"/>
      <c r="N1174" s="28"/>
      <c r="O1174" s="22" t="str">
        <f>HYPERLINK("https://pbs.twimg.com/profile_images/801948074700603393/xVmO8vME_normal.jpg","View")</f>
        <v>View</v>
      </c>
      <c r="P1174" s="27"/>
    </row>
    <row r="1175">
      <c r="A1175" s="19">
        <v>42707.96517361111</v>
      </c>
      <c r="B1175" s="20" t="str">
        <f>HYPERLINK("https://twitter.com/josejasz","@josejasz")</f>
        <v>@josejasz</v>
      </c>
      <c r="C1175" s="21" t="s">
        <v>2413</v>
      </c>
      <c r="D1175" s="21" t="s">
        <v>2405</v>
      </c>
      <c r="E1175" s="22" t="str">
        <f>HYPERLINK("https://twitter.com/josejasz/status/805187320341233665","805187320341233665")</f>
        <v>805187320341233665</v>
      </c>
      <c r="F1175" s="23" t="s">
        <v>41</v>
      </c>
      <c r="G1175" s="24">
        <v>36.0</v>
      </c>
      <c r="H1175" s="24">
        <v>131.0</v>
      </c>
      <c r="I1175" s="24">
        <v>40.0</v>
      </c>
      <c r="J1175" s="24">
        <v>0.0</v>
      </c>
      <c r="K1175" s="23" t="s">
        <v>27</v>
      </c>
      <c r="L1175" s="25">
        <v>42356.96671296297</v>
      </c>
      <c r="M1175" s="28"/>
      <c r="N1175" s="26" t="s">
        <v>2414</v>
      </c>
      <c r="O1175" s="22" t="str">
        <f>HYPERLINK("https://pbs.twimg.com/profile_images/681205593550548992/TV4ebZ-2_normal.jpg","View")</f>
        <v>View</v>
      </c>
      <c r="P1175" s="27"/>
    </row>
    <row r="1176">
      <c r="A1176" s="19">
        <v>42707.96527777778</v>
      </c>
      <c r="B1176" s="20" t="str">
        <f>HYPERLINK("https://twitter.com/Austin13Fortier","@Austin13Fortier")</f>
        <v>@Austin13Fortier</v>
      </c>
      <c r="C1176" s="21" t="s">
        <v>2415</v>
      </c>
      <c r="D1176" s="21" t="s">
        <v>2405</v>
      </c>
      <c r="E1176" s="22" t="str">
        <f>HYPERLINK("https://twitter.com/Austin13Fortier/status/805187357431492612","805187357431492612")</f>
        <v>805187357431492612</v>
      </c>
      <c r="F1176" s="23" t="s">
        <v>26</v>
      </c>
      <c r="G1176" s="24">
        <v>91.0</v>
      </c>
      <c r="H1176" s="24">
        <v>80.0</v>
      </c>
      <c r="I1176" s="24">
        <v>40.0</v>
      </c>
      <c r="J1176" s="24">
        <v>0.0</v>
      </c>
      <c r="K1176" s="23" t="s">
        <v>27</v>
      </c>
      <c r="L1176" s="25">
        <v>41599.10540509259</v>
      </c>
      <c r="M1176" s="28"/>
      <c r="N1176" s="26" t="s">
        <v>2416</v>
      </c>
      <c r="O1176" s="22" t="str">
        <f>HYPERLINK("https://pbs.twimg.com/profile_images/727638478360596481/0rzlCELB_normal.jpg","View")</f>
        <v>View</v>
      </c>
      <c r="P1176" s="27"/>
    </row>
    <row r="1177">
      <c r="A1177" s="19">
        <v>42707.96530092593</v>
      </c>
      <c r="B1177" s="20" t="str">
        <f>HYPERLINK("https://twitter.com/diegogonzalo92","@diegogonzalo92")</f>
        <v>@diegogonzalo92</v>
      </c>
      <c r="C1177" s="21" t="s">
        <v>2417</v>
      </c>
      <c r="D1177" s="21" t="s">
        <v>2405</v>
      </c>
      <c r="E1177" s="22" t="str">
        <f>HYPERLINK("https://twitter.com/diegogonzalo92/status/805187368428965888","805187368428965888")</f>
        <v>805187368428965888</v>
      </c>
      <c r="F1177" s="23" t="s">
        <v>41</v>
      </c>
      <c r="G1177" s="24">
        <v>254.0</v>
      </c>
      <c r="H1177" s="24">
        <v>512.0</v>
      </c>
      <c r="I1177" s="24">
        <v>40.0</v>
      </c>
      <c r="J1177" s="24">
        <v>0.0</v>
      </c>
      <c r="K1177" s="23" t="s">
        <v>27</v>
      </c>
      <c r="L1177" s="25">
        <v>40128.81550925926</v>
      </c>
      <c r="M1177" s="26" t="s">
        <v>2418</v>
      </c>
      <c r="N1177" s="26" t="s">
        <v>2419</v>
      </c>
      <c r="O1177" s="22" t="str">
        <f>HYPERLINK("https://pbs.twimg.com/profile_images/533667794345136129/YsG85GvM_normal.jpeg","View")</f>
        <v>View</v>
      </c>
      <c r="P1177" s="27"/>
    </row>
    <row r="1178">
      <c r="A1178" s="19">
        <v>42707.96847222222</v>
      </c>
      <c r="B1178" s="20" t="str">
        <f>HYPERLINK("https://twitter.com/DAgabeyoglu","@DAgabeyoglu")</f>
        <v>@DAgabeyoglu</v>
      </c>
      <c r="C1178" s="21" t="s">
        <v>2420</v>
      </c>
      <c r="D1178" s="21" t="s">
        <v>2405</v>
      </c>
      <c r="E1178" s="22" t="str">
        <f>HYPERLINK("https://twitter.com/DAgabeyoglu/status/805188516472823808","805188516472823808")</f>
        <v>805188516472823808</v>
      </c>
      <c r="F1178" s="23" t="s">
        <v>26</v>
      </c>
      <c r="G1178" s="24">
        <v>267.0</v>
      </c>
      <c r="H1178" s="24">
        <v>214.0</v>
      </c>
      <c r="I1178" s="24">
        <v>40.0</v>
      </c>
      <c r="J1178" s="24">
        <v>0.0</v>
      </c>
      <c r="K1178" s="23" t="s">
        <v>27</v>
      </c>
      <c r="L1178" s="25">
        <v>40391.95416666666</v>
      </c>
      <c r="M1178" s="26" t="s">
        <v>2421</v>
      </c>
      <c r="N1178" s="26" t="s">
        <v>2422</v>
      </c>
      <c r="O1178" s="22" t="str">
        <f>HYPERLINK("https://pbs.twimg.com/profile_images/790307522045435904/wYegLsfT_normal.jpg","View")</f>
        <v>View</v>
      </c>
      <c r="P1178" s="27"/>
    </row>
    <row r="1179">
      <c r="A1179" s="19">
        <v>42707.969814814816</v>
      </c>
      <c r="B1179" s="20" t="str">
        <f>HYPERLINK("https://twitter.com/GloriaRaquel243","@GloriaRaquel243")</f>
        <v>@GloriaRaquel243</v>
      </c>
      <c r="C1179" s="21" t="s">
        <v>2423</v>
      </c>
      <c r="D1179" s="21" t="s">
        <v>2405</v>
      </c>
      <c r="E1179" s="22" t="str">
        <f>HYPERLINK("https://twitter.com/GloriaRaquel243/status/805189003242770432","805189003242770432")</f>
        <v>805189003242770432</v>
      </c>
      <c r="F1179" s="23" t="s">
        <v>1268</v>
      </c>
      <c r="G1179" s="24">
        <v>234.0</v>
      </c>
      <c r="H1179" s="24">
        <v>927.0</v>
      </c>
      <c r="I1179" s="24">
        <v>40.0</v>
      </c>
      <c r="J1179" s="24">
        <v>0.0</v>
      </c>
      <c r="K1179" s="23" t="s">
        <v>27</v>
      </c>
      <c r="L1179" s="25">
        <v>41423.761099537034</v>
      </c>
      <c r="M1179" s="26" t="s">
        <v>2424</v>
      </c>
      <c r="N1179" s="26" t="s">
        <v>2425</v>
      </c>
      <c r="O1179" s="22" t="str">
        <f>HYPERLINK("https://pbs.twimg.com/profile_images/472038388451663872/tbzNBFim_normal.jpeg","View")</f>
        <v>View</v>
      </c>
      <c r="P1179" s="27"/>
    </row>
    <row r="1180">
      <c r="A1180" s="19">
        <v>42707.97072916667</v>
      </c>
      <c r="B1180" s="20" t="str">
        <f>HYPERLINK("https://twitter.com/angelitooo111","@angelitooo111")</f>
        <v>@angelitooo111</v>
      </c>
      <c r="C1180" s="21" t="s">
        <v>2426</v>
      </c>
      <c r="D1180" s="21" t="s">
        <v>2405</v>
      </c>
      <c r="E1180" s="22" t="str">
        <f>HYPERLINK("https://twitter.com/angelitooo111/status/805189335750475776","805189335750475776")</f>
        <v>805189335750475776</v>
      </c>
      <c r="F1180" s="23" t="s">
        <v>41</v>
      </c>
      <c r="G1180" s="24">
        <v>207.0</v>
      </c>
      <c r="H1180" s="24">
        <v>82.0</v>
      </c>
      <c r="I1180" s="24">
        <v>40.0</v>
      </c>
      <c r="J1180" s="24">
        <v>0.0</v>
      </c>
      <c r="K1180" s="23" t="s">
        <v>27</v>
      </c>
      <c r="L1180" s="25">
        <v>40584.4978125</v>
      </c>
      <c r="M1180" s="26" t="s">
        <v>2427</v>
      </c>
      <c r="N1180" s="26" t="s">
        <v>2428</v>
      </c>
      <c r="O1180" s="22" t="str">
        <f>HYPERLINK("https://pbs.twimg.com/profile_images/725102607052734465/zElsYOzY_normal.jpg","View")</f>
        <v>View</v>
      </c>
      <c r="P1180" s="27"/>
    </row>
    <row r="1181">
      <c r="A1181" s="19">
        <v>42707.973182870366</v>
      </c>
      <c r="B1181" s="20" t="str">
        <f>HYPERLINK("https://twitter.com/turomaquia","@turomaquia")</f>
        <v>@turomaquia</v>
      </c>
      <c r="C1181" s="21" t="s">
        <v>2429</v>
      </c>
      <c r="D1181" s="21" t="s">
        <v>2405</v>
      </c>
      <c r="E1181" s="22" t="str">
        <f>HYPERLINK("https://twitter.com/turomaquia/status/805190223986561025","805190223986561025")</f>
        <v>805190223986561025</v>
      </c>
      <c r="F1181" s="23" t="s">
        <v>41</v>
      </c>
      <c r="G1181" s="24">
        <v>4803.0</v>
      </c>
      <c r="H1181" s="24">
        <v>932.0</v>
      </c>
      <c r="I1181" s="24">
        <v>40.0</v>
      </c>
      <c r="J1181" s="24">
        <v>0.0</v>
      </c>
      <c r="K1181" s="23" t="s">
        <v>27</v>
      </c>
      <c r="L1181" s="25">
        <v>39891.38778935185</v>
      </c>
      <c r="M1181" s="26" t="s">
        <v>332</v>
      </c>
      <c r="N1181" s="26" t="s">
        <v>2430</v>
      </c>
      <c r="O1181" s="22" t="str">
        <f>HYPERLINK("https://pbs.twimg.com/profile_images/697852082813038592/jy3NFF-1_normal.png","View")</f>
        <v>View</v>
      </c>
      <c r="P1181" s="27"/>
    </row>
    <row r="1182">
      <c r="A1182" s="19">
        <v>42707.97528935185</v>
      </c>
      <c r="B1182" s="20" t="str">
        <f>HYPERLINK("https://twitter.com/Madrid_Brand","@Madrid_Brand")</f>
        <v>@Madrid_Brand</v>
      </c>
      <c r="C1182" s="21" t="s">
        <v>2431</v>
      </c>
      <c r="D1182" s="21" t="s">
        <v>2432</v>
      </c>
      <c r="E1182" s="22" t="str">
        <f>HYPERLINK("https://twitter.com/Madrid_Brand/status/805190985244409856","805190985244409856")</f>
        <v>805190985244409856</v>
      </c>
      <c r="F1182" s="23" t="s">
        <v>69</v>
      </c>
      <c r="G1182" s="24">
        <v>866.0</v>
      </c>
      <c r="H1182" s="24">
        <v>1119.0</v>
      </c>
      <c r="I1182" s="24">
        <v>0.0</v>
      </c>
      <c r="J1182" s="24">
        <v>0.0</v>
      </c>
      <c r="K1182" s="23" t="s">
        <v>27</v>
      </c>
      <c r="L1182" s="25">
        <v>42544.94232638889</v>
      </c>
      <c r="M1182" s="26" t="s">
        <v>2433</v>
      </c>
      <c r="N1182" s="26" t="s">
        <v>2434</v>
      </c>
      <c r="O1182" s="22" t="str">
        <f>HYPERLINK("https://pbs.twimg.com/profile_images/750627278560854016/KN2Nadpe_normal.jpg","View")</f>
        <v>View</v>
      </c>
      <c r="P1182" s="27"/>
    </row>
    <row r="1183">
      <c r="A1183" s="19">
        <v>42707.97990740741</v>
      </c>
      <c r="B1183" s="20" t="str">
        <f t="shared" ref="B1183:B1184" si="120">HYPERLINK("https://twitter.com/EmocionesCan","@EmocionesCan")</f>
        <v>@EmocionesCan</v>
      </c>
      <c r="C1183" s="21" t="s">
        <v>39</v>
      </c>
      <c r="D1183" s="21" t="s">
        <v>2272</v>
      </c>
      <c r="E1183" s="22" t="str">
        <f>HYPERLINK("https://twitter.com/EmocionesCan/status/805192658587160576","805192658587160576")</f>
        <v>805192658587160576</v>
      </c>
      <c r="F1183" s="23" t="s">
        <v>41</v>
      </c>
      <c r="G1183" s="24">
        <v>61321.0</v>
      </c>
      <c r="H1183" s="24">
        <v>3424.0</v>
      </c>
      <c r="I1183" s="24">
        <v>8.0</v>
      </c>
      <c r="J1183" s="24">
        <v>0.0</v>
      </c>
      <c r="K1183" s="23" t="s">
        <v>27</v>
      </c>
      <c r="L1183" s="25">
        <v>40776.91810185185</v>
      </c>
      <c r="M1183" s="26" t="s">
        <v>42</v>
      </c>
      <c r="N1183" s="26" t="s">
        <v>43</v>
      </c>
      <c r="O1183" s="22" t="str">
        <f t="shared" ref="O1183:O1184" si="121">HYPERLINK("https://pbs.twimg.com/profile_images/1508754713/Logos_Perfiles_EECC_-_Sin_borde_y_sin_texto_normal.jpg","View")</f>
        <v>View</v>
      </c>
      <c r="P1183" s="27"/>
    </row>
    <row r="1184">
      <c r="A1184" s="19">
        <v>42707.98111111111</v>
      </c>
      <c r="B1184" s="20" t="str">
        <f t="shared" si="120"/>
        <v>@EmocionesCan</v>
      </c>
      <c r="C1184" s="21" t="s">
        <v>39</v>
      </c>
      <c r="D1184" s="21" t="s">
        <v>1055</v>
      </c>
      <c r="E1184" s="22" t="str">
        <f>HYPERLINK("https://twitter.com/EmocionesCan/status/805193094014574592","805193094014574592")</f>
        <v>805193094014574592</v>
      </c>
      <c r="F1184" s="23" t="s">
        <v>41</v>
      </c>
      <c r="G1184" s="24">
        <v>61321.0</v>
      </c>
      <c r="H1184" s="24">
        <v>3424.0</v>
      </c>
      <c r="I1184" s="24">
        <v>15.0</v>
      </c>
      <c r="J1184" s="24">
        <v>0.0</v>
      </c>
      <c r="K1184" s="23" t="s">
        <v>27</v>
      </c>
      <c r="L1184" s="25">
        <v>40776.91810185185</v>
      </c>
      <c r="M1184" s="26" t="s">
        <v>42</v>
      </c>
      <c r="N1184" s="26" t="s">
        <v>43</v>
      </c>
      <c r="O1184" s="22" t="str">
        <f t="shared" si="121"/>
        <v>View</v>
      </c>
      <c r="P1184" s="27"/>
    </row>
    <row r="1185">
      <c r="A1185" s="19">
        <v>42707.98155092592</v>
      </c>
      <c r="B1185" s="20" t="str">
        <f>HYPERLINK("https://twitter.com/visi_maria","@visi_maria")</f>
        <v>@visi_maria</v>
      </c>
      <c r="C1185" s="21" t="s">
        <v>2339</v>
      </c>
      <c r="D1185" s="21" t="s">
        <v>2405</v>
      </c>
      <c r="E1185" s="22" t="str">
        <f>HYPERLINK("https://twitter.com/visi_maria/status/805193255142957056","805193255142957056")</f>
        <v>805193255142957056</v>
      </c>
      <c r="F1185" s="23" t="s">
        <v>41</v>
      </c>
      <c r="G1185" s="24">
        <v>79.0</v>
      </c>
      <c r="H1185" s="24">
        <v>167.0</v>
      </c>
      <c r="I1185" s="24">
        <v>40.0</v>
      </c>
      <c r="J1185" s="24">
        <v>0.0</v>
      </c>
      <c r="K1185" s="23" t="s">
        <v>27</v>
      </c>
      <c r="L1185" s="25">
        <v>42390.89173611111</v>
      </c>
      <c r="M1185" s="26" t="s">
        <v>51</v>
      </c>
      <c r="N1185" s="26" t="s">
        <v>2341</v>
      </c>
      <c r="O1185" s="22" t="str">
        <f>HYPERLINK("https://pbs.twimg.com/profile_images/690284858552250368/8M1qZWOt_normal.jpg","View")</f>
        <v>View</v>
      </c>
      <c r="P1185" s="27"/>
    </row>
    <row r="1186">
      <c r="A1186" s="19">
        <v>42707.98186342593</v>
      </c>
      <c r="B1186" s="20" t="str">
        <f>HYPERLINK("https://twitter.com/jackiemccaffrey","@jackiemccaffrey")</f>
        <v>@jackiemccaffrey</v>
      </c>
      <c r="C1186" s="21" t="s">
        <v>2435</v>
      </c>
      <c r="D1186" s="21" t="s">
        <v>1055</v>
      </c>
      <c r="E1186" s="22" t="str">
        <f>HYPERLINK("https://twitter.com/jackiemccaffrey/status/805193368938672128","805193368938672128")</f>
        <v>805193368938672128</v>
      </c>
      <c r="F1186" s="23" t="s">
        <v>37</v>
      </c>
      <c r="G1186" s="24">
        <v>1984.0</v>
      </c>
      <c r="H1186" s="24">
        <v>2218.0</v>
      </c>
      <c r="I1186" s="24">
        <v>15.0</v>
      </c>
      <c r="J1186" s="24">
        <v>0.0</v>
      </c>
      <c r="K1186" s="23" t="s">
        <v>27</v>
      </c>
      <c r="L1186" s="25">
        <v>41174.17150462963</v>
      </c>
      <c r="M1186" s="26" t="s">
        <v>2436</v>
      </c>
      <c r="N1186" s="26" t="s">
        <v>2437</v>
      </c>
      <c r="O1186" s="22" t="str">
        <f>HYPERLINK("https://pbs.twimg.com/profile_images/3769734701/357b7de0d08d9061a69f946e85ff0629_normal.jpeg","View")</f>
        <v>View</v>
      </c>
      <c r="P1186" s="27"/>
    </row>
    <row r="1187">
      <c r="A1187" s="19">
        <v>42707.98353009259</v>
      </c>
      <c r="B1187" s="20" t="str">
        <f>HYPERLINK("https://twitter.com/Visidesigner","@Visidesigner")</f>
        <v>@Visidesigner</v>
      </c>
      <c r="C1187" s="21" t="s">
        <v>2342</v>
      </c>
      <c r="D1187" s="21" t="s">
        <v>2405</v>
      </c>
      <c r="E1187" s="22" t="str">
        <f>HYPERLINK("https://twitter.com/Visidesigner/status/805193973795065856","805193973795065856")</f>
        <v>805193973795065856</v>
      </c>
      <c r="F1187" s="23" t="s">
        <v>41</v>
      </c>
      <c r="G1187" s="24">
        <v>224.0</v>
      </c>
      <c r="H1187" s="24">
        <v>559.0</v>
      </c>
      <c r="I1187" s="24">
        <v>40.0</v>
      </c>
      <c r="J1187" s="24">
        <v>0.0</v>
      </c>
      <c r="K1187" s="23" t="s">
        <v>27</v>
      </c>
      <c r="L1187" s="25">
        <v>41687.817523148144</v>
      </c>
      <c r="M1187" s="26" t="s">
        <v>51</v>
      </c>
      <c r="N1187" s="26" t="s">
        <v>2344</v>
      </c>
      <c r="O1187" s="22" t="str">
        <f>HYPERLINK("https://pbs.twimg.com/profile_images/540864884054188032/hrV0hjKN_normal.jpeg","View")</f>
        <v>View</v>
      </c>
      <c r="P1187" s="27"/>
    </row>
    <row r="1188">
      <c r="A1188" s="19">
        <v>42707.984571759254</v>
      </c>
      <c r="B1188" s="20" t="str">
        <f>HYPERLINK("https://twitter.com/mrPDMZ","@mrPDMZ")</f>
        <v>@mrPDMZ</v>
      </c>
      <c r="C1188" s="21" t="s">
        <v>2438</v>
      </c>
      <c r="D1188" s="21" t="s">
        <v>2405</v>
      </c>
      <c r="E1188" s="22" t="str">
        <f>HYPERLINK("https://twitter.com/mrPDMZ/status/805194349512364032","805194349512364032")</f>
        <v>805194349512364032</v>
      </c>
      <c r="F1188" s="23" t="s">
        <v>26</v>
      </c>
      <c r="G1188" s="24">
        <v>1385.0</v>
      </c>
      <c r="H1188" s="24">
        <v>195.0</v>
      </c>
      <c r="I1188" s="24">
        <v>40.0</v>
      </c>
      <c r="J1188" s="24">
        <v>0.0</v>
      </c>
      <c r="K1188" s="23" t="s">
        <v>27</v>
      </c>
      <c r="L1188" s="25">
        <v>41739.713113425925</v>
      </c>
      <c r="M1188" s="26" t="s">
        <v>2439</v>
      </c>
      <c r="N1188" s="26" t="s">
        <v>2440</v>
      </c>
      <c r="O1188" s="22" t="str">
        <f>HYPERLINK("https://pbs.twimg.com/profile_images/753034138811297793/ymLg73zi_normal.png","View")</f>
        <v>View</v>
      </c>
      <c r="P1188" s="27"/>
    </row>
    <row r="1189">
      <c r="A1189" s="19">
        <v>42707.99167824074</v>
      </c>
      <c r="B1189" s="20" t="str">
        <f t="shared" ref="B1189:B1190" si="122">HYPERLINK("https://twitter.com/aglaetalia","@aglaetalia")</f>
        <v>@aglaetalia</v>
      </c>
      <c r="C1189" s="21" t="s">
        <v>2125</v>
      </c>
      <c r="D1189" s="21" t="s">
        <v>2272</v>
      </c>
      <c r="E1189" s="22" t="str">
        <f>HYPERLINK("https://twitter.com/aglaetalia/status/805196927025512448","805196927025512448")</f>
        <v>805196927025512448</v>
      </c>
      <c r="F1189" s="23" t="s">
        <v>41</v>
      </c>
      <c r="G1189" s="24">
        <v>1287.0</v>
      </c>
      <c r="H1189" s="24">
        <v>2327.0</v>
      </c>
      <c r="I1189" s="24">
        <v>8.0</v>
      </c>
      <c r="J1189" s="24">
        <v>0.0</v>
      </c>
      <c r="K1189" s="23" t="s">
        <v>27</v>
      </c>
      <c r="L1189" s="25">
        <v>40774.05449074074</v>
      </c>
      <c r="M1189" s="26" t="s">
        <v>2126</v>
      </c>
      <c r="N1189" s="26" t="s">
        <v>2127</v>
      </c>
      <c r="O1189" s="22" t="str">
        <f t="shared" ref="O1189:O1190" si="123">HYPERLINK("https://pbs.twimg.com/profile_images/661255402412199936/Rl5jjxWT_normal.jpg","View")</f>
        <v>View</v>
      </c>
      <c r="P1189" s="27"/>
    </row>
    <row r="1190">
      <c r="A1190" s="19">
        <v>42707.99222222222</v>
      </c>
      <c r="B1190" s="20" t="str">
        <f t="shared" si="122"/>
        <v>@aglaetalia</v>
      </c>
      <c r="C1190" s="21" t="s">
        <v>2125</v>
      </c>
      <c r="D1190" s="21" t="s">
        <v>1055</v>
      </c>
      <c r="E1190" s="22" t="str">
        <f>HYPERLINK("https://twitter.com/aglaetalia/status/805197120596824068","805197120596824068")</f>
        <v>805197120596824068</v>
      </c>
      <c r="F1190" s="23" t="s">
        <v>41</v>
      </c>
      <c r="G1190" s="24">
        <v>1287.0</v>
      </c>
      <c r="H1190" s="24">
        <v>2327.0</v>
      </c>
      <c r="I1190" s="24">
        <v>15.0</v>
      </c>
      <c r="J1190" s="24">
        <v>0.0</v>
      </c>
      <c r="K1190" s="23" t="s">
        <v>27</v>
      </c>
      <c r="L1190" s="25">
        <v>40774.05449074074</v>
      </c>
      <c r="M1190" s="26" t="s">
        <v>2126</v>
      </c>
      <c r="N1190" s="26" t="s">
        <v>2127</v>
      </c>
      <c r="O1190" s="22" t="str">
        <f t="shared" si="123"/>
        <v>View</v>
      </c>
      <c r="P1190" s="27"/>
    </row>
    <row r="1191">
      <c r="A1191" s="19">
        <v>42707.993622685186</v>
      </c>
      <c r="B1191" s="20" t="str">
        <f>HYPERLINK("https://twitter.com/albertinixaxo","@albertinixaxo")</f>
        <v>@albertinixaxo</v>
      </c>
      <c r="C1191" s="21" t="s">
        <v>2441</v>
      </c>
      <c r="D1191" s="21" t="s">
        <v>2405</v>
      </c>
      <c r="E1191" s="22" t="str">
        <f>HYPERLINK("https://twitter.com/albertinixaxo/status/805197631249117184","805197631249117184")</f>
        <v>805197631249117184</v>
      </c>
      <c r="F1191" s="23" t="s">
        <v>41</v>
      </c>
      <c r="G1191" s="24">
        <v>122.0</v>
      </c>
      <c r="H1191" s="24">
        <v>267.0</v>
      </c>
      <c r="I1191" s="24">
        <v>40.0</v>
      </c>
      <c r="J1191" s="24">
        <v>0.0</v>
      </c>
      <c r="K1191" s="23" t="s">
        <v>27</v>
      </c>
      <c r="L1191" s="25">
        <v>41603.82726851852</v>
      </c>
      <c r="M1191" s="26" t="s">
        <v>372</v>
      </c>
      <c r="N1191" s="26" t="s">
        <v>2442</v>
      </c>
      <c r="O1191" s="22" t="str">
        <f>HYPERLINK("https://pbs.twimg.com/profile_images/660554427389091840/DhOJycYf_normal.jpg","View")</f>
        <v>View</v>
      </c>
      <c r="P1191" s="27"/>
    </row>
    <row r="1192">
      <c r="A1192" s="19">
        <v>42707.999085648145</v>
      </c>
      <c r="B1192" s="20" t="str">
        <f>HYPERLINK("https://twitter.com/NemedvedLi","@NemedvedLi")</f>
        <v>@NemedvedLi</v>
      </c>
      <c r="C1192" s="21" t="s">
        <v>2443</v>
      </c>
      <c r="D1192" s="21" t="s">
        <v>2405</v>
      </c>
      <c r="E1192" s="22" t="str">
        <f>HYPERLINK("https://twitter.com/NemedvedLi/status/805199609194758145","805199609194758145")</f>
        <v>805199609194758145</v>
      </c>
      <c r="F1192" s="23" t="s">
        <v>2444</v>
      </c>
      <c r="G1192" s="24">
        <v>372.0</v>
      </c>
      <c r="H1192" s="24">
        <v>379.0</v>
      </c>
      <c r="I1192" s="24">
        <v>40.0</v>
      </c>
      <c r="J1192" s="24">
        <v>0.0</v>
      </c>
      <c r="K1192" s="23" t="s">
        <v>27</v>
      </c>
      <c r="L1192" s="25">
        <v>40930.144849537035</v>
      </c>
      <c r="M1192" s="28"/>
      <c r="N1192" s="28"/>
      <c r="O1192" s="22" t="str">
        <f>HYPERLINK("https://pbs.twimg.com/profile_images/1772171084/red_panda81_normal.jpg","View")</f>
        <v>View</v>
      </c>
      <c r="P1192" s="27"/>
    </row>
    <row r="1193">
      <c r="A1193" s="19">
        <v>42708.00399305555</v>
      </c>
      <c r="B1193" s="20" t="str">
        <f>HYPERLINK("https://twitter.com/David_Guanche","@David_Guanche")</f>
        <v>@David_Guanche</v>
      </c>
      <c r="C1193" s="21" t="s">
        <v>2445</v>
      </c>
      <c r="D1193" s="21" t="s">
        <v>2446</v>
      </c>
      <c r="E1193" s="22" t="str">
        <f>HYPERLINK("https://twitter.com/David_Guanche/status/805201388745662464","805201388745662464")</f>
        <v>805201388745662464</v>
      </c>
      <c r="F1193" s="23" t="s">
        <v>81</v>
      </c>
      <c r="G1193" s="24">
        <v>191.0</v>
      </c>
      <c r="H1193" s="24">
        <v>186.0</v>
      </c>
      <c r="I1193" s="24">
        <v>0.0</v>
      </c>
      <c r="J1193" s="24">
        <v>0.0</v>
      </c>
      <c r="K1193" s="23" t="s">
        <v>27</v>
      </c>
      <c r="L1193" s="25">
        <v>41415.46679398148</v>
      </c>
      <c r="M1193" s="28"/>
      <c r="N1193" s="26" t="s">
        <v>2447</v>
      </c>
      <c r="O1193" s="22" t="str">
        <f>HYPERLINK("https://pbs.twimg.com/profile_images/3689512164/a872c4b500747f640282e5e7e2622ea5_normal.jpeg","View")</f>
        <v>View</v>
      </c>
      <c r="P1193" s="27"/>
    </row>
    <row r="1194">
      <c r="A1194" s="19">
        <v>42708.00770833333</v>
      </c>
      <c r="B1194" s="20" t="str">
        <f>HYPERLINK("https://twitter.com/moonstruck_days","@moonstruck_days")</f>
        <v>@moonstruck_days</v>
      </c>
      <c r="C1194" s="21" t="s">
        <v>2448</v>
      </c>
      <c r="D1194" s="21" t="s">
        <v>2405</v>
      </c>
      <c r="E1194" s="22" t="str">
        <f>HYPERLINK("https://twitter.com/moonstruck_days/status/805202732743147520","805202732743147520")</f>
        <v>805202732743147520</v>
      </c>
      <c r="F1194" s="23" t="s">
        <v>41</v>
      </c>
      <c r="G1194" s="24">
        <v>96.0</v>
      </c>
      <c r="H1194" s="24">
        <v>124.0</v>
      </c>
      <c r="I1194" s="24">
        <v>40.0</v>
      </c>
      <c r="J1194" s="24">
        <v>0.0</v>
      </c>
      <c r="K1194" s="23" t="s">
        <v>27</v>
      </c>
      <c r="L1194" s="25">
        <v>41315.9362962963</v>
      </c>
      <c r="M1194" s="28"/>
      <c r="N1194" s="26" t="s">
        <v>2449</v>
      </c>
      <c r="O1194" s="22" t="str">
        <f>HYPERLINK("https://pbs.twimg.com/profile_images/768097304465158145/UWo1MJ1M_normal.jpg","View")</f>
        <v>View</v>
      </c>
      <c r="P1194" s="27"/>
    </row>
    <row r="1195">
      <c r="A1195" s="19">
        <v>42708.00818287037</v>
      </c>
      <c r="B1195" s="20" t="str">
        <f>HYPERLINK("https://twitter.com/DrKavarga","@DrKavarga")</f>
        <v>@DrKavarga</v>
      </c>
      <c r="C1195" s="21" t="s">
        <v>2450</v>
      </c>
      <c r="D1195" s="21" t="s">
        <v>2405</v>
      </c>
      <c r="E1195" s="22" t="str">
        <f>HYPERLINK("https://twitter.com/DrKavarga/status/805202907888947200","805202907888947200")</f>
        <v>805202907888947200</v>
      </c>
      <c r="F1195" s="23" t="s">
        <v>26</v>
      </c>
      <c r="G1195" s="24">
        <v>1908.0</v>
      </c>
      <c r="H1195" s="24">
        <v>4996.0</v>
      </c>
      <c r="I1195" s="24">
        <v>40.0</v>
      </c>
      <c r="J1195" s="24">
        <v>0.0</v>
      </c>
      <c r="K1195" s="23" t="s">
        <v>27</v>
      </c>
      <c r="L1195" s="25">
        <v>42554.39785879629</v>
      </c>
      <c r="M1195" s="26" t="s">
        <v>2451</v>
      </c>
      <c r="N1195" s="26" t="s">
        <v>2452</v>
      </c>
      <c r="O1195" s="22" t="str">
        <f>HYPERLINK("https://pbs.twimg.com/profile_images/792973567352721408/E2QVfQRl_normal.jpg","View")</f>
        <v>View</v>
      </c>
      <c r="P1195" s="27"/>
    </row>
    <row r="1196">
      <c r="A1196" s="19">
        <v>42708.010613425926</v>
      </c>
      <c r="B1196" s="20" t="str">
        <f>HYPERLINK("https://twitter.com/swisshop4uEs","@swisshop4uEs")</f>
        <v>@swisshop4uEs</v>
      </c>
      <c r="C1196" s="21" t="s">
        <v>48</v>
      </c>
      <c r="D1196" s="21" t="s">
        <v>2453</v>
      </c>
      <c r="E1196" s="22" t="str">
        <f>HYPERLINK("https://twitter.com/swisshop4uEs/status/805203786142777345","805203786142777345")</f>
        <v>805203786142777345</v>
      </c>
      <c r="F1196" s="23" t="s">
        <v>50</v>
      </c>
      <c r="G1196" s="24">
        <v>455.0</v>
      </c>
      <c r="H1196" s="24">
        <v>424.0</v>
      </c>
      <c r="I1196" s="24">
        <v>0.0</v>
      </c>
      <c r="J1196" s="24">
        <v>0.0</v>
      </c>
      <c r="K1196" s="23" t="s">
        <v>27</v>
      </c>
      <c r="L1196" s="25">
        <v>41468.93072916666</v>
      </c>
      <c r="M1196" s="26" t="s">
        <v>51</v>
      </c>
      <c r="N1196" s="26" t="s">
        <v>52</v>
      </c>
      <c r="O1196" s="22" t="str">
        <f>HYPERLINK("https://pbs.twimg.com/profile_images/378800000213382003/4f562b59f92995b884d2d440f71fc5ce_normal.png","View")</f>
        <v>View</v>
      </c>
      <c r="P1196" s="27"/>
    </row>
    <row r="1197">
      <c r="A1197" s="19">
        <v>42708.01956018519</v>
      </c>
      <c r="B1197" s="20" t="str">
        <f>HYPERLINK("https://twitter.com/VikToreus","@VikToreus")</f>
        <v>@VikToreus</v>
      </c>
      <c r="C1197" s="21" t="s">
        <v>1889</v>
      </c>
      <c r="D1197" s="21" t="s">
        <v>2454</v>
      </c>
      <c r="E1197" s="22" t="str">
        <f>HYPERLINK("https://twitter.com/VikToreus/status/805207031133196288","805207031133196288")</f>
        <v>805207031133196288</v>
      </c>
      <c r="F1197" s="23" t="s">
        <v>69</v>
      </c>
      <c r="G1197" s="24">
        <v>2077.0</v>
      </c>
      <c r="H1197" s="24">
        <v>517.0</v>
      </c>
      <c r="I1197" s="24">
        <v>0.0</v>
      </c>
      <c r="J1197" s="24">
        <v>2.0</v>
      </c>
      <c r="K1197" s="23" t="s">
        <v>27</v>
      </c>
      <c r="L1197" s="25">
        <v>41154.912893518514</v>
      </c>
      <c r="M1197" s="26" t="s">
        <v>1891</v>
      </c>
      <c r="N1197" s="26" t="s">
        <v>1892</v>
      </c>
      <c r="O1197" s="22" t="str">
        <f>HYPERLINK("https://pbs.twimg.com/profile_images/579814690181758976/qKyv4sZ8_normal.jpg","View")</f>
        <v>View</v>
      </c>
      <c r="P1197" s="27"/>
    </row>
    <row r="1198">
      <c r="A1198" s="19">
        <v>42708.02957175926</v>
      </c>
      <c r="B1198" s="20" t="str">
        <f>HYPERLINK("https://twitter.com/aristiablack","@aristiablack")</f>
        <v>@aristiablack</v>
      </c>
      <c r="C1198" s="21" t="s">
        <v>2455</v>
      </c>
      <c r="D1198" s="21" t="s">
        <v>2405</v>
      </c>
      <c r="E1198" s="22" t="str">
        <f>HYPERLINK("https://twitter.com/aristiablack/status/805210658794934272","805210658794934272")</f>
        <v>805210658794934272</v>
      </c>
      <c r="F1198" s="23" t="s">
        <v>41</v>
      </c>
      <c r="G1198" s="24">
        <v>5945.0</v>
      </c>
      <c r="H1198" s="24">
        <v>408.0</v>
      </c>
      <c r="I1198" s="24">
        <v>40.0</v>
      </c>
      <c r="J1198" s="24">
        <v>0.0</v>
      </c>
      <c r="K1198" s="23" t="s">
        <v>27</v>
      </c>
      <c r="L1198" s="25">
        <v>41022.33665509259</v>
      </c>
      <c r="M1198" s="26" t="s">
        <v>2456</v>
      </c>
      <c r="N1198" s="26" t="s">
        <v>2457</v>
      </c>
      <c r="O1198" s="22" t="str">
        <f>HYPERLINK("https://pbs.twimg.com/profile_images/800402534762364928/dQd6p9i7_normal.jpg","View")</f>
        <v>View</v>
      </c>
      <c r="P1198" s="27"/>
    </row>
    <row r="1199">
      <c r="A1199" s="19">
        <v>42708.030497685184</v>
      </c>
      <c r="B1199" s="20" t="str">
        <f>HYPERLINK("https://twitter.com/gabrielturmo","@gabrielturmo")</f>
        <v>@gabrielturmo</v>
      </c>
      <c r="C1199" s="21" t="s">
        <v>2458</v>
      </c>
      <c r="D1199" s="21" t="s">
        <v>2405</v>
      </c>
      <c r="E1199" s="22" t="str">
        <f>HYPERLINK("https://twitter.com/gabrielturmo/status/805210992401645568","805210992401645568")</f>
        <v>805210992401645568</v>
      </c>
      <c r="F1199" s="23" t="s">
        <v>26</v>
      </c>
      <c r="G1199" s="24">
        <v>985.0</v>
      </c>
      <c r="H1199" s="24">
        <v>532.0</v>
      </c>
      <c r="I1199" s="24">
        <v>40.0</v>
      </c>
      <c r="J1199" s="24">
        <v>0.0</v>
      </c>
      <c r="K1199" s="23" t="s">
        <v>27</v>
      </c>
      <c r="L1199" s="25">
        <v>41614.77886574074</v>
      </c>
      <c r="M1199" s="28"/>
      <c r="N1199" s="26" t="s">
        <v>2459</v>
      </c>
      <c r="O1199" s="22" t="str">
        <f>HYPERLINK("https://pbs.twimg.com/profile_images/772406657842343937/bwmRm-hq_normal.jpg","View")</f>
        <v>View</v>
      </c>
      <c r="P1199" s="27"/>
    </row>
    <row r="1200">
      <c r="A1200" s="19">
        <v>42708.03710648148</v>
      </c>
      <c r="B1200" s="20" t="str">
        <f>HYPERLINK("https://twitter.com/NenaBrisel","@NenaBrisel")</f>
        <v>@NenaBrisel</v>
      </c>
      <c r="C1200" s="21" t="s">
        <v>2460</v>
      </c>
      <c r="D1200" s="21" t="s">
        <v>1055</v>
      </c>
      <c r="E1200" s="22" t="str">
        <f>HYPERLINK("https://twitter.com/NenaBrisel/status/805213386241871873","805213386241871873")</f>
        <v>805213386241871873</v>
      </c>
      <c r="F1200" s="23" t="s">
        <v>26</v>
      </c>
      <c r="G1200" s="24">
        <v>702.0</v>
      </c>
      <c r="H1200" s="24">
        <v>797.0</v>
      </c>
      <c r="I1200" s="24">
        <v>15.0</v>
      </c>
      <c r="J1200" s="24">
        <v>0.0</v>
      </c>
      <c r="K1200" s="23" t="s">
        <v>27</v>
      </c>
      <c r="L1200" s="25">
        <v>42072.61859953703</v>
      </c>
      <c r="M1200" s="26" t="s">
        <v>2461</v>
      </c>
      <c r="N1200" s="26" t="s">
        <v>2462</v>
      </c>
      <c r="O1200" s="22" t="str">
        <f>HYPERLINK("https://pbs.twimg.com/profile_images/783328830916325376/V7lSCAUG_normal.jpg","View")</f>
        <v>View</v>
      </c>
      <c r="P1200" s="27"/>
    </row>
    <row r="1201">
      <c r="A1201" s="19">
        <v>42708.0458912037</v>
      </c>
      <c r="B1201" s="20" t="str">
        <f>HYPERLINK("https://twitter.com/SmarkApps","@SmarkApps")</f>
        <v>@SmarkApps</v>
      </c>
      <c r="C1201" s="21" t="s">
        <v>2463</v>
      </c>
      <c r="D1201" s="21" t="s">
        <v>2464</v>
      </c>
      <c r="E1201" s="22" t="str">
        <f>HYPERLINK("https://twitter.com/SmarkApps/status/805216570125545472","805216570125545472")</f>
        <v>805216570125545472</v>
      </c>
      <c r="F1201" s="23" t="s">
        <v>81</v>
      </c>
      <c r="G1201" s="24">
        <v>1869.0</v>
      </c>
      <c r="H1201" s="24">
        <v>1391.0</v>
      </c>
      <c r="I1201" s="24">
        <v>0.0</v>
      </c>
      <c r="J1201" s="24">
        <v>0.0</v>
      </c>
      <c r="K1201" s="23" t="s">
        <v>27</v>
      </c>
      <c r="L1201" s="25">
        <v>40471.87634259259</v>
      </c>
      <c r="M1201" s="26" t="s">
        <v>55</v>
      </c>
      <c r="N1201" s="26" t="s">
        <v>2465</v>
      </c>
      <c r="O1201" s="22" t="str">
        <f>HYPERLINK("https://pbs.twimg.com/profile_images/1185913189/logo_smark_normal.png","View")</f>
        <v>View</v>
      </c>
      <c r="P1201" s="27"/>
    </row>
    <row r="1202">
      <c r="A1202" s="19">
        <v>42708.04922453704</v>
      </c>
      <c r="B1202" s="20" t="str">
        <f>HYPERLINK("https://twitter.com/EraGGone","@EraGGone")</f>
        <v>@EraGGone</v>
      </c>
      <c r="C1202" s="21" t="s">
        <v>2466</v>
      </c>
      <c r="D1202" s="21" t="s">
        <v>2467</v>
      </c>
      <c r="E1202" s="22" t="str">
        <f>HYPERLINK("https://twitter.com/EraGGone/status/805217777648857088","805217777648857088")</f>
        <v>805217777648857088</v>
      </c>
      <c r="F1202" s="23" t="s">
        <v>81</v>
      </c>
      <c r="G1202" s="24">
        <v>272.0</v>
      </c>
      <c r="H1202" s="24">
        <v>1112.0</v>
      </c>
      <c r="I1202" s="24">
        <v>0.0</v>
      </c>
      <c r="J1202" s="24">
        <v>1.0</v>
      </c>
      <c r="K1202" s="23" t="s">
        <v>27</v>
      </c>
      <c r="L1202" s="25">
        <v>40099.01751157407</v>
      </c>
      <c r="M1202" s="26" t="s">
        <v>203</v>
      </c>
      <c r="N1202" s="26" t="s">
        <v>2468</v>
      </c>
      <c r="O1202" s="22" t="str">
        <f>HYPERLINK("https://pbs.twimg.com/profile_images/783244239324995584/rCS9jCt3_normal.jpg","View")</f>
        <v>View</v>
      </c>
      <c r="P1202" s="27"/>
    </row>
    <row r="1203">
      <c r="A1203" s="19">
        <v>42708.139814814815</v>
      </c>
      <c r="B1203" s="20" t="str">
        <f>HYPERLINK("https://twitter.com/DipConAA","@DipConAA")</f>
        <v>@DipConAA</v>
      </c>
      <c r="C1203" s="21" t="s">
        <v>2469</v>
      </c>
      <c r="D1203" s="21" t="s">
        <v>2470</v>
      </c>
      <c r="E1203" s="22" t="str">
        <f>HYPERLINK("https://twitter.com/DipConAA/status/805250609272209408","805250609272209408")</f>
        <v>805250609272209408</v>
      </c>
      <c r="F1203" s="23" t="s">
        <v>26</v>
      </c>
      <c r="G1203" s="24">
        <v>353.0</v>
      </c>
      <c r="H1203" s="24">
        <v>1167.0</v>
      </c>
      <c r="I1203" s="24">
        <v>4.0</v>
      </c>
      <c r="J1203" s="24">
        <v>0.0</v>
      </c>
      <c r="K1203" s="23" t="s">
        <v>27</v>
      </c>
      <c r="L1203" s="25">
        <v>41407.50605324074</v>
      </c>
      <c r="M1203" s="26" t="s">
        <v>1172</v>
      </c>
      <c r="N1203" s="26" t="s">
        <v>2471</v>
      </c>
      <c r="O1203" s="22" t="str">
        <f>HYPERLINK("https://pbs.twimg.com/profile_images/378800000627885008/b51d9ec944cb885063df4e4bbb48f3de_normal.jpeg","View")</f>
        <v>View</v>
      </c>
      <c r="P1203" s="27"/>
    </row>
    <row r="1204">
      <c r="A1204" s="19">
        <v>42708.17519675926</v>
      </c>
      <c r="B1204" s="20" t="str">
        <f>HYPERLINK("https://twitter.com/janeljosephine","@janeljosephine")</f>
        <v>@janeljosephine</v>
      </c>
      <c r="C1204" s="21" t="s">
        <v>2472</v>
      </c>
      <c r="D1204" s="21" t="s">
        <v>2405</v>
      </c>
      <c r="E1204" s="22" t="str">
        <f>HYPERLINK("https://twitter.com/janeljosephine/status/805263431188156417","805263431188156417")</f>
        <v>805263431188156417</v>
      </c>
      <c r="F1204" s="23" t="s">
        <v>26</v>
      </c>
      <c r="G1204" s="24">
        <v>769.0</v>
      </c>
      <c r="H1204" s="24">
        <v>406.0</v>
      </c>
      <c r="I1204" s="24">
        <v>40.0</v>
      </c>
      <c r="J1204" s="24">
        <v>0.0</v>
      </c>
      <c r="K1204" s="23" t="s">
        <v>27</v>
      </c>
      <c r="L1204" s="25">
        <v>40352.2053125</v>
      </c>
      <c r="M1204" s="26" t="s">
        <v>2473</v>
      </c>
      <c r="N1204" s="26" t="s">
        <v>2474</v>
      </c>
      <c r="O1204" s="22" t="str">
        <f>HYPERLINK("https://pbs.twimg.com/profile_images/793084550565859329/DUA7oTGN_normal.jpg","View")</f>
        <v>View</v>
      </c>
      <c r="P1204" s="27"/>
    </row>
    <row r="1205">
      <c r="A1205" s="19">
        <v>42708.184432870374</v>
      </c>
      <c r="B1205" s="20" t="str">
        <f>HYPERLINK("https://twitter.com/brkguller","@brkguller")</f>
        <v>@brkguller</v>
      </c>
      <c r="C1205" s="21" t="s">
        <v>2475</v>
      </c>
      <c r="D1205" s="21" t="s">
        <v>2405</v>
      </c>
      <c r="E1205" s="22" t="str">
        <f>HYPERLINK("https://twitter.com/brkguller/status/805266779350171648","805266779350171648")</f>
        <v>805266779350171648</v>
      </c>
      <c r="F1205" s="23" t="s">
        <v>41</v>
      </c>
      <c r="G1205" s="24">
        <v>1190.0</v>
      </c>
      <c r="H1205" s="24">
        <v>582.0</v>
      </c>
      <c r="I1205" s="24">
        <v>40.0</v>
      </c>
      <c r="J1205" s="24">
        <v>0.0</v>
      </c>
      <c r="K1205" s="23" t="s">
        <v>27</v>
      </c>
      <c r="L1205" s="25">
        <v>40080.4640162037</v>
      </c>
      <c r="M1205" s="26" t="s">
        <v>2476</v>
      </c>
      <c r="N1205" s="26" t="s">
        <v>2477</v>
      </c>
      <c r="O1205" s="22" t="str">
        <f>HYPERLINK("https://pbs.twimg.com/profile_images/772186911192612865/Nm02PKGO_normal.jpg","View")</f>
        <v>View</v>
      </c>
      <c r="P1205" s="27"/>
    </row>
    <row r="1206">
      <c r="A1206" s="19">
        <v>42708.18861111111</v>
      </c>
      <c r="B1206" s="20" t="str">
        <f>HYPERLINK("https://twitter.com/SergeyToropov","@SergeyToropov")</f>
        <v>@SergeyToropov</v>
      </c>
      <c r="C1206" s="21" t="s">
        <v>2478</v>
      </c>
      <c r="D1206" s="21" t="s">
        <v>2405</v>
      </c>
      <c r="E1206" s="22" t="str">
        <f>HYPERLINK("https://twitter.com/SergeyToropov/status/805268289479999488","805268289479999488")</f>
        <v>805268289479999488</v>
      </c>
      <c r="F1206" s="23" t="s">
        <v>37</v>
      </c>
      <c r="G1206" s="24">
        <v>529.0</v>
      </c>
      <c r="H1206" s="24">
        <v>777.0</v>
      </c>
      <c r="I1206" s="24">
        <v>40.0</v>
      </c>
      <c r="J1206" s="24">
        <v>0.0</v>
      </c>
      <c r="K1206" s="23" t="s">
        <v>27</v>
      </c>
      <c r="L1206" s="25">
        <v>41174.60673611111</v>
      </c>
      <c r="M1206" s="26" t="s">
        <v>2479</v>
      </c>
      <c r="N1206" s="26" t="s">
        <v>2480</v>
      </c>
      <c r="O1206" s="22" t="str">
        <f>HYPERLINK("https://pbs.twimg.com/profile_images/531078180296491008/8F8ir0ox_normal.png","View")</f>
        <v>View</v>
      </c>
      <c r="P1206" s="27"/>
    </row>
    <row r="1207">
      <c r="A1207" s="19">
        <v>42708.20893518519</v>
      </c>
      <c r="B1207" s="20" t="str">
        <f>HYPERLINK("https://twitter.com/MedCruiseGuide","@MedCruiseGuide")</f>
        <v>@MedCruiseGuide</v>
      </c>
      <c r="C1207" s="21" t="s">
        <v>75</v>
      </c>
      <c r="D1207" s="21" t="s">
        <v>2481</v>
      </c>
      <c r="E1207" s="22" t="str">
        <f>HYPERLINK("https://twitter.com/MedCruiseGuide/status/805275656552587264","805275656552587264")</f>
        <v>805275656552587264</v>
      </c>
      <c r="F1207" s="23" t="s">
        <v>77</v>
      </c>
      <c r="G1207" s="24">
        <v>20863.0</v>
      </c>
      <c r="H1207" s="24">
        <v>19280.0</v>
      </c>
      <c r="I1207" s="24">
        <v>0.0</v>
      </c>
      <c r="J1207" s="24">
        <v>1.0</v>
      </c>
      <c r="K1207" s="23" t="s">
        <v>27</v>
      </c>
      <c r="L1207" s="25">
        <v>40592.49048611111</v>
      </c>
      <c r="M1207" s="28"/>
      <c r="N1207" s="26" t="s">
        <v>78</v>
      </c>
      <c r="O1207" s="22" t="str">
        <f>HYPERLINK("https://pbs.twimg.com/profile_images/805484536301780992/2tho24Rf_normal.jpg","View")</f>
        <v>View</v>
      </c>
      <c r="P1207" s="27"/>
    </row>
    <row r="1208">
      <c r="A1208" s="19">
        <v>42708.230833333335</v>
      </c>
      <c r="B1208" s="20" t="str">
        <f>HYPERLINK("https://twitter.com/toyoutoo","@toyoutoo")</f>
        <v>@toyoutoo</v>
      </c>
      <c r="C1208" s="21" t="s">
        <v>705</v>
      </c>
      <c r="D1208" s="21" t="s">
        <v>1504</v>
      </c>
      <c r="E1208" s="22" t="str">
        <f>HYPERLINK("https://twitter.com/toyoutoo/status/805283594268798976","805283594268798976")</f>
        <v>805283594268798976</v>
      </c>
      <c r="F1208" s="23" t="s">
        <v>26</v>
      </c>
      <c r="G1208" s="24">
        <v>71.0</v>
      </c>
      <c r="H1208" s="24">
        <v>1.0</v>
      </c>
      <c r="I1208" s="24">
        <v>16.0</v>
      </c>
      <c r="J1208" s="24">
        <v>0.0</v>
      </c>
      <c r="K1208" s="23" t="s">
        <v>27</v>
      </c>
      <c r="L1208" s="25">
        <v>40040.87164351852</v>
      </c>
      <c r="M1208" s="26" t="s">
        <v>706</v>
      </c>
      <c r="N1208" s="28"/>
      <c r="O1208" s="22" t="str">
        <f>HYPERLINK("https://pbs.twimg.com/profile_images/3493825737/c3c0ed02be4ecdcbb4e9e900dd1358c2_normal.png","View")</f>
        <v>View</v>
      </c>
      <c r="P1208" s="27"/>
    </row>
    <row r="1209">
      <c r="A1209" s="19">
        <v>42708.23746527778</v>
      </c>
      <c r="B1209" s="20" t="str">
        <f>HYPERLINK("https://twitter.com/cindyt66","@cindyt66")</f>
        <v>@cindyt66</v>
      </c>
      <c r="C1209" s="21" t="s">
        <v>2482</v>
      </c>
      <c r="D1209" s="21" t="s">
        <v>2405</v>
      </c>
      <c r="E1209" s="22" t="str">
        <f>HYPERLINK("https://twitter.com/cindyt66/status/805285994513788928","805285994513788928")</f>
        <v>805285994513788928</v>
      </c>
      <c r="F1209" s="23" t="s">
        <v>41</v>
      </c>
      <c r="G1209" s="24">
        <v>25.0</v>
      </c>
      <c r="H1209" s="24">
        <v>182.0</v>
      </c>
      <c r="I1209" s="24">
        <v>40.0</v>
      </c>
      <c r="J1209" s="24">
        <v>0.0</v>
      </c>
      <c r="K1209" s="23" t="s">
        <v>27</v>
      </c>
      <c r="L1209" s="25">
        <v>42599.51173611111</v>
      </c>
      <c r="M1209" s="28"/>
      <c r="N1209" s="28"/>
      <c r="O1209" s="22" t="str">
        <f>HYPERLINK("https://pbs.twimg.com/profile_images/765920886100721665/eyVSgAji_normal.jpg","View")</f>
        <v>View</v>
      </c>
      <c r="P1209" s="27"/>
    </row>
    <row r="1210">
      <c r="A1210" s="19">
        <v>42708.24730324074</v>
      </c>
      <c r="B1210" s="20" t="str">
        <f>HYPERLINK("https://twitter.com/Juancarfg","@Juancarfg")</f>
        <v>@Juancarfg</v>
      </c>
      <c r="C1210" s="21" t="s">
        <v>2483</v>
      </c>
      <c r="D1210" s="21" t="s">
        <v>2405</v>
      </c>
      <c r="E1210" s="22" t="str">
        <f>HYPERLINK("https://twitter.com/Juancarfg/status/805289559831486464","805289559831486464")</f>
        <v>805289559831486464</v>
      </c>
      <c r="F1210" s="23" t="s">
        <v>26</v>
      </c>
      <c r="G1210" s="24">
        <v>674.0</v>
      </c>
      <c r="H1210" s="24">
        <v>308.0</v>
      </c>
      <c r="I1210" s="24">
        <v>40.0</v>
      </c>
      <c r="J1210" s="24">
        <v>0.0</v>
      </c>
      <c r="K1210" s="23" t="s">
        <v>27</v>
      </c>
      <c r="L1210" s="25">
        <v>40655.32809027778</v>
      </c>
      <c r="M1210" s="26" t="s">
        <v>2484</v>
      </c>
      <c r="N1210" s="26" t="s">
        <v>2485</v>
      </c>
      <c r="O1210" s="22" t="str">
        <f>HYPERLINK("https://pbs.twimg.com/profile_images/755285257864278016/0TExxPPd_normal.jpg","View")</f>
        <v>View</v>
      </c>
      <c r="P1210" s="27"/>
    </row>
    <row r="1211">
      <c r="A1211" s="19">
        <v>42708.28328703703</v>
      </c>
      <c r="B1211" s="20" t="str">
        <f>HYPERLINK("https://twitter.com/pennainviaggio","@pennainviaggio")</f>
        <v>@pennainviaggio</v>
      </c>
      <c r="C1211" s="21" t="s">
        <v>2486</v>
      </c>
      <c r="D1211" s="21" t="s">
        <v>2405</v>
      </c>
      <c r="E1211" s="22" t="str">
        <f>HYPERLINK("https://twitter.com/pennainviaggio/status/805302599356387329","805302599356387329")</f>
        <v>805302599356387329</v>
      </c>
      <c r="F1211" s="23" t="s">
        <v>26</v>
      </c>
      <c r="G1211" s="24">
        <v>39.0</v>
      </c>
      <c r="H1211" s="24">
        <v>93.0</v>
      </c>
      <c r="I1211" s="24">
        <v>40.0</v>
      </c>
      <c r="J1211" s="24">
        <v>0.0</v>
      </c>
      <c r="K1211" s="23" t="s">
        <v>27</v>
      </c>
      <c r="L1211" s="25">
        <v>42619.599328703705</v>
      </c>
      <c r="M1211" s="26" t="s">
        <v>2487</v>
      </c>
      <c r="N1211" s="26" t="s">
        <v>2488</v>
      </c>
      <c r="O1211" s="22" t="str">
        <f>HYPERLINK("https://pbs.twimg.com/profile_images/778285197913690112/CwwEQY_t_normal.jpg","View")</f>
        <v>View</v>
      </c>
      <c r="P1211" s="27"/>
    </row>
    <row r="1212">
      <c r="A1212" s="19">
        <v>42708.2872337963</v>
      </c>
      <c r="B1212" s="20" t="str">
        <f>HYPERLINK("https://twitter.com/Nano87Moon","@Nano87Moon")</f>
        <v>@Nano87Moon</v>
      </c>
      <c r="C1212" s="21" t="s">
        <v>2489</v>
      </c>
      <c r="D1212" s="21" t="s">
        <v>2405</v>
      </c>
      <c r="E1212" s="22" t="str">
        <f>HYPERLINK("https://twitter.com/Nano87Moon/status/805304031463604224","805304031463604224")</f>
        <v>805304031463604224</v>
      </c>
      <c r="F1212" s="23" t="s">
        <v>41</v>
      </c>
      <c r="G1212" s="24">
        <v>97.0</v>
      </c>
      <c r="H1212" s="24">
        <v>189.0</v>
      </c>
      <c r="I1212" s="24">
        <v>40.0</v>
      </c>
      <c r="J1212" s="24">
        <v>0.0</v>
      </c>
      <c r="K1212" s="23" t="s">
        <v>27</v>
      </c>
      <c r="L1212" s="25">
        <v>42045.66644675926</v>
      </c>
      <c r="M1212" s="26" t="s">
        <v>2490</v>
      </c>
      <c r="N1212" s="26" t="s">
        <v>2491</v>
      </c>
      <c r="O1212" s="22" t="str">
        <f>HYPERLINK("https://pbs.twimg.com/profile_images/805417760993910784/mctZ82yF_normal.jpg","View")</f>
        <v>View</v>
      </c>
      <c r="P1212" s="27"/>
    </row>
    <row r="1213">
      <c r="A1213" s="19">
        <v>42708.30699074074</v>
      </c>
      <c r="B1213" s="20" t="str">
        <f>HYPERLINK("https://twitter.com/migueLSDD","@migueLSDD")</f>
        <v>@migueLSDD</v>
      </c>
      <c r="C1213" s="21" t="s">
        <v>2492</v>
      </c>
      <c r="D1213" s="21" t="s">
        <v>2405</v>
      </c>
      <c r="E1213" s="22" t="str">
        <f>HYPERLINK("https://twitter.com/migueLSDD/status/805311189244932096","805311189244932096")</f>
        <v>805311189244932096</v>
      </c>
      <c r="F1213" s="23" t="s">
        <v>26</v>
      </c>
      <c r="G1213" s="24">
        <v>118.0</v>
      </c>
      <c r="H1213" s="24">
        <v>145.0</v>
      </c>
      <c r="I1213" s="24">
        <v>40.0</v>
      </c>
      <c r="J1213" s="24">
        <v>0.0</v>
      </c>
      <c r="K1213" s="23" t="s">
        <v>27</v>
      </c>
      <c r="L1213" s="25">
        <v>40275.78954861111</v>
      </c>
      <c r="M1213" s="26" t="s">
        <v>2493</v>
      </c>
      <c r="N1213" s="26" t="s">
        <v>2494</v>
      </c>
      <c r="O1213" s="22" t="str">
        <f>HYPERLINK("https://pbs.twimg.com/profile_images/719910856969089025/MNdqkp___normal.jpg","View")</f>
        <v>View</v>
      </c>
      <c r="P1213" s="27"/>
    </row>
    <row r="1214">
      <c r="A1214" s="19">
        <v>42708.3128587963</v>
      </c>
      <c r="B1214" s="20" t="str">
        <f>HYPERLINK("https://twitter.com/northbeach26","@northbeach26")</f>
        <v>@northbeach26</v>
      </c>
      <c r="C1214" s="21" t="s">
        <v>2495</v>
      </c>
      <c r="D1214" s="21" t="s">
        <v>2405</v>
      </c>
      <c r="E1214" s="22" t="str">
        <f>HYPERLINK("https://twitter.com/northbeach26/status/805313318697259008","805313318697259008")</f>
        <v>805313318697259008</v>
      </c>
      <c r="F1214" s="23" t="s">
        <v>26</v>
      </c>
      <c r="G1214" s="24">
        <v>10465.0</v>
      </c>
      <c r="H1214" s="24">
        <v>1648.0</v>
      </c>
      <c r="I1214" s="24">
        <v>40.0</v>
      </c>
      <c r="J1214" s="24">
        <v>0.0</v>
      </c>
      <c r="K1214" s="23" t="s">
        <v>27</v>
      </c>
      <c r="L1214" s="25">
        <v>40566.88653935185</v>
      </c>
      <c r="M1214" s="26" t="s">
        <v>2496</v>
      </c>
      <c r="N1214" s="26" t="s">
        <v>2497</v>
      </c>
      <c r="O1214" s="22" t="str">
        <f>HYPERLINK("https://pbs.twimg.com/profile_images/798456650600448000/ZOBR9qz4_normal.jpg","View")</f>
        <v>View</v>
      </c>
      <c r="P1214" s="27"/>
    </row>
    <row r="1215">
      <c r="A1215" s="19">
        <v>42708.333645833336</v>
      </c>
      <c r="B1215" s="20" t="str">
        <f>HYPERLINK("https://twitter.com/Johnalanpick","@Johnalanpick")</f>
        <v>@Johnalanpick</v>
      </c>
      <c r="C1215" s="21" t="s">
        <v>30</v>
      </c>
      <c r="D1215" s="21" t="s">
        <v>31</v>
      </c>
      <c r="E1215" s="22" t="str">
        <f>HYPERLINK("https://twitter.com/Johnalanpick/status/805320852203896832","805320852203896832")</f>
        <v>805320852203896832</v>
      </c>
      <c r="F1215" s="23" t="s">
        <v>32</v>
      </c>
      <c r="G1215" s="24">
        <v>1309.0</v>
      </c>
      <c r="H1215" s="24">
        <v>1417.0</v>
      </c>
      <c r="I1215" s="24">
        <v>0.0</v>
      </c>
      <c r="J1215" s="24">
        <v>0.0</v>
      </c>
      <c r="K1215" s="23" t="s">
        <v>27</v>
      </c>
      <c r="L1215" s="25">
        <v>39949.55190972222</v>
      </c>
      <c r="M1215" s="26" t="s">
        <v>33</v>
      </c>
      <c r="N1215" s="26" t="s">
        <v>34</v>
      </c>
      <c r="O1215" s="22" t="str">
        <f>HYPERLINK("https://pbs.twimg.com/profile_images/721987658449305600/1WmSYuM-_normal.jpg","View")</f>
        <v>View</v>
      </c>
      <c r="P1215" s="27"/>
    </row>
    <row r="1216">
      <c r="A1216" s="19">
        <v>42708.33886574074</v>
      </c>
      <c r="B1216" s="20" t="str">
        <f>HYPERLINK("https://twitter.com/Teclemdz","@Teclemdz")</f>
        <v>@Teclemdz</v>
      </c>
      <c r="C1216" s="21" t="s">
        <v>1655</v>
      </c>
      <c r="D1216" s="21" t="s">
        <v>2498</v>
      </c>
      <c r="E1216" s="22" t="str">
        <f>HYPERLINK("https://twitter.com/Teclemdz/status/805322741473804288","805322741473804288")</f>
        <v>805322741473804288</v>
      </c>
      <c r="F1216" s="23" t="s">
        <v>81</v>
      </c>
      <c r="G1216" s="24">
        <v>1375.0</v>
      </c>
      <c r="H1216" s="24">
        <v>1998.0</v>
      </c>
      <c r="I1216" s="24">
        <v>0.0</v>
      </c>
      <c r="J1216" s="24">
        <v>1.0</v>
      </c>
      <c r="K1216" s="23" t="s">
        <v>27</v>
      </c>
      <c r="L1216" s="25">
        <v>40695.71601851852</v>
      </c>
      <c r="M1216" s="26" t="s">
        <v>1084</v>
      </c>
      <c r="N1216" s="26" t="s">
        <v>1657</v>
      </c>
      <c r="O1216" s="22" t="str">
        <f>HYPERLINK("https://pbs.twimg.com/profile_images/488434731617230848/VVpFBnBi_normal.jpeg","View")</f>
        <v>View</v>
      </c>
      <c r="P1216" s="27" t="str">
        <f>HYPERLINK("https://ctrlq.org/maps/address/#28.4667,-16.25","Map")</f>
        <v>#ERROR!</v>
      </c>
    </row>
    <row r="1217">
      <c r="A1217" s="19">
        <v>42708.35416666667</v>
      </c>
      <c r="B1217" s="20" t="str">
        <f>HYPERLINK("https://twitter.com/SuneHolidays","@SuneHolidays")</f>
        <v>@SuneHolidays</v>
      </c>
      <c r="C1217" s="21" t="s">
        <v>62</v>
      </c>
      <c r="D1217" s="21" t="s">
        <v>2499</v>
      </c>
      <c r="E1217" s="22" t="str">
        <f>HYPERLINK("https://twitter.com/SuneHolidays/status/805328287404736512","805328287404736512")</f>
        <v>805328287404736512</v>
      </c>
      <c r="F1217" s="23" t="s">
        <v>64</v>
      </c>
      <c r="G1217" s="24">
        <v>396.0</v>
      </c>
      <c r="H1217" s="24">
        <v>990.0</v>
      </c>
      <c r="I1217" s="24">
        <v>1.0</v>
      </c>
      <c r="J1217" s="24">
        <v>1.0</v>
      </c>
      <c r="K1217" s="23" t="s">
        <v>27</v>
      </c>
      <c r="L1217" s="25">
        <v>40929.92998842592</v>
      </c>
      <c r="M1217" s="26" t="s">
        <v>65</v>
      </c>
      <c r="N1217" s="26" t="s">
        <v>66</v>
      </c>
      <c r="O1217" s="22" t="str">
        <f>HYPERLINK("https://pbs.twimg.com/profile_images/686922727480029184/9ztyb32p_normal.jpg","View")</f>
        <v>View</v>
      </c>
      <c r="P1217" s="27"/>
    </row>
    <row r="1218">
      <c r="A1218" s="19">
        <v>42708.36753472222</v>
      </c>
      <c r="B1218" s="20" t="str">
        <f>HYPERLINK("https://twitter.com/mar91rock","@mar91rock")</f>
        <v>@mar91rock</v>
      </c>
      <c r="C1218" s="21" t="s">
        <v>2500</v>
      </c>
      <c r="D1218" s="21" t="s">
        <v>2405</v>
      </c>
      <c r="E1218" s="22" t="str">
        <f>HYPERLINK("https://twitter.com/mar91rock/status/805333129976287232","805333129976287232")</f>
        <v>805333129976287232</v>
      </c>
      <c r="F1218" s="23" t="s">
        <v>41</v>
      </c>
      <c r="G1218" s="24">
        <v>688.0</v>
      </c>
      <c r="H1218" s="24">
        <v>454.0</v>
      </c>
      <c r="I1218" s="24">
        <v>40.0</v>
      </c>
      <c r="J1218" s="24">
        <v>0.0</v>
      </c>
      <c r="K1218" s="23" t="s">
        <v>27</v>
      </c>
      <c r="L1218" s="25">
        <v>40117.487916666665</v>
      </c>
      <c r="M1218" s="26" t="s">
        <v>203</v>
      </c>
      <c r="N1218" s="26" t="s">
        <v>2501</v>
      </c>
      <c r="O1218" s="22" t="str">
        <f>HYPERLINK("https://pbs.twimg.com/profile_images/805180430383280128/jYCun-2T_normal.jpg","View")</f>
        <v>View</v>
      </c>
      <c r="P1218" s="27"/>
    </row>
    <row r="1219">
      <c r="A1219" s="19">
        <v>42708.36934027778</v>
      </c>
      <c r="B1219" s="20" t="str">
        <f>HYPERLINK("https://twitter.com/Teclemdz","@Teclemdz")</f>
        <v>@Teclemdz</v>
      </c>
      <c r="C1219" s="21" t="s">
        <v>1655</v>
      </c>
      <c r="D1219" s="21" t="s">
        <v>2502</v>
      </c>
      <c r="E1219" s="22" t="str">
        <f>HYPERLINK("https://twitter.com/Teclemdz/status/805333787529846784","805333787529846784")</f>
        <v>805333787529846784</v>
      </c>
      <c r="F1219" s="23" t="s">
        <v>81</v>
      </c>
      <c r="G1219" s="24">
        <v>1375.0</v>
      </c>
      <c r="H1219" s="24">
        <v>1998.0</v>
      </c>
      <c r="I1219" s="24">
        <v>0.0</v>
      </c>
      <c r="J1219" s="24">
        <v>0.0</v>
      </c>
      <c r="K1219" s="23" t="s">
        <v>27</v>
      </c>
      <c r="L1219" s="25">
        <v>40695.71601851852</v>
      </c>
      <c r="M1219" s="26" t="s">
        <v>1084</v>
      </c>
      <c r="N1219" s="26" t="s">
        <v>1657</v>
      </c>
      <c r="O1219" s="22" t="str">
        <f>HYPERLINK("https://pbs.twimg.com/profile_images/488434731617230848/VVpFBnBi_normal.jpeg","View")</f>
        <v>View</v>
      </c>
      <c r="P1219" s="27" t="str">
        <f>HYPERLINK("https://ctrlq.org/maps/address/#28.4667,-16.25","Map")</f>
        <v>#ERROR!</v>
      </c>
    </row>
    <row r="1220">
      <c r="A1220" s="19">
        <v>42708.373344907406</v>
      </c>
      <c r="B1220" s="20" t="str">
        <f>HYPERLINK("https://twitter.com/LpaVisit","@LpaVisit")</f>
        <v>@LpaVisit</v>
      </c>
      <c r="C1220" s="21" t="s">
        <v>141</v>
      </c>
      <c r="D1220" s="21" t="s">
        <v>1055</v>
      </c>
      <c r="E1220" s="22" t="str">
        <f>HYPERLINK("https://twitter.com/LpaVisit/status/805335236238262272","805335236238262272")</f>
        <v>805335236238262272</v>
      </c>
      <c r="F1220" s="23" t="s">
        <v>26</v>
      </c>
      <c r="G1220" s="24">
        <v>9640.0</v>
      </c>
      <c r="H1220" s="24">
        <v>554.0</v>
      </c>
      <c r="I1220" s="24">
        <v>15.0</v>
      </c>
      <c r="J1220" s="24">
        <v>0.0</v>
      </c>
      <c r="K1220" s="23" t="s">
        <v>27</v>
      </c>
      <c r="L1220" s="25">
        <v>40866.561064814814</v>
      </c>
      <c r="M1220" s="26" t="s">
        <v>109</v>
      </c>
      <c r="N1220" s="26" t="s">
        <v>142</v>
      </c>
      <c r="O1220" s="22" t="str">
        <f>HYPERLINK("https://pbs.twimg.com/profile_images/656385242819907584/6_e-4aUc_normal.jpg","View")</f>
        <v>View</v>
      </c>
      <c r="P1220" s="27"/>
    </row>
    <row r="1221">
      <c r="A1221" s="19">
        <v>42708.37730324074</v>
      </c>
      <c r="B1221" s="20" t="str">
        <f>HYPERLINK("https://twitter.com/dixkover","@dixkover")</f>
        <v>@dixkover</v>
      </c>
      <c r="C1221" s="21" t="s">
        <v>2503</v>
      </c>
      <c r="D1221" s="21" t="s">
        <v>2504</v>
      </c>
      <c r="E1221" s="22" t="str">
        <f>HYPERLINK("https://twitter.com/dixkover/status/805336669339652096","805336669339652096")</f>
        <v>805336669339652096</v>
      </c>
      <c r="F1221" s="23" t="s">
        <v>2505</v>
      </c>
      <c r="G1221" s="24">
        <v>1722.0</v>
      </c>
      <c r="H1221" s="24">
        <v>1100.0</v>
      </c>
      <c r="I1221" s="24">
        <v>0.0</v>
      </c>
      <c r="J1221" s="24">
        <v>0.0</v>
      </c>
      <c r="K1221" s="23" t="s">
        <v>27</v>
      </c>
      <c r="L1221" s="25">
        <v>41498.62164351852</v>
      </c>
      <c r="M1221" s="26" t="s">
        <v>2506</v>
      </c>
      <c r="N1221" s="26" t="s">
        <v>2507</v>
      </c>
      <c r="O1221" s="22" t="str">
        <f>HYPERLINK("https://pbs.twimg.com/profile_images/590898060517048321/bKNFtsne_normal.png","View")</f>
        <v>View</v>
      </c>
      <c r="P1221" s="27"/>
    </row>
    <row r="1222">
      <c r="A1222" s="19">
        <v>42708.37731481482</v>
      </c>
      <c r="B1222" s="20" t="str">
        <f>HYPERLINK("https://twitter.com/_TenDive","@_TenDive")</f>
        <v>@_TenDive</v>
      </c>
      <c r="C1222" s="21" t="s">
        <v>103</v>
      </c>
      <c r="D1222" s="21" t="s">
        <v>2508</v>
      </c>
      <c r="E1222" s="22" t="str">
        <f>HYPERLINK("https://twitter.com/_TenDive/status/805336676583309312","805336676583309312")</f>
        <v>805336676583309312</v>
      </c>
      <c r="F1222" s="23" t="s">
        <v>37</v>
      </c>
      <c r="G1222" s="24">
        <v>235.0</v>
      </c>
      <c r="H1222" s="24">
        <v>118.0</v>
      </c>
      <c r="I1222" s="24">
        <v>1.0</v>
      </c>
      <c r="J1222" s="24">
        <v>1.0</v>
      </c>
      <c r="K1222" s="23" t="s">
        <v>27</v>
      </c>
      <c r="L1222" s="25">
        <v>41385.479999999996</v>
      </c>
      <c r="M1222" s="26" t="s">
        <v>105</v>
      </c>
      <c r="N1222" s="26" t="s">
        <v>106</v>
      </c>
      <c r="O1222" s="22" t="str">
        <f>HYPERLINK("https://pbs.twimg.com/profile_images/694439157893107712/KkG57Zcq_normal.jpg","View")</f>
        <v>View</v>
      </c>
      <c r="P1222" s="27"/>
    </row>
    <row r="1223">
      <c r="A1223" s="19">
        <v>42708.3903587963</v>
      </c>
      <c r="B1223" s="20" t="str">
        <f>HYPERLINK("https://twitter.com/ScubaFlorida","@ScubaFlorida")</f>
        <v>@ScubaFlorida</v>
      </c>
      <c r="C1223" s="21" t="s">
        <v>834</v>
      </c>
      <c r="D1223" s="21" t="s">
        <v>835</v>
      </c>
      <c r="E1223" s="22" t="str">
        <f>HYPERLINK("https://twitter.com/ScubaFlorida/status/805341402708279296","805341402708279296")</f>
        <v>805341402708279296</v>
      </c>
      <c r="F1223" s="23" t="s">
        <v>836</v>
      </c>
      <c r="G1223" s="24">
        <v>1481.0</v>
      </c>
      <c r="H1223" s="24">
        <v>211.0</v>
      </c>
      <c r="I1223" s="24">
        <v>1.0</v>
      </c>
      <c r="J1223" s="24">
        <v>0.0</v>
      </c>
      <c r="K1223" s="23" t="s">
        <v>27</v>
      </c>
      <c r="L1223" s="25">
        <v>40015.46666666667</v>
      </c>
      <c r="M1223" s="26" t="s">
        <v>837</v>
      </c>
      <c r="N1223" s="26" t="s">
        <v>838</v>
      </c>
      <c r="O1223" s="22" t="str">
        <f>HYPERLINK("https://pbs.twimg.com/profile_images/560310747914199040/HR4MGmME_normal.jpeg","View")</f>
        <v>View</v>
      </c>
      <c r="P1223" s="27"/>
    </row>
    <row r="1224">
      <c r="A1224" s="19">
        <v>42708.393796296295</v>
      </c>
      <c r="B1224" s="20" t="str">
        <f t="shared" ref="B1224:B1225" si="124">HYPERLINK("https://twitter.com/_TenDive","@_TenDive")</f>
        <v>@_TenDive</v>
      </c>
      <c r="C1224" s="21" t="s">
        <v>103</v>
      </c>
      <c r="D1224" s="21" t="s">
        <v>2509</v>
      </c>
      <c r="E1224" s="22" t="str">
        <f>HYPERLINK("https://twitter.com/_TenDive/status/805342647921557504","805342647921557504")</f>
        <v>805342647921557504</v>
      </c>
      <c r="F1224" s="23" t="s">
        <v>59</v>
      </c>
      <c r="G1224" s="24">
        <v>235.0</v>
      </c>
      <c r="H1224" s="24">
        <v>118.0</v>
      </c>
      <c r="I1224" s="24">
        <v>0.0</v>
      </c>
      <c r="J1224" s="24">
        <v>0.0</v>
      </c>
      <c r="K1224" s="23" t="s">
        <v>27</v>
      </c>
      <c r="L1224" s="25">
        <v>41385.479999999996</v>
      </c>
      <c r="M1224" s="26" t="s">
        <v>105</v>
      </c>
      <c r="N1224" s="26" t="s">
        <v>106</v>
      </c>
      <c r="O1224" s="22" t="str">
        <f t="shared" ref="O1224:O1225" si="125">HYPERLINK("https://pbs.twimg.com/profile_images/694439157893107712/KkG57Zcq_normal.jpg","View")</f>
        <v>View</v>
      </c>
      <c r="P1224" s="27"/>
    </row>
    <row r="1225">
      <c r="A1225" s="19">
        <v>42708.39806712963</v>
      </c>
      <c r="B1225" s="20" t="str">
        <f t="shared" si="124"/>
        <v>@_TenDive</v>
      </c>
      <c r="C1225" s="21" t="s">
        <v>103</v>
      </c>
      <c r="D1225" s="21" t="s">
        <v>2510</v>
      </c>
      <c r="E1225" s="22" t="str">
        <f>HYPERLINK("https://twitter.com/_TenDive/status/805344197419134976","805344197419134976")</f>
        <v>805344197419134976</v>
      </c>
      <c r="F1225" s="23" t="s">
        <v>59</v>
      </c>
      <c r="G1225" s="24">
        <v>235.0</v>
      </c>
      <c r="H1225" s="24">
        <v>118.0</v>
      </c>
      <c r="I1225" s="24">
        <v>0.0</v>
      </c>
      <c r="J1225" s="24">
        <v>0.0</v>
      </c>
      <c r="K1225" s="23" t="s">
        <v>27</v>
      </c>
      <c r="L1225" s="25">
        <v>41385.479999999996</v>
      </c>
      <c r="M1225" s="26" t="s">
        <v>105</v>
      </c>
      <c r="N1225" s="26" t="s">
        <v>106</v>
      </c>
      <c r="O1225" s="22" t="str">
        <f t="shared" si="125"/>
        <v>View</v>
      </c>
      <c r="P1225" s="27"/>
    </row>
    <row r="1226">
      <c r="A1226" s="19">
        <v>42708.4028587963</v>
      </c>
      <c r="B1226" s="20" t="str">
        <f>HYPERLINK("https://twitter.com/KeyserSoSo","@KeyserSoSo")</f>
        <v>@KeyserSoSo</v>
      </c>
      <c r="C1226" s="21" t="s">
        <v>452</v>
      </c>
      <c r="D1226" s="21" t="s">
        <v>2511</v>
      </c>
      <c r="E1226" s="22" t="str">
        <f>HYPERLINK("https://twitter.com/KeyserSoSo/status/805345933810659328","805345933810659328")</f>
        <v>805345933810659328</v>
      </c>
      <c r="F1226" s="23" t="s">
        <v>26</v>
      </c>
      <c r="G1226" s="24">
        <v>65.0</v>
      </c>
      <c r="H1226" s="24">
        <v>122.0</v>
      </c>
      <c r="I1226" s="24">
        <v>1.0</v>
      </c>
      <c r="J1226" s="24">
        <v>0.0</v>
      </c>
      <c r="K1226" s="23" t="s">
        <v>27</v>
      </c>
      <c r="L1226" s="25">
        <v>41843.658842592595</v>
      </c>
      <c r="M1226" s="26" t="s">
        <v>292</v>
      </c>
      <c r="N1226" s="28"/>
      <c r="O1226" s="22" t="str">
        <f>HYPERLINK("https://pbs.twimg.com/profile_images/592798998773235713/aPa65SQO_normal.jpg","View")</f>
        <v>View</v>
      </c>
      <c r="P1226" s="27"/>
    </row>
    <row r="1227">
      <c r="A1227" s="19">
        <v>42708.41719907407</v>
      </c>
      <c r="B1227" s="20" t="str">
        <f>HYPERLINK("https://twitter.com/swisshop4uEs","@swisshop4uEs")</f>
        <v>@swisshop4uEs</v>
      </c>
      <c r="C1227" s="21" t="s">
        <v>48</v>
      </c>
      <c r="D1227" s="21" t="s">
        <v>2512</v>
      </c>
      <c r="E1227" s="22" t="str">
        <f>HYPERLINK("https://twitter.com/swisshop4uEs/status/805351130163281921","805351130163281921")</f>
        <v>805351130163281921</v>
      </c>
      <c r="F1227" s="23" t="s">
        <v>50</v>
      </c>
      <c r="G1227" s="24">
        <v>455.0</v>
      </c>
      <c r="H1227" s="24">
        <v>424.0</v>
      </c>
      <c r="I1227" s="24">
        <v>0.0</v>
      </c>
      <c r="J1227" s="24">
        <v>0.0</v>
      </c>
      <c r="K1227" s="23" t="s">
        <v>27</v>
      </c>
      <c r="L1227" s="25">
        <v>41468.93072916666</v>
      </c>
      <c r="M1227" s="26" t="s">
        <v>51</v>
      </c>
      <c r="N1227" s="26" t="s">
        <v>52</v>
      </c>
      <c r="O1227" s="22" t="str">
        <f>HYPERLINK("https://pbs.twimg.com/profile_images/378800000213382003/4f562b59f92995b884d2d440f71fc5ce_normal.png","View")</f>
        <v>View</v>
      </c>
      <c r="P1227" s="27"/>
    </row>
    <row r="1228">
      <c r="A1228" s="19">
        <v>42708.43733796296</v>
      </c>
      <c r="B1228" s="20" t="str">
        <f>HYPERLINK("https://twitter.com/Shar_edwards","@Shar_edwards")</f>
        <v>@Shar_edwards</v>
      </c>
      <c r="C1228" s="21" t="s">
        <v>2513</v>
      </c>
      <c r="D1228" s="21" t="s">
        <v>2514</v>
      </c>
      <c r="E1228" s="22" t="str">
        <f>HYPERLINK("https://twitter.com/Shar_edwards/status/805358427245596676","805358427245596676")</f>
        <v>805358427245596676</v>
      </c>
      <c r="F1228" s="23" t="s">
        <v>37</v>
      </c>
      <c r="G1228" s="24">
        <v>151.0</v>
      </c>
      <c r="H1228" s="24">
        <v>418.0</v>
      </c>
      <c r="I1228" s="24">
        <v>1.0</v>
      </c>
      <c r="J1228" s="24">
        <v>0.0</v>
      </c>
      <c r="K1228" s="23" t="s">
        <v>27</v>
      </c>
      <c r="L1228" s="25">
        <v>39926.962002314816</v>
      </c>
      <c r="M1228" s="26" t="s">
        <v>2515</v>
      </c>
      <c r="N1228" s="26" t="s">
        <v>2516</v>
      </c>
      <c r="O1228" s="22" t="str">
        <f>HYPERLINK("https://pbs.twimg.com/profile_images/747820234032226304/Y68kE9Fa_normal.jpg","View")</f>
        <v>View</v>
      </c>
      <c r="P1228" s="27"/>
    </row>
    <row r="1229">
      <c r="A1229" s="19">
        <v>42708.47917824074</v>
      </c>
      <c r="B1229" s="20" t="str">
        <f>HYPERLINK("https://twitter.com/Lanzarote_Sov","@Lanzarote_Sov")</f>
        <v>@Lanzarote_Sov</v>
      </c>
      <c r="C1229" s="21" t="s">
        <v>950</v>
      </c>
      <c r="D1229" s="21" t="s">
        <v>2517</v>
      </c>
      <c r="E1229" s="22" t="str">
        <f>HYPERLINK("https://twitter.com/Lanzarote_Sov/status/805373587901267968","805373587901267968")</f>
        <v>805373587901267968</v>
      </c>
      <c r="F1229" s="23" t="s">
        <v>64</v>
      </c>
      <c r="G1229" s="24">
        <v>115.0</v>
      </c>
      <c r="H1229" s="24">
        <v>124.0</v>
      </c>
      <c r="I1229" s="24">
        <v>0.0</v>
      </c>
      <c r="J1229" s="24">
        <v>1.0</v>
      </c>
      <c r="K1229" s="23" t="s">
        <v>27</v>
      </c>
      <c r="L1229" s="25">
        <v>42095.68859953704</v>
      </c>
      <c r="M1229" s="26" t="s">
        <v>952</v>
      </c>
      <c r="N1229" s="26" t="s">
        <v>953</v>
      </c>
      <c r="O1229" s="22" t="str">
        <f>HYPERLINK("https://pbs.twimg.com/profile_images/601788526162763778/vJg4VIhI_normal.jpg","View")</f>
        <v>View</v>
      </c>
      <c r="P1229" s="27"/>
    </row>
    <row r="1230">
      <c r="A1230" s="19">
        <v>42708.48579861112</v>
      </c>
      <c r="B1230" s="20" t="str">
        <f>HYPERLINK("https://twitter.com/RLGieling","@RLGieling")</f>
        <v>@RLGieling</v>
      </c>
      <c r="C1230" s="21" t="s">
        <v>2303</v>
      </c>
      <c r="D1230" s="21" t="s">
        <v>2518</v>
      </c>
      <c r="E1230" s="22" t="str">
        <f>HYPERLINK("https://twitter.com/RLGieling/status/805375988410552320","805375988410552320")</f>
        <v>805375988410552320</v>
      </c>
      <c r="F1230" s="23" t="s">
        <v>81</v>
      </c>
      <c r="G1230" s="24">
        <v>1478.0</v>
      </c>
      <c r="H1230" s="24">
        <v>1183.0</v>
      </c>
      <c r="I1230" s="24">
        <v>0.0</v>
      </c>
      <c r="J1230" s="24">
        <v>0.0</v>
      </c>
      <c r="K1230" s="23" t="s">
        <v>27</v>
      </c>
      <c r="L1230" s="25">
        <v>40574.452731481484</v>
      </c>
      <c r="M1230" s="26" t="s">
        <v>2305</v>
      </c>
      <c r="N1230" s="26" t="s">
        <v>2306</v>
      </c>
      <c r="O1230" s="22" t="str">
        <f>HYPERLINK("https://pbs.twimg.com/profile_images/739040004022935556/1zrwUw2h_normal.jpg","View")</f>
        <v>View</v>
      </c>
      <c r="P1230" s="27" t="str">
        <f>HYPERLINK("https://ctrlq.org/maps/address/#28.10202224,-15.41540367","Map")</f>
        <v>#ERROR!</v>
      </c>
    </row>
    <row r="1231">
      <c r="A1231" s="19">
        <v>42708.48736111111</v>
      </c>
      <c r="B1231" s="20" t="str">
        <f>HYPERLINK("https://twitter.com/Lupe_mao","@Lupe_mao")</f>
        <v>@Lupe_mao</v>
      </c>
      <c r="C1231" s="21" t="s">
        <v>2519</v>
      </c>
      <c r="D1231" s="21" t="s">
        <v>2520</v>
      </c>
      <c r="E1231" s="22" t="str">
        <f>HYPERLINK("https://twitter.com/Lupe_mao/status/805376556914921473","805376556914921473")</f>
        <v>805376556914921473</v>
      </c>
      <c r="F1231" s="23" t="s">
        <v>81</v>
      </c>
      <c r="G1231" s="24">
        <v>1857.0</v>
      </c>
      <c r="H1231" s="24">
        <v>975.0</v>
      </c>
      <c r="I1231" s="24">
        <v>0.0</v>
      </c>
      <c r="J1231" s="24">
        <v>0.0</v>
      </c>
      <c r="K1231" s="23" t="s">
        <v>27</v>
      </c>
      <c r="L1231" s="25">
        <v>40854.43099537037</v>
      </c>
      <c r="M1231" s="28"/>
      <c r="N1231" s="28"/>
      <c r="O1231" s="22" t="str">
        <f>HYPERLINK("https://pbs.twimg.com/profile_images/1627476389/WuAy9t5M_normal","View")</f>
        <v>View</v>
      </c>
      <c r="P1231" s="27"/>
    </row>
    <row r="1232">
      <c r="A1232" s="19">
        <v>42708.49667824074</v>
      </c>
      <c r="B1232" s="20" t="str">
        <f>HYPERLINK("https://twitter.com/fastpass2disney","@fastpass2disney")</f>
        <v>@fastpass2disney</v>
      </c>
      <c r="C1232" s="21" t="s">
        <v>2521</v>
      </c>
      <c r="D1232" s="21" t="s">
        <v>2522</v>
      </c>
      <c r="E1232" s="22" t="str">
        <f>HYPERLINK("https://twitter.com/fastpass2disney/status/805379929181392900","805379929181392900")</f>
        <v>805379929181392900</v>
      </c>
      <c r="F1232" s="23" t="s">
        <v>401</v>
      </c>
      <c r="G1232" s="24">
        <v>1083.0</v>
      </c>
      <c r="H1232" s="24">
        <v>1625.0</v>
      </c>
      <c r="I1232" s="24">
        <v>1.0</v>
      </c>
      <c r="J1232" s="24">
        <v>0.0</v>
      </c>
      <c r="K1232" s="23" t="s">
        <v>27</v>
      </c>
      <c r="L1232" s="25">
        <v>41162.57733796296</v>
      </c>
      <c r="M1232" s="26" t="s">
        <v>2523</v>
      </c>
      <c r="N1232" s="26" t="s">
        <v>2524</v>
      </c>
      <c r="O1232" s="22" t="str">
        <f>HYPERLINK("https://pbs.twimg.com/profile_images/678892644064473089/kLYTNVYL_normal.jpg","View")</f>
        <v>View</v>
      </c>
      <c r="P1232" s="27"/>
    </row>
    <row r="1233">
      <c r="A1233" s="19">
        <v>42708.50853009259</v>
      </c>
      <c r="B1233" s="20" t="str">
        <f>HYPERLINK("https://twitter.com/javiap771","@javiap771")</f>
        <v>@javiap771</v>
      </c>
      <c r="C1233" s="21" t="s">
        <v>2525</v>
      </c>
      <c r="D1233" s="21" t="s">
        <v>1874</v>
      </c>
      <c r="E1233" s="22" t="str">
        <f>HYPERLINK("https://twitter.com/javiap771/status/805384226724057089","805384226724057089")</f>
        <v>805384226724057089</v>
      </c>
      <c r="F1233" s="23" t="s">
        <v>41</v>
      </c>
      <c r="G1233" s="24">
        <v>143.0</v>
      </c>
      <c r="H1233" s="24">
        <v>363.0</v>
      </c>
      <c r="I1233" s="24">
        <v>92.0</v>
      </c>
      <c r="J1233" s="24">
        <v>0.0</v>
      </c>
      <c r="K1233" s="23" t="s">
        <v>27</v>
      </c>
      <c r="L1233" s="25">
        <v>42409.458020833335</v>
      </c>
      <c r="M1233" s="26" t="s">
        <v>2526</v>
      </c>
      <c r="N1233" s="26" t="s">
        <v>2527</v>
      </c>
      <c r="O1233" s="22" t="str">
        <f>HYPERLINK("https://pbs.twimg.com/profile_images/697035052291637248/p_AqWc-Q_normal.jpg","View")</f>
        <v>View</v>
      </c>
      <c r="P1233" s="27"/>
    </row>
    <row r="1234">
      <c r="A1234" s="19">
        <v>42708.51347222222</v>
      </c>
      <c r="B1234" s="20" t="str">
        <f>HYPERLINK("https://twitter.com/i_dahee","@i_dahee")</f>
        <v>@i_dahee</v>
      </c>
      <c r="C1234" s="21" t="s">
        <v>2528</v>
      </c>
      <c r="D1234" s="21" t="s">
        <v>2529</v>
      </c>
      <c r="E1234" s="22" t="str">
        <f>HYPERLINK("https://twitter.com/i_dahee/status/805386016571924480","805386016571924480")</f>
        <v>805386016571924480</v>
      </c>
      <c r="F1234" s="23" t="s">
        <v>81</v>
      </c>
      <c r="G1234" s="24">
        <v>52.0</v>
      </c>
      <c r="H1234" s="24">
        <v>113.0</v>
      </c>
      <c r="I1234" s="24">
        <v>0.0</v>
      </c>
      <c r="J1234" s="24">
        <v>0.0</v>
      </c>
      <c r="K1234" s="23" t="s">
        <v>27</v>
      </c>
      <c r="L1234" s="25">
        <v>41868.645844907405</v>
      </c>
      <c r="M1234" s="26" t="s">
        <v>2530</v>
      </c>
      <c r="N1234" s="26" t="s">
        <v>2531</v>
      </c>
      <c r="O1234" s="22" t="str">
        <f>HYPERLINK("https://pbs.twimg.com/profile_images/718436369215807488/V2owAcOw_normal.jpg","View")</f>
        <v>View</v>
      </c>
      <c r="P1234" s="27"/>
    </row>
    <row r="1235">
      <c r="A1235" s="19">
        <v>42708.52800925926</v>
      </c>
      <c r="B1235" s="20" t="str">
        <f>HYPERLINK("https://twitter.com/DunasHoteles","@DunasHoteles")</f>
        <v>@DunasHoteles</v>
      </c>
      <c r="C1235" s="21" t="s">
        <v>1233</v>
      </c>
      <c r="D1235" s="21" t="s">
        <v>2532</v>
      </c>
      <c r="E1235" s="22" t="str">
        <f>HYPERLINK("https://twitter.com/DunasHoteles/status/805391286941483008","805391286941483008")</f>
        <v>805391286941483008</v>
      </c>
      <c r="F1235" s="23" t="s">
        <v>401</v>
      </c>
      <c r="G1235" s="24">
        <v>2603.0</v>
      </c>
      <c r="H1235" s="24">
        <v>2117.0</v>
      </c>
      <c r="I1235" s="24">
        <v>1.0</v>
      </c>
      <c r="J1235" s="24">
        <v>2.0</v>
      </c>
      <c r="K1235" s="23" t="s">
        <v>27</v>
      </c>
      <c r="L1235" s="25">
        <v>39769.46932870371</v>
      </c>
      <c r="M1235" s="26" t="s">
        <v>109</v>
      </c>
      <c r="N1235" s="26" t="s">
        <v>1235</v>
      </c>
      <c r="O1235" s="22" t="str">
        <f>HYPERLINK("https://pbs.twimg.com/profile_images/461470205227454465/4u4KGofw_normal.jpeg","View")</f>
        <v>View</v>
      </c>
      <c r="P1235" s="27"/>
    </row>
    <row r="1236">
      <c r="A1236" s="19">
        <v>42708.52918981481</v>
      </c>
      <c r="B1236" s="20" t="str">
        <f>HYPERLINK("https://twitter.com/bermaxo09","@bermaxo09")</f>
        <v>@bermaxo09</v>
      </c>
      <c r="C1236" s="21" t="s">
        <v>284</v>
      </c>
      <c r="D1236" s="21" t="s">
        <v>2533</v>
      </c>
      <c r="E1236" s="22" t="str">
        <f>HYPERLINK("https://twitter.com/bermaxo09/status/805391714382999552","805391714382999552")</f>
        <v>805391714382999552</v>
      </c>
      <c r="F1236" s="23" t="s">
        <v>37</v>
      </c>
      <c r="G1236" s="24">
        <v>193.0</v>
      </c>
      <c r="H1236" s="24">
        <v>196.0</v>
      </c>
      <c r="I1236" s="24">
        <v>1.0</v>
      </c>
      <c r="J1236" s="24">
        <v>0.0</v>
      </c>
      <c r="K1236" s="23" t="s">
        <v>27</v>
      </c>
      <c r="L1236" s="25">
        <v>42689.441516203704</v>
      </c>
      <c r="M1236" s="26" t="s">
        <v>109</v>
      </c>
      <c r="N1236" s="26" t="s">
        <v>286</v>
      </c>
      <c r="O1236" s="22" t="str">
        <f>HYPERLINK("https://pbs.twimg.com/profile_images/798476790478073856/iOD0HIRa_normal.jpg","View")</f>
        <v>View</v>
      </c>
      <c r="P1236" s="27"/>
    </row>
    <row r="1237">
      <c r="A1237" s="19">
        <v>42708.53287037037</v>
      </c>
      <c r="B1237" s="20" t="str">
        <f t="shared" ref="B1237:B1238" si="126">HYPERLINK("https://twitter.com/JAGreenhill","@JAGreenhill")</f>
        <v>@JAGreenhill</v>
      </c>
      <c r="C1237" s="21" t="s">
        <v>423</v>
      </c>
      <c r="D1237" s="21" t="s">
        <v>2534</v>
      </c>
      <c r="E1237" s="22" t="str">
        <f>HYPERLINK("https://twitter.com/JAGreenhill/status/805393048477777920","805393048477777920")</f>
        <v>805393048477777920</v>
      </c>
      <c r="F1237" s="23" t="s">
        <v>69</v>
      </c>
      <c r="G1237" s="24">
        <v>57.0</v>
      </c>
      <c r="H1237" s="24">
        <v>66.0</v>
      </c>
      <c r="I1237" s="24">
        <v>0.0</v>
      </c>
      <c r="J1237" s="24">
        <v>1.0</v>
      </c>
      <c r="K1237" s="23" t="s">
        <v>27</v>
      </c>
      <c r="L1237" s="25">
        <v>39966.43601851852</v>
      </c>
      <c r="M1237" s="26" t="s">
        <v>425</v>
      </c>
      <c r="N1237" s="26" t="s">
        <v>426</v>
      </c>
      <c r="O1237" s="22" t="str">
        <f t="shared" ref="O1237:O1238" si="127">HYPERLINK("https://pbs.twimg.com/profile_images/805052311466897409/zHKEhdG9_normal.jpg","View")</f>
        <v>View</v>
      </c>
      <c r="P1237" s="27"/>
    </row>
    <row r="1238">
      <c r="A1238" s="19">
        <v>42708.53487268518</v>
      </c>
      <c r="B1238" s="20" t="str">
        <f t="shared" si="126"/>
        <v>@JAGreenhill</v>
      </c>
      <c r="C1238" s="21" t="s">
        <v>423</v>
      </c>
      <c r="D1238" s="21" t="s">
        <v>2535</v>
      </c>
      <c r="E1238" s="22" t="str">
        <f>HYPERLINK("https://twitter.com/JAGreenhill/status/805393771286368257","805393771286368257")</f>
        <v>805393771286368257</v>
      </c>
      <c r="F1238" s="23" t="s">
        <v>69</v>
      </c>
      <c r="G1238" s="24">
        <v>57.0</v>
      </c>
      <c r="H1238" s="24">
        <v>66.0</v>
      </c>
      <c r="I1238" s="24">
        <v>0.0</v>
      </c>
      <c r="J1238" s="24">
        <v>0.0</v>
      </c>
      <c r="K1238" s="23" t="s">
        <v>27</v>
      </c>
      <c r="L1238" s="25">
        <v>39966.43601851852</v>
      </c>
      <c r="M1238" s="26" t="s">
        <v>425</v>
      </c>
      <c r="N1238" s="26" t="s">
        <v>426</v>
      </c>
      <c r="O1238" s="22" t="str">
        <f t="shared" si="127"/>
        <v>View</v>
      </c>
      <c r="P1238" s="27"/>
    </row>
    <row r="1239">
      <c r="A1239" s="19">
        <v>42708.53542824074</v>
      </c>
      <c r="B1239" s="20" t="str">
        <f>HYPERLINK("https://twitter.com/ABecharaGhobril","@ABecharaGhobril")</f>
        <v>@ABecharaGhobril</v>
      </c>
      <c r="C1239" s="21" t="s">
        <v>2536</v>
      </c>
      <c r="D1239" s="21" t="s">
        <v>1055</v>
      </c>
      <c r="E1239" s="22" t="str">
        <f>HYPERLINK("https://twitter.com/ABecharaGhobril/status/805393972252262401","805393972252262401")</f>
        <v>805393972252262401</v>
      </c>
      <c r="F1239" s="23" t="s">
        <v>26</v>
      </c>
      <c r="G1239" s="24">
        <v>162.0</v>
      </c>
      <c r="H1239" s="24">
        <v>433.0</v>
      </c>
      <c r="I1239" s="24">
        <v>15.0</v>
      </c>
      <c r="J1239" s="24">
        <v>0.0</v>
      </c>
      <c r="K1239" s="23" t="s">
        <v>27</v>
      </c>
      <c r="L1239" s="25">
        <v>40991.77469907407</v>
      </c>
      <c r="M1239" s="26" t="s">
        <v>255</v>
      </c>
      <c r="N1239" s="26" t="s">
        <v>2537</v>
      </c>
      <c r="O1239" s="22" t="str">
        <f>HYPERLINK("https://pbs.twimg.com/profile_images/762037055144792064/GAHYrSdX_normal.jpg","View")</f>
        <v>View</v>
      </c>
      <c r="P1239" s="27"/>
    </row>
    <row r="1240">
      <c r="A1240" s="19">
        <v>42708.535879629635</v>
      </c>
      <c r="B1240" s="20" t="str">
        <f t="shared" ref="B1240:B1243" si="128">HYPERLINK("https://twitter.com/JAGreenhill","@JAGreenhill")</f>
        <v>@JAGreenhill</v>
      </c>
      <c r="C1240" s="21" t="s">
        <v>423</v>
      </c>
      <c r="D1240" s="21" t="s">
        <v>2538</v>
      </c>
      <c r="E1240" s="22" t="str">
        <f>HYPERLINK("https://twitter.com/JAGreenhill/status/805394135649816578","805394135649816578")</f>
        <v>805394135649816578</v>
      </c>
      <c r="F1240" s="23" t="s">
        <v>69</v>
      </c>
      <c r="G1240" s="24">
        <v>57.0</v>
      </c>
      <c r="H1240" s="24">
        <v>66.0</v>
      </c>
      <c r="I1240" s="24">
        <v>0.0</v>
      </c>
      <c r="J1240" s="24">
        <v>1.0</v>
      </c>
      <c r="K1240" s="23" t="s">
        <v>27</v>
      </c>
      <c r="L1240" s="25">
        <v>39966.43601851852</v>
      </c>
      <c r="M1240" s="26" t="s">
        <v>425</v>
      </c>
      <c r="N1240" s="26" t="s">
        <v>426</v>
      </c>
      <c r="O1240" s="22" t="str">
        <f t="shared" ref="O1240:O1243" si="129">HYPERLINK("https://pbs.twimg.com/profile_images/805052311466897409/zHKEhdG9_normal.jpg","View")</f>
        <v>View</v>
      </c>
      <c r="P1240" s="27"/>
    </row>
    <row r="1241">
      <c r="A1241" s="19">
        <v>42708.53766203704</v>
      </c>
      <c r="B1241" s="20" t="str">
        <f t="shared" si="128"/>
        <v>@JAGreenhill</v>
      </c>
      <c r="C1241" s="21" t="s">
        <v>423</v>
      </c>
      <c r="D1241" s="21" t="s">
        <v>2539</v>
      </c>
      <c r="E1241" s="22" t="str">
        <f>HYPERLINK("https://twitter.com/JAGreenhill/status/805394781694230528","805394781694230528")</f>
        <v>805394781694230528</v>
      </c>
      <c r="F1241" s="23" t="s">
        <v>69</v>
      </c>
      <c r="G1241" s="24">
        <v>57.0</v>
      </c>
      <c r="H1241" s="24">
        <v>66.0</v>
      </c>
      <c r="I1241" s="24">
        <v>0.0</v>
      </c>
      <c r="J1241" s="24">
        <v>0.0</v>
      </c>
      <c r="K1241" s="23" t="s">
        <v>27</v>
      </c>
      <c r="L1241" s="25">
        <v>39966.43601851852</v>
      </c>
      <c r="M1241" s="26" t="s">
        <v>425</v>
      </c>
      <c r="N1241" s="26" t="s">
        <v>426</v>
      </c>
      <c r="O1241" s="22" t="str">
        <f t="shared" si="129"/>
        <v>View</v>
      </c>
      <c r="P1241" s="27"/>
    </row>
    <row r="1242">
      <c r="A1242" s="19">
        <v>42708.53917824074</v>
      </c>
      <c r="B1242" s="20" t="str">
        <f t="shared" si="128"/>
        <v>@JAGreenhill</v>
      </c>
      <c r="C1242" s="21" t="s">
        <v>423</v>
      </c>
      <c r="D1242" s="21" t="s">
        <v>2540</v>
      </c>
      <c r="E1242" s="22" t="str">
        <f>HYPERLINK("https://twitter.com/JAGreenhill/status/805395334495174656","805395334495174656")</f>
        <v>805395334495174656</v>
      </c>
      <c r="F1242" s="23" t="s">
        <v>69</v>
      </c>
      <c r="G1242" s="24">
        <v>57.0</v>
      </c>
      <c r="H1242" s="24">
        <v>66.0</v>
      </c>
      <c r="I1242" s="24">
        <v>0.0</v>
      </c>
      <c r="J1242" s="24">
        <v>0.0</v>
      </c>
      <c r="K1242" s="23" t="s">
        <v>27</v>
      </c>
      <c r="L1242" s="25">
        <v>39966.43601851852</v>
      </c>
      <c r="M1242" s="26" t="s">
        <v>425</v>
      </c>
      <c r="N1242" s="26" t="s">
        <v>426</v>
      </c>
      <c r="O1242" s="22" t="str">
        <f t="shared" si="129"/>
        <v>View</v>
      </c>
      <c r="P1242" s="27"/>
    </row>
    <row r="1243">
      <c r="A1243" s="19">
        <v>42708.54045138889</v>
      </c>
      <c r="B1243" s="20" t="str">
        <f t="shared" si="128"/>
        <v>@JAGreenhill</v>
      </c>
      <c r="C1243" s="21" t="s">
        <v>423</v>
      </c>
      <c r="D1243" s="21" t="s">
        <v>2541</v>
      </c>
      <c r="E1243" s="22" t="str">
        <f>HYPERLINK("https://twitter.com/JAGreenhill/status/805395793641349121","805395793641349121")</f>
        <v>805395793641349121</v>
      </c>
      <c r="F1243" s="23" t="s">
        <v>69</v>
      </c>
      <c r="G1243" s="24">
        <v>57.0</v>
      </c>
      <c r="H1243" s="24">
        <v>66.0</v>
      </c>
      <c r="I1243" s="24">
        <v>0.0</v>
      </c>
      <c r="J1243" s="24">
        <v>0.0</v>
      </c>
      <c r="K1243" s="23" t="s">
        <v>27</v>
      </c>
      <c r="L1243" s="25">
        <v>39966.43601851852</v>
      </c>
      <c r="M1243" s="26" t="s">
        <v>425</v>
      </c>
      <c r="N1243" s="26" t="s">
        <v>426</v>
      </c>
      <c r="O1243" s="22" t="str">
        <f t="shared" si="129"/>
        <v>View</v>
      </c>
      <c r="P1243" s="27"/>
    </row>
    <row r="1244">
      <c r="A1244" s="19">
        <v>42708.5418287037</v>
      </c>
      <c r="B1244" s="20" t="str">
        <f>HYPERLINK("https://twitter.com/collectingsmile","@collectingsmile")</f>
        <v>@collectingsmile</v>
      </c>
      <c r="C1244" s="21" t="s">
        <v>84</v>
      </c>
      <c r="D1244" s="21" t="s">
        <v>2542</v>
      </c>
      <c r="E1244" s="22" t="str">
        <f>HYPERLINK("https://twitter.com/collectingsmile/status/805396292427980801","805396292427980801")</f>
        <v>805396292427980801</v>
      </c>
      <c r="F1244" s="23" t="s">
        <v>41</v>
      </c>
      <c r="G1244" s="24">
        <v>1085.0</v>
      </c>
      <c r="H1244" s="24">
        <v>2425.0</v>
      </c>
      <c r="I1244" s="24">
        <v>0.0</v>
      </c>
      <c r="J1244" s="24">
        <v>2.0</v>
      </c>
      <c r="K1244" s="23" t="s">
        <v>27</v>
      </c>
      <c r="L1244" s="25">
        <v>39981.71326388889</v>
      </c>
      <c r="M1244" s="26" t="s">
        <v>86</v>
      </c>
      <c r="N1244" s="26" t="s">
        <v>87</v>
      </c>
      <c r="O1244" s="22" t="str">
        <f>HYPERLINK("https://pbs.twimg.com/profile_images/267232211/me_normal.jpg","View")</f>
        <v>View</v>
      </c>
      <c r="P1244" s="27"/>
    </row>
    <row r="1245">
      <c r="A1245" s="19">
        <v>42708.54200231482</v>
      </c>
      <c r="B1245" s="20" t="str">
        <f t="shared" ref="B1245:B1251" si="130">HYPERLINK("https://twitter.com/JAGreenhill","@JAGreenhill")</f>
        <v>@JAGreenhill</v>
      </c>
      <c r="C1245" s="21" t="s">
        <v>423</v>
      </c>
      <c r="D1245" s="21" t="s">
        <v>2543</v>
      </c>
      <c r="E1245" s="22" t="str">
        <f>HYPERLINK("https://twitter.com/JAGreenhill/status/805396356294656001","805396356294656001")</f>
        <v>805396356294656001</v>
      </c>
      <c r="F1245" s="23" t="s">
        <v>69</v>
      </c>
      <c r="G1245" s="24">
        <v>57.0</v>
      </c>
      <c r="H1245" s="24">
        <v>66.0</v>
      </c>
      <c r="I1245" s="24">
        <v>0.0</v>
      </c>
      <c r="J1245" s="24">
        <v>0.0</v>
      </c>
      <c r="K1245" s="23" t="s">
        <v>27</v>
      </c>
      <c r="L1245" s="25">
        <v>39966.43601851852</v>
      </c>
      <c r="M1245" s="26" t="s">
        <v>425</v>
      </c>
      <c r="N1245" s="26" t="s">
        <v>426</v>
      </c>
      <c r="O1245" s="22" t="str">
        <f t="shared" ref="O1245:O1251" si="131">HYPERLINK("https://pbs.twimg.com/profile_images/805052311466897409/zHKEhdG9_normal.jpg","View")</f>
        <v>View</v>
      </c>
      <c r="P1245" s="27"/>
    </row>
    <row r="1246">
      <c r="A1246" s="19">
        <v>42708.542870370366</v>
      </c>
      <c r="B1246" s="20" t="str">
        <f t="shared" si="130"/>
        <v>@JAGreenhill</v>
      </c>
      <c r="C1246" s="21" t="s">
        <v>423</v>
      </c>
      <c r="D1246" s="21" t="s">
        <v>2544</v>
      </c>
      <c r="E1246" s="22" t="str">
        <f>HYPERLINK("https://twitter.com/JAGreenhill/status/805396672369086464","805396672369086464")</f>
        <v>805396672369086464</v>
      </c>
      <c r="F1246" s="23" t="s">
        <v>69</v>
      </c>
      <c r="G1246" s="24">
        <v>57.0</v>
      </c>
      <c r="H1246" s="24">
        <v>66.0</v>
      </c>
      <c r="I1246" s="24">
        <v>0.0</v>
      </c>
      <c r="J1246" s="24">
        <v>0.0</v>
      </c>
      <c r="K1246" s="23" t="s">
        <v>27</v>
      </c>
      <c r="L1246" s="25">
        <v>39966.43601851852</v>
      </c>
      <c r="M1246" s="26" t="s">
        <v>425</v>
      </c>
      <c r="N1246" s="26" t="s">
        <v>426</v>
      </c>
      <c r="O1246" s="22" t="str">
        <f t="shared" si="131"/>
        <v>View</v>
      </c>
      <c r="P1246" s="27"/>
    </row>
    <row r="1247">
      <c r="A1247" s="19">
        <v>42708.543715277774</v>
      </c>
      <c r="B1247" s="20" t="str">
        <f t="shared" si="130"/>
        <v>@JAGreenhill</v>
      </c>
      <c r="C1247" s="21" t="s">
        <v>423</v>
      </c>
      <c r="D1247" s="21" t="s">
        <v>2545</v>
      </c>
      <c r="E1247" s="22" t="str">
        <f>HYPERLINK("https://twitter.com/JAGreenhill/status/805396976292528128","805396976292528128")</f>
        <v>805396976292528128</v>
      </c>
      <c r="F1247" s="23" t="s">
        <v>69</v>
      </c>
      <c r="G1247" s="24">
        <v>57.0</v>
      </c>
      <c r="H1247" s="24">
        <v>66.0</v>
      </c>
      <c r="I1247" s="24">
        <v>0.0</v>
      </c>
      <c r="J1247" s="24">
        <v>0.0</v>
      </c>
      <c r="K1247" s="23" t="s">
        <v>27</v>
      </c>
      <c r="L1247" s="25">
        <v>39966.43601851852</v>
      </c>
      <c r="M1247" s="26" t="s">
        <v>425</v>
      </c>
      <c r="N1247" s="26" t="s">
        <v>426</v>
      </c>
      <c r="O1247" s="22" t="str">
        <f t="shared" si="131"/>
        <v>View</v>
      </c>
      <c r="P1247" s="27"/>
    </row>
    <row r="1248">
      <c r="A1248" s="19">
        <v>42708.54420138889</v>
      </c>
      <c r="B1248" s="20" t="str">
        <f t="shared" si="130"/>
        <v>@JAGreenhill</v>
      </c>
      <c r="C1248" s="21" t="s">
        <v>423</v>
      </c>
      <c r="D1248" s="21" t="s">
        <v>2546</v>
      </c>
      <c r="E1248" s="22" t="str">
        <f>HYPERLINK("https://twitter.com/JAGreenhill/status/805397151492804608","805397151492804608")</f>
        <v>805397151492804608</v>
      </c>
      <c r="F1248" s="23" t="s">
        <v>69</v>
      </c>
      <c r="G1248" s="24">
        <v>57.0</v>
      </c>
      <c r="H1248" s="24">
        <v>66.0</v>
      </c>
      <c r="I1248" s="24">
        <v>0.0</v>
      </c>
      <c r="J1248" s="24">
        <v>1.0</v>
      </c>
      <c r="K1248" s="23" t="s">
        <v>27</v>
      </c>
      <c r="L1248" s="25">
        <v>39966.43601851852</v>
      </c>
      <c r="M1248" s="26" t="s">
        <v>425</v>
      </c>
      <c r="N1248" s="26" t="s">
        <v>426</v>
      </c>
      <c r="O1248" s="22" t="str">
        <f t="shared" si="131"/>
        <v>View</v>
      </c>
      <c r="P1248" s="27"/>
    </row>
    <row r="1249">
      <c r="A1249" s="19">
        <v>42708.54482638889</v>
      </c>
      <c r="B1249" s="20" t="str">
        <f t="shared" si="130"/>
        <v>@JAGreenhill</v>
      </c>
      <c r="C1249" s="21" t="s">
        <v>423</v>
      </c>
      <c r="D1249" s="21" t="s">
        <v>2547</v>
      </c>
      <c r="E1249" s="22" t="str">
        <f>HYPERLINK("https://twitter.com/JAGreenhill/status/805397379667165184","805397379667165184")</f>
        <v>805397379667165184</v>
      </c>
      <c r="F1249" s="23" t="s">
        <v>69</v>
      </c>
      <c r="G1249" s="24">
        <v>57.0</v>
      </c>
      <c r="H1249" s="24">
        <v>66.0</v>
      </c>
      <c r="I1249" s="24">
        <v>0.0</v>
      </c>
      <c r="J1249" s="24">
        <v>0.0</v>
      </c>
      <c r="K1249" s="23" t="s">
        <v>27</v>
      </c>
      <c r="L1249" s="25">
        <v>39966.43601851852</v>
      </c>
      <c r="M1249" s="26" t="s">
        <v>425</v>
      </c>
      <c r="N1249" s="26" t="s">
        <v>426</v>
      </c>
      <c r="O1249" s="22" t="str">
        <f t="shared" si="131"/>
        <v>View</v>
      </c>
      <c r="P1249" s="27"/>
    </row>
    <row r="1250">
      <c r="A1250" s="19">
        <v>42708.54587962963</v>
      </c>
      <c r="B1250" s="20" t="str">
        <f t="shared" si="130"/>
        <v>@JAGreenhill</v>
      </c>
      <c r="C1250" s="21" t="s">
        <v>423</v>
      </c>
      <c r="D1250" s="21" t="s">
        <v>2548</v>
      </c>
      <c r="E1250" s="22" t="str">
        <f>HYPERLINK("https://twitter.com/JAGreenhill/status/805397761994739712","805397761994739712")</f>
        <v>805397761994739712</v>
      </c>
      <c r="F1250" s="23" t="s">
        <v>69</v>
      </c>
      <c r="G1250" s="24">
        <v>57.0</v>
      </c>
      <c r="H1250" s="24">
        <v>66.0</v>
      </c>
      <c r="I1250" s="24">
        <v>0.0</v>
      </c>
      <c r="J1250" s="24">
        <v>0.0</v>
      </c>
      <c r="K1250" s="23" t="s">
        <v>27</v>
      </c>
      <c r="L1250" s="25">
        <v>39966.43601851852</v>
      </c>
      <c r="M1250" s="26" t="s">
        <v>425</v>
      </c>
      <c r="N1250" s="26" t="s">
        <v>426</v>
      </c>
      <c r="O1250" s="22" t="str">
        <f t="shared" si="131"/>
        <v>View</v>
      </c>
      <c r="P1250" s="27"/>
    </row>
    <row r="1251">
      <c r="A1251" s="19">
        <v>42708.54675925926</v>
      </c>
      <c r="B1251" s="20" t="str">
        <f t="shared" si="130"/>
        <v>@JAGreenhill</v>
      </c>
      <c r="C1251" s="21" t="s">
        <v>423</v>
      </c>
      <c r="D1251" s="21" t="s">
        <v>2549</v>
      </c>
      <c r="E1251" s="22" t="str">
        <f>HYPERLINK("https://twitter.com/JAGreenhill/status/805398081508405248","805398081508405248")</f>
        <v>805398081508405248</v>
      </c>
      <c r="F1251" s="23" t="s">
        <v>69</v>
      </c>
      <c r="G1251" s="24">
        <v>57.0</v>
      </c>
      <c r="H1251" s="24">
        <v>66.0</v>
      </c>
      <c r="I1251" s="24">
        <v>0.0</v>
      </c>
      <c r="J1251" s="24">
        <v>0.0</v>
      </c>
      <c r="K1251" s="23" t="s">
        <v>27</v>
      </c>
      <c r="L1251" s="25">
        <v>39966.43601851852</v>
      </c>
      <c r="M1251" s="26" t="s">
        <v>425</v>
      </c>
      <c r="N1251" s="26" t="s">
        <v>426</v>
      </c>
      <c r="O1251" s="22" t="str">
        <f t="shared" si="131"/>
        <v>View</v>
      </c>
      <c r="P1251" s="27"/>
    </row>
    <row r="1252">
      <c r="A1252" s="19">
        <v>42708.547314814816</v>
      </c>
      <c r="B1252" s="20" t="str">
        <f>HYPERLINK("https://twitter.com/LesRandosdeCaco","@LesRandosdeCaco")</f>
        <v>@LesRandosdeCaco</v>
      </c>
      <c r="C1252" s="21" t="s">
        <v>186</v>
      </c>
      <c r="D1252" s="21" t="s">
        <v>2550</v>
      </c>
      <c r="E1252" s="22" t="str">
        <f>HYPERLINK("https://twitter.com/LesRandosdeCaco/status/805398281790570496","805398281790570496")</f>
        <v>805398281790570496</v>
      </c>
      <c r="F1252" s="23" t="s">
        <v>41</v>
      </c>
      <c r="G1252" s="24">
        <v>7.0</v>
      </c>
      <c r="H1252" s="24">
        <v>57.0</v>
      </c>
      <c r="I1252" s="24">
        <v>0.0</v>
      </c>
      <c r="J1252" s="24">
        <v>0.0</v>
      </c>
      <c r="K1252" s="23" t="s">
        <v>27</v>
      </c>
      <c r="L1252" s="25">
        <v>41643.68407407407</v>
      </c>
      <c r="M1252" s="26" t="s">
        <v>188</v>
      </c>
      <c r="N1252" s="26" t="s">
        <v>189</v>
      </c>
      <c r="O1252" s="22" t="str">
        <f>HYPERLINK("https://pbs.twimg.com/profile_images/802073872866705408/wMHnHYch_normal.jpg","View")</f>
        <v>View</v>
      </c>
      <c r="P1252" s="27"/>
    </row>
    <row r="1253">
      <c r="A1253" s="19">
        <v>42708.54755787037</v>
      </c>
      <c r="B1253" s="20" t="str">
        <f>HYPERLINK("https://twitter.com/JAGreenhill","@JAGreenhill")</f>
        <v>@JAGreenhill</v>
      </c>
      <c r="C1253" s="21" t="s">
        <v>423</v>
      </c>
      <c r="D1253" s="21" t="s">
        <v>2551</v>
      </c>
      <c r="E1253" s="22" t="str">
        <f>HYPERLINK("https://twitter.com/JAGreenhill/status/805398370118471680","805398370118471680")</f>
        <v>805398370118471680</v>
      </c>
      <c r="F1253" s="23" t="s">
        <v>69</v>
      </c>
      <c r="G1253" s="24">
        <v>57.0</v>
      </c>
      <c r="H1253" s="24">
        <v>66.0</v>
      </c>
      <c r="I1253" s="24">
        <v>0.0</v>
      </c>
      <c r="J1253" s="24">
        <v>0.0</v>
      </c>
      <c r="K1253" s="23" t="s">
        <v>27</v>
      </c>
      <c r="L1253" s="25">
        <v>39966.43601851852</v>
      </c>
      <c r="M1253" s="26" t="s">
        <v>425</v>
      </c>
      <c r="N1253" s="26" t="s">
        <v>426</v>
      </c>
      <c r="O1253" s="22" t="str">
        <f>HYPERLINK("https://pbs.twimg.com/profile_images/805052311466897409/zHKEhdG9_normal.jpg","View")</f>
        <v>View</v>
      </c>
      <c r="P1253" s="27"/>
    </row>
    <row r="1254">
      <c r="A1254" s="19">
        <v>42708.547939814816</v>
      </c>
      <c r="B1254" s="20" t="str">
        <f>HYPERLINK("https://twitter.com/lasalsadelavida","@lasalsadelavida")</f>
        <v>@lasalsadelavida</v>
      </c>
      <c r="C1254" s="21" t="s">
        <v>2552</v>
      </c>
      <c r="D1254" s="21" t="s">
        <v>2553</v>
      </c>
      <c r="E1254" s="22" t="str">
        <f>HYPERLINK("https://twitter.com/lasalsadelavida/status/805398508576604160","805398508576604160")</f>
        <v>805398508576604160</v>
      </c>
      <c r="F1254" s="23" t="s">
        <v>81</v>
      </c>
      <c r="G1254" s="24">
        <v>112.0</v>
      </c>
      <c r="H1254" s="24">
        <v>213.0</v>
      </c>
      <c r="I1254" s="24">
        <v>0.0</v>
      </c>
      <c r="J1254" s="24">
        <v>0.0</v>
      </c>
      <c r="K1254" s="23" t="s">
        <v>27</v>
      </c>
      <c r="L1254" s="25">
        <v>42053.44846064815</v>
      </c>
      <c r="M1254" s="28"/>
      <c r="N1254" s="26" t="s">
        <v>2554</v>
      </c>
      <c r="O1254" s="22" t="str">
        <f>HYPERLINK("https://pbs.twimg.com/profile_images/613314808054685696/ALe2jb0q_normal.jpg","View")</f>
        <v>View</v>
      </c>
      <c r="P1254" s="27"/>
    </row>
    <row r="1255">
      <c r="A1255" s="19">
        <v>42708.54825231481</v>
      </c>
      <c r="B1255" s="20" t="str">
        <f t="shared" ref="B1255:B1258" si="132">HYPERLINK("https://twitter.com/JAGreenhill","@JAGreenhill")</f>
        <v>@JAGreenhill</v>
      </c>
      <c r="C1255" s="21" t="s">
        <v>423</v>
      </c>
      <c r="D1255" s="21" t="s">
        <v>2555</v>
      </c>
      <c r="E1255" s="22" t="str">
        <f>HYPERLINK("https://twitter.com/JAGreenhill/status/805398620157648896","805398620157648896")</f>
        <v>805398620157648896</v>
      </c>
      <c r="F1255" s="23" t="s">
        <v>69</v>
      </c>
      <c r="G1255" s="24">
        <v>57.0</v>
      </c>
      <c r="H1255" s="24">
        <v>66.0</v>
      </c>
      <c r="I1255" s="24">
        <v>0.0</v>
      </c>
      <c r="J1255" s="24">
        <v>0.0</v>
      </c>
      <c r="K1255" s="23" t="s">
        <v>27</v>
      </c>
      <c r="L1255" s="25">
        <v>39966.43601851852</v>
      </c>
      <c r="M1255" s="26" t="s">
        <v>425</v>
      </c>
      <c r="N1255" s="26" t="s">
        <v>426</v>
      </c>
      <c r="O1255" s="22" t="str">
        <f t="shared" ref="O1255:O1258" si="133">HYPERLINK("https://pbs.twimg.com/profile_images/805052311466897409/zHKEhdG9_normal.jpg","View")</f>
        <v>View</v>
      </c>
      <c r="P1255" s="27"/>
    </row>
    <row r="1256">
      <c r="A1256" s="19">
        <v>42708.548796296294</v>
      </c>
      <c r="B1256" s="20" t="str">
        <f t="shared" si="132"/>
        <v>@JAGreenhill</v>
      </c>
      <c r="C1256" s="21" t="s">
        <v>423</v>
      </c>
      <c r="D1256" s="21" t="s">
        <v>2556</v>
      </c>
      <c r="E1256" s="22" t="str">
        <f>HYPERLINK("https://twitter.com/JAGreenhill/status/805398817013174273","805398817013174273")</f>
        <v>805398817013174273</v>
      </c>
      <c r="F1256" s="23" t="s">
        <v>69</v>
      </c>
      <c r="G1256" s="24">
        <v>57.0</v>
      </c>
      <c r="H1256" s="24">
        <v>66.0</v>
      </c>
      <c r="I1256" s="24">
        <v>0.0</v>
      </c>
      <c r="J1256" s="24">
        <v>0.0</v>
      </c>
      <c r="K1256" s="23" t="s">
        <v>27</v>
      </c>
      <c r="L1256" s="25">
        <v>39966.43601851852</v>
      </c>
      <c r="M1256" s="26" t="s">
        <v>425</v>
      </c>
      <c r="N1256" s="26" t="s">
        <v>426</v>
      </c>
      <c r="O1256" s="22" t="str">
        <f t="shared" si="133"/>
        <v>View</v>
      </c>
      <c r="P1256" s="27"/>
    </row>
    <row r="1257">
      <c r="A1257" s="19">
        <v>42708.550046296295</v>
      </c>
      <c r="B1257" s="20" t="str">
        <f t="shared" si="132"/>
        <v>@JAGreenhill</v>
      </c>
      <c r="C1257" s="21" t="s">
        <v>423</v>
      </c>
      <c r="D1257" s="21" t="s">
        <v>2557</v>
      </c>
      <c r="E1257" s="22" t="str">
        <f>HYPERLINK("https://twitter.com/JAGreenhill/status/805399270706872320","805399270706872320")</f>
        <v>805399270706872320</v>
      </c>
      <c r="F1257" s="23" t="s">
        <v>69</v>
      </c>
      <c r="G1257" s="24">
        <v>57.0</v>
      </c>
      <c r="H1257" s="24">
        <v>66.0</v>
      </c>
      <c r="I1257" s="24">
        <v>1.0</v>
      </c>
      <c r="J1257" s="24">
        <v>0.0</v>
      </c>
      <c r="K1257" s="23" t="s">
        <v>27</v>
      </c>
      <c r="L1257" s="25">
        <v>39966.43601851852</v>
      </c>
      <c r="M1257" s="26" t="s">
        <v>425</v>
      </c>
      <c r="N1257" s="26" t="s">
        <v>426</v>
      </c>
      <c r="O1257" s="22" t="str">
        <f t="shared" si="133"/>
        <v>View</v>
      </c>
      <c r="P1257" s="27"/>
    </row>
    <row r="1258">
      <c r="A1258" s="19">
        <v>42708.55145833333</v>
      </c>
      <c r="B1258" s="20" t="str">
        <f t="shared" si="132"/>
        <v>@JAGreenhill</v>
      </c>
      <c r="C1258" s="21" t="s">
        <v>423</v>
      </c>
      <c r="D1258" s="21" t="s">
        <v>2558</v>
      </c>
      <c r="E1258" s="22" t="str">
        <f>HYPERLINK("https://twitter.com/JAGreenhill/status/805399782411931648","805399782411931648")</f>
        <v>805399782411931648</v>
      </c>
      <c r="F1258" s="23" t="s">
        <v>69</v>
      </c>
      <c r="G1258" s="24">
        <v>57.0</v>
      </c>
      <c r="H1258" s="24">
        <v>66.0</v>
      </c>
      <c r="I1258" s="24">
        <v>0.0</v>
      </c>
      <c r="J1258" s="24">
        <v>0.0</v>
      </c>
      <c r="K1258" s="23" t="s">
        <v>27</v>
      </c>
      <c r="L1258" s="25">
        <v>39966.43601851852</v>
      </c>
      <c r="M1258" s="26" t="s">
        <v>425</v>
      </c>
      <c r="N1258" s="26" t="s">
        <v>426</v>
      </c>
      <c r="O1258" s="22" t="str">
        <f t="shared" si="133"/>
        <v>View</v>
      </c>
      <c r="P1258" s="27"/>
    </row>
    <row r="1259">
      <c r="A1259" s="19">
        <v>42708.55329861111</v>
      </c>
      <c r="B1259" s="20" t="str">
        <f>HYPERLINK("https://twitter.com/quantom_nom","@quantom_nom")</f>
        <v>@quantom_nom</v>
      </c>
      <c r="C1259" s="21" t="s">
        <v>1584</v>
      </c>
      <c r="D1259" s="21" t="s">
        <v>2559</v>
      </c>
      <c r="E1259" s="22" t="str">
        <f>HYPERLINK("https://twitter.com/quantom_nom/status/805400450526748672","805400450526748672")</f>
        <v>805400450526748672</v>
      </c>
      <c r="F1259" s="23" t="s">
        <v>1586</v>
      </c>
      <c r="G1259" s="24">
        <v>3027.0</v>
      </c>
      <c r="H1259" s="24">
        <v>3.0</v>
      </c>
      <c r="I1259" s="24">
        <v>1.0</v>
      </c>
      <c r="J1259" s="24">
        <v>0.0</v>
      </c>
      <c r="K1259" s="23" t="s">
        <v>27</v>
      </c>
      <c r="L1259" s="25">
        <v>42607.55023148148</v>
      </c>
      <c r="M1259" s="28"/>
      <c r="N1259" s="26" t="s">
        <v>1587</v>
      </c>
      <c r="O1259" s="22" t="str">
        <f>HYPERLINK("https://pbs.twimg.com/profile_images/768787615223058432/MD_3s3Z2_normal.jpg","View")</f>
        <v>View</v>
      </c>
      <c r="P1259" s="27"/>
    </row>
    <row r="1260">
      <c r="A1260" s="19">
        <v>42708.55383101852</v>
      </c>
      <c r="B1260" s="20" t="str">
        <f t="shared" ref="B1260:B1275" si="134">HYPERLINK("https://twitter.com/JAGreenhill","@JAGreenhill")</f>
        <v>@JAGreenhill</v>
      </c>
      <c r="C1260" s="21" t="s">
        <v>423</v>
      </c>
      <c r="D1260" s="21" t="s">
        <v>2560</v>
      </c>
      <c r="E1260" s="22" t="str">
        <f>HYPERLINK("https://twitter.com/JAGreenhill/status/805400641711509505","805400641711509505")</f>
        <v>805400641711509505</v>
      </c>
      <c r="F1260" s="23" t="s">
        <v>69</v>
      </c>
      <c r="G1260" s="24">
        <v>57.0</v>
      </c>
      <c r="H1260" s="24">
        <v>66.0</v>
      </c>
      <c r="I1260" s="24">
        <v>0.0</v>
      </c>
      <c r="J1260" s="24">
        <v>0.0</v>
      </c>
      <c r="K1260" s="23" t="s">
        <v>27</v>
      </c>
      <c r="L1260" s="25">
        <v>39966.43601851852</v>
      </c>
      <c r="M1260" s="26" t="s">
        <v>425</v>
      </c>
      <c r="N1260" s="26" t="s">
        <v>426</v>
      </c>
      <c r="O1260" s="22" t="str">
        <f t="shared" ref="O1260:O1275" si="135">HYPERLINK("https://pbs.twimg.com/profile_images/805052311466897409/zHKEhdG9_normal.jpg","View")</f>
        <v>View</v>
      </c>
      <c r="P1260" s="27"/>
    </row>
    <row r="1261">
      <c r="A1261" s="19">
        <v>42708.55438657408</v>
      </c>
      <c r="B1261" s="20" t="str">
        <f t="shared" si="134"/>
        <v>@JAGreenhill</v>
      </c>
      <c r="C1261" s="21" t="s">
        <v>423</v>
      </c>
      <c r="D1261" s="21" t="s">
        <v>2561</v>
      </c>
      <c r="E1261" s="22" t="str">
        <f>HYPERLINK("https://twitter.com/JAGreenhill/status/805400845605072896","805400845605072896")</f>
        <v>805400845605072896</v>
      </c>
      <c r="F1261" s="23" t="s">
        <v>69</v>
      </c>
      <c r="G1261" s="24">
        <v>57.0</v>
      </c>
      <c r="H1261" s="24">
        <v>66.0</v>
      </c>
      <c r="I1261" s="24">
        <v>0.0</v>
      </c>
      <c r="J1261" s="24">
        <v>0.0</v>
      </c>
      <c r="K1261" s="23" t="s">
        <v>27</v>
      </c>
      <c r="L1261" s="25">
        <v>39966.43601851852</v>
      </c>
      <c r="M1261" s="26" t="s">
        <v>425</v>
      </c>
      <c r="N1261" s="26" t="s">
        <v>426</v>
      </c>
      <c r="O1261" s="22" t="str">
        <f t="shared" si="135"/>
        <v>View</v>
      </c>
      <c r="P1261" s="27"/>
    </row>
    <row r="1262">
      <c r="A1262" s="19">
        <v>42708.55541666667</v>
      </c>
      <c r="B1262" s="20" t="str">
        <f t="shared" si="134"/>
        <v>@JAGreenhill</v>
      </c>
      <c r="C1262" s="21" t="s">
        <v>423</v>
      </c>
      <c r="D1262" s="21" t="s">
        <v>2562</v>
      </c>
      <c r="E1262" s="22" t="str">
        <f>HYPERLINK("https://twitter.com/JAGreenhill/status/805401217086136320","805401217086136320")</f>
        <v>805401217086136320</v>
      </c>
      <c r="F1262" s="23" t="s">
        <v>69</v>
      </c>
      <c r="G1262" s="24">
        <v>57.0</v>
      </c>
      <c r="H1262" s="24">
        <v>66.0</v>
      </c>
      <c r="I1262" s="24">
        <v>0.0</v>
      </c>
      <c r="J1262" s="24">
        <v>0.0</v>
      </c>
      <c r="K1262" s="23" t="s">
        <v>27</v>
      </c>
      <c r="L1262" s="25">
        <v>39966.43601851852</v>
      </c>
      <c r="M1262" s="26" t="s">
        <v>425</v>
      </c>
      <c r="N1262" s="26" t="s">
        <v>426</v>
      </c>
      <c r="O1262" s="22" t="str">
        <f t="shared" si="135"/>
        <v>View</v>
      </c>
      <c r="P1262" s="27"/>
    </row>
    <row r="1263">
      <c r="A1263" s="19">
        <v>42708.55611111112</v>
      </c>
      <c r="B1263" s="20" t="str">
        <f t="shared" si="134"/>
        <v>@JAGreenhill</v>
      </c>
      <c r="C1263" s="21" t="s">
        <v>423</v>
      </c>
      <c r="D1263" s="21" t="s">
        <v>2563</v>
      </c>
      <c r="E1263" s="22" t="str">
        <f>HYPERLINK("https://twitter.com/JAGreenhill/status/805401467679109120","805401467679109120")</f>
        <v>805401467679109120</v>
      </c>
      <c r="F1263" s="23" t="s">
        <v>69</v>
      </c>
      <c r="G1263" s="24">
        <v>57.0</v>
      </c>
      <c r="H1263" s="24">
        <v>66.0</v>
      </c>
      <c r="I1263" s="24">
        <v>0.0</v>
      </c>
      <c r="J1263" s="24">
        <v>0.0</v>
      </c>
      <c r="K1263" s="23" t="s">
        <v>27</v>
      </c>
      <c r="L1263" s="25">
        <v>39966.43601851852</v>
      </c>
      <c r="M1263" s="26" t="s">
        <v>425</v>
      </c>
      <c r="N1263" s="26" t="s">
        <v>426</v>
      </c>
      <c r="O1263" s="22" t="str">
        <f t="shared" si="135"/>
        <v>View</v>
      </c>
      <c r="P1263" s="27"/>
    </row>
    <row r="1264">
      <c r="A1264" s="19">
        <v>42708.55681712963</v>
      </c>
      <c r="B1264" s="20" t="str">
        <f t="shared" si="134"/>
        <v>@JAGreenhill</v>
      </c>
      <c r="C1264" s="21" t="s">
        <v>423</v>
      </c>
      <c r="D1264" s="21" t="s">
        <v>2564</v>
      </c>
      <c r="E1264" s="22" t="str">
        <f>HYPERLINK("https://twitter.com/JAGreenhill/status/805401724743811074","805401724743811074")</f>
        <v>805401724743811074</v>
      </c>
      <c r="F1264" s="23" t="s">
        <v>69</v>
      </c>
      <c r="G1264" s="24">
        <v>57.0</v>
      </c>
      <c r="H1264" s="24">
        <v>66.0</v>
      </c>
      <c r="I1264" s="24">
        <v>0.0</v>
      </c>
      <c r="J1264" s="24">
        <v>0.0</v>
      </c>
      <c r="K1264" s="23" t="s">
        <v>27</v>
      </c>
      <c r="L1264" s="25">
        <v>39966.43601851852</v>
      </c>
      <c r="M1264" s="26" t="s">
        <v>425</v>
      </c>
      <c r="N1264" s="26" t="s">
        <v>426</v>
      </c>
      <c r="O1264" s="22" t="str">
        <f t="shared" si="135"/>
        <v>View</v>
      </c>
      <c r="P1264" s="27"/>
    </row>
    <row r="1265">
      <c r="A1265" s="19">
        <v>42708.557118055556</v>
      </c>
      <c r="B1265" s="20" t="str">
        <f t="shared" si="134"/>
        <v>@JAGreenhill</v>
      </c>
      <c r="C1265" s="21" t="s">
        <v>423</v>
      </c>
      <c r="D1265" s="21" t="s">
        <v>2565</v>
      </c>
      <c r="E1265" s="22" t="str">
        <f>HYPERLINK("https://twitter.com/JAGreenhill/status/805401833695019008","805401833695019008")</f>
        <v>805401833695019008</v>
      </c>
      <c r="F1265" s="23" t="s">
        <v>69</v>
      </c>
      <c r="G1265" s="24">
        <v>57.0</v>
      </c>
      <c r="H1265" s="24">
        <v>66.0</v>
      </c>
      <c r="I1265" s="24">
        <v>0.0</v>
      </c>
      <c r="J1265" s="24">
        <v>0.0</v>
      </c>
      <c r="K1265" s="23" t="s">
        <v>27</v>
      </c>
      <c r="L1265" s="25">
        <v>39966.43601851852</v>
      </c>
      <c r="M1265" s="26" t="s">
        <v>425</v>
      </c>
      <c r="N1265" s="26" t="s">
        <v>426</v>
      </c>
      <c r="O1265" s="22" t="str">
        <f t="shared" si="135"/>
        <v>View</v>
      </c>
      <c r="P1265" s="27"/>
    </row>
    <row r="1266">
      <c r="A1266" s="19">
        <v>42708.55791666667</v>
      </c>
      <c r="B1266" s="20" t="str">
        <f t="shared" si="134"/>
        <v>@JAGreenhill</v>
      </c>
      <c r="C1266" s="21" t="s">
        <v>423</v>
      </c>
      <c r="D1266" s="21" t="s">
        <v>2566</v>
      </c>
      <c r="E1266" s="22" t="str">
        <f>HYPERLINK("https://twitter.com/JAGreenhill/status/805402122737057792","805402122737057792")</f>
        <v>805402122737057792</v>
      </c>
      <c r="F1266" s="23" t="s">
        <v>69</v>
      </c>
      <c r="G1266" s="24">
        <v>57.0</v>
      </c>
      <c r="H1266" s="24">
        <v>66.0</v>
      </c>
      <c r="I1266" s="24">
        <v>0.0</v>
      </c>
      <c r="J1266" s="24">
        <v>0.0</v>
      </c>
      <c r="K1266" s="23" t="s">
        <v>27</v>
      </c>
      <c r="L1266" s="25">
        <v>39966.43601851852</v>
      </c>
      <c r="M1266" s="26" t="s">
        <v>425</v>
      </c>
      <c r="N1266" s="26" t="s">
        <v>426</v>
      </c>
      <c r="O1266" s="22" t="str">
        <f t="shared" si="135"/>
        <v>View</v>
      </c>
      <c r="P1266" s="27"/>
    </row>
    <row r="1267">
      <c r="A1267" s="19">
        <v>42708.55850694445</v>
      </c>
      <c r="B1267" s="20" t="str">
        <f t="shared" si="134"/>
        <v>@JAGreenhill</v>
      </c>
      <c r="C1267" s="21" t="s">
        <v>423</v>
      </c>
      <c r="D1267" s="21" t="s">
        <v>2567</v>
      </c>
      <c r="E1267" s="22" t="str">
        <f>HYPERLINK("https://twitter.com/JAGreenhill/status/805402337305120768","805402337305120768")</f>
        <v>805402337305120768</v>
      </c>
      <c r="F1267" s="23" t="s">
        <v>69</v>
      </c>
      <c r="G1267" s="24">
        <v>57.0</v>
      </c>
      <c r="H1267" s="24">
        <v>66.0</v>
      </c>
      <c r="I1267" s="24">
        <v>0.0</v>
      </c>
      <c r="J1267" s="24">
        <v>0.0</v>
      </c>
      <c r="K1267" s="23" t="s">
        <v>27</v>
      </c>
      <c r="L1267" s="25">
        <v>39966.43601851852</v>
      </c>
      <c r="M1267" s="26" t="s">
        <v>425</v>
      </c>
      <c r="N1267" s="26" t="s">
        <v>426</v>
      </c>
      <c r="O1267" s="22" t="str">
        <f t="shared" si="135"/>
        <v>View</v>
      </c>
      <c r="P1267" s="27"/>
    </row>
    <row r="1268">
      <c r="A1268" s="19">
        <v>42708.55917824074</v>
      </c>
      <c r="B1268" s="20" t="str">
        <f t="shared" si="134"/>
        <v>@JAGreenhill</v>
      </c>
      <c r="C1268" s="21" t="s">
        <v>423</v>
      </c>
      <c r="D1268" s="21" t="s">
        <v>2568</v>
      </c>
      <c r="E1268" s="22" t="str">
        <f>HYPERLINK("https://twitter.com/JAGreenhill/status/805402579459043328","805402579459043328")</f>
        <v>805402579459043328</v>
      </c>
      <c r="F1268" s="23" t="s">
        <v>69</v>
      </c>
      <c r="G1268" s="24">
        <v>57.0</v>
      </c>
      <c r="H1268" s="24">
        <v>66.0</v>
      </c>
      <c r="I1268" s="24">
        <v>0.0</v>
      </c>
      <c r="J1268" s="24">
        <v>0.0</v>
      </c>
      <c r="K1268" s="23" t="s">
        <v>27</v>
      </c>
      <c r="L1268" s="25">
        <v>39966.43601851852</v>
      </c>
      <c r="M1268" s="26" t="s">
        <v>425</v>
      </c>
      <c r="N1268" s="26" t="s">
        <v>426</v>
      </c>
      <c r="O1268" s="22" t="str">
        <f t="shared" si="135"/>
        <v>View</v>
      </c>
      <c r="P1268" s="27"/>
    </row>
    <row r="1269">
      <c r="A1269" s="19">
        <v>42708.55979166667</v>
      </c>
      <c r="B1269" s="20" t="str">
        <f t="shared" si="134"/>
        <v>@JAGreenhill</v>
      </c>
      <c r="C1269" s="21" t="s">
        <v>423</v>
      </c>
      <c r="D1269" s="21" t="s">
        <v>2569</v>
      </c>
      <c r="E1269" s="22" t="str">
        <f>HYPERLINK("https://twitter.com/JAGreenhill/status/805402804642873344","805402804642873344")</f>
        <v>805402804642873344</v>
      </c>
      <c r="F1269" s="23" t="s">
        <v>69</v>
      </c>
      <c r="G1269" s="24">
        <v>57.0</v>
      </c>
      <c r="H1269" s="24">
        <v>66.0</v>
      </c>
      <c r="I1269" s="24">
        <v>0.0</v>
      </c>
      <c r="J1269" s="24">
        <v>0.0</v>
      </c>
      <c r="K1269" s="23" t="s">
        <v>27</v>
      </c>
      <c r="L1269" s="25">
        <v>39966.43601851852</v>
      </c>
      <c r="M1269" s="26" t="s">
        <v>425</v>
      </c>
      <c r="N1269" s="26" t="s">
        <v>426</v>
      </c>
      <c r="O1269" s="22" t="str">
        <f t="shared" si="135"/>
        <v>View</v>
      </c>
      <c r="P1269" s="27"/>
    </row>
    <row r="1270">
      <c r="A1270" s="19">
        <v>42708.560636574075</v>
      </c>
      <c r="B1270" s="20" t="str">
        <f t="shared" si="134"/>
        <v>@JAGreenhill</v>
      </c>
      <c r="C1270" s="21" t="s">
        <v>423</v>
      </c>
      <c r="D1270" s="21" t="s">
        <v>2570</v>
      </c>
      <c r="E1270" s="22" t="str">
        <f>HYPERLINK("https://twitter.com/JAGreenhill/status/805403107517730816","805403107517730816")</f>
        <v>805403107517730816</v>
      </c>
      <c r="F1270" s="23" t="s">
        <v>69</v>
      </c>
      <c r="G1270" s="24">
        <v>57.0</v>
      </c>
      <c r="H1270" s="24">
        <v>66.0</v>
      </c>
      <c r="I1270" s="24">
        <v>0.0</v>
      </c>
      <c r="J1270" s="24">
        <v>0.0</v>
      </c>
      <c r="K1270" s="23" t="s">
        <v>27</v>
      </c>
      <c r="L1270" s="25">
        <v>39966.43601851852</v>
      </c>
      <c r="M1270" s="26" t="s">
        <v>425</v>
      </c>
      <c r="N1270" s="26" t="s">
        <v>426</v>
      </c>
      <c r="O1270" s="22" t="str">
        <f t="shared" si="135"/>
        <v>View</v>
      </c>
      <c r="P1270" s="27"/>
    </row>
    <row r="1271">
      <c r="A1271" s="19">
        <v>42708.56118055555</v>
      </c>
      <c r="B1271" s="20" t="str">
        <f t="shared" si="134"/>
        <v>@JAGreenhill</v>
      </c>
      <c r="C1271" s="21" t="s">
        <v>423</v>
      </c>
      <c r="D1271" s="21" t="s">
        <v>2571</v>
      </c>
      <c r="E1271" s="22" t="str">
        <f>HYPERLINK("https://twitter.com/JAGreenhill/status/805403304947810304","805403304947810304")</f>
        <v>805403304947810304</v>
      </c>
      <c r="F1271" s="23" t="s">
        <v>69</v>
      </c>
      <c r="G1271" s="24">
        <v>57.0</v>
      </c>
      <c r="H1271" s="24">
        <v>66.0</v>
      </c>
      <c r="I1271" s="24">
        <v>0.0</v>
      </c>
      <c r="J1271" s="24">
        <v>0.0</v>
      </c>
      <c r="K1271" s="23" t="s">
        <v>27</v>
      </c>
      <c r="L1271" s="25">
        <v>39966.43601851852</v>
      </c>
      <c r="M1271" s="26" t="s">
        <v>425</v>
      </c>
      <c r="N1271" s="26" t="s">
        <v>426</v>
      </c>
      <c r="O1271" s="22" t="str">
        <f t="shared" si="135"/>
        <v>View</v>
      </c>
      <c r="P1271" s="27"/>
    </row>
    <row r="1272">
      <c r="A1272" s="19">
        <v>42708.5621412037</v>
      </c>
      <c r="B1272" s="20" t="str">
        <f t="shared" si="134"/>
        <v>@JAGreenhill</v>
      </c>
      <c r="C1272" s="21" t="s">
        <v>423</v>
      </c>
      <c r="D1272" s="21" t="s">
        <v>2572</v>
      </c>
      <c r="E1272" s="22" t="str">
        <f>HYPERLINK("https://twitter.com/JAGreenhill/status/805403655214141441","805403655214141441")</f>
        <v>805403655214141441</v>
      </c>
      <c r="F1272" s="23" t="s">
        <v>69</v>
      </c>
      <c r="G1272" s="24">
        <v>57.0</v>
      </c>
      <c r="H1272" s="24">
        <v>66.0</v>
      </c>
      <c r="I1272" s="24">
        <v>0.0</v>
      </c>
      <c r="J1272" s="24">
        <v>0.0</v>
      </c>
      <c r="K1272" s="23" t="s">
        <v>27</v>
      </c>
      <c r="L1272" s="25">
        <v>39966.43601851852</v>
      </c>
      <c r="M1272" s="26" t="s">
        <v>425</v>
      </c>
      <c r="N1272" s="26" t="s">
        <v>426</v>
      </c>
      <c r="O1272" s="22" t="str">
        <f t="shared" si="135"/>
        <v>View</v>
      </c>
      <c r="P1272" s="27"/>
    </row>
    <row r="1273">
      <c r="A1273" s="19">
        <v>42708.56273148148</v>
      </c>
      <c r="B1273" s="20" t="str">
        <f t="shared" si="134"/>
        <v>@JAGreenhill</v>
      </c>
      <c r="C1273" s="21" t="s">
        <v>423</v>
      </c>
      <c r="D1273" s="21" t="s">
        <v>2573</v>
      </c>
      <c r="E1273" s="22" t="str">
        <f>HYPERLINK("https://twitter.com/JAGreenhill/status/805403868544856065","805403868544856065")</f>
        <v>805403868544856065</v>
      </c>
      <c r="F1273" s="23" t="s">
        <v>69</v>
      </c>
      <c r="G1273" s="24">
        <v>57.0</v>
      </c>
      <c r="H1273" s="24">
        <v>66.0</v>
      </c>
      <c r="I1273" s="24">
        <v>1.0</v>
      </c>
      <c r="J1273" s="24">
        <v>0.0</v>
      </c>
      <c r="K1273" s="23" t="s">
        <v>27</v>
      </c>
      <c r="L1273" s="25">
        <v>39966.43601851852</v>
      </c>
      <c r="M1273" s="26" t="s">
        <v>425</v>
      </c>
      <c r="N1273" s="26" t="s">
        <v>426</v>
      </c>
      <c r="O1273" s="22" t="str">
        <f t="shared" si="135"/>
        <v>View</v>
      </c>
      <c r="P1273" s="27"/>
    </row>
    <row r="1274">
      <c r="A1274" s="19">
        <v>42708.563692129625</v>
      </c>
      <c r="B1274" s="20" t="str">
        <f t="shared" si="134"/>
        <v>@JAGreenhill</v>
      </c>
      <c r="C1274" s="21" t="s">
        <v>423</v>
      </c>
      <c r="D1274" s="21" t="s">
        <v>2574</v>
      </c>
      <c r="E1274" s="22" t="str">
        <f>HYPERLINK("https://twitter.com/JAGreenhill/status/805404215376015361","805404215376015361")</f>
        <v>805404215376015361</v>
      </c>
      <c r="F1274" s="23" t="s">
        <v>69</v>
      </c>
      <c r="G1274" s="24">
        <v>57.0</v>
      </c>
      <c r="H1274" s="24">
        <v>66.0</v>
      </c>
      <c r="I1274" s="24">
        <v>0.0</v>
      </c>
      <c r="J1274" s="24">
        <v>0.0</v>
      </c>
      <c r="K1274" s="23" t="s">
        <v>27</v>
      </c>
      <c r="L1274" s="25">
        <v>39966.43601851852</v>
      </c>
      <c r="M1274" s="26" t="s">
        <v>425</v>
      </c>
      <c r="N1274" s="26" t="s">
        <v>426</v>
      </c>
      <c r="O1274" s="22" t="str">
        <f t="shared" si="135"/>
        <v>View</v>
      </c>
      <c r="P1274" s="27"/>
    </row>
    <row r="1275">
      <c r="A1275" s="19">
        <v>42708.564305555556</v>
      </c>
      <c r="B1275" s="20" t="str">
        <f t="shared" si="134"/>
        <v>@JAGreenhill</v>
      </c>
      <c r="C1275" s="21" t="s">
        <v>423</v>
      </c>
      <c r="D1275" s="21" t="s">
        <v>2575</v>
      </c>
      <c r="E1275" s="22" t="str">
        <f>HYPERLINK("https://twitter.com/JAGreenhill/status/805404438051618816","805404438051618816")</f>
        <v>805404438051618816</v>
      </c>
      <c r="F1275" s="23" t="s">
        <v>69</v>
      </c>
      <c r="G1275" s="24">
        <v>57.0</v>
      </c>
      <c r="H1275" s="24">
        <v>66.0</v>
      </c>
      <c r="I1275" s="24">
        <v>0.0</v>
      </c>
      <c r="J1275" s="24">
        <v>0.0</v>
      </c>
      <c r="K1275" s="23" t="s">
        <v>27</v>
      </c>
      <c r="L1275" s="25">
        <v>39966.43601851852</v>
      </c>
      <c r="M1275" s="26" t="s">
        <v>425</v>
      </c>
      <c r="N1275" s="26" t="s">
        <v>426</v>
      </c>
      <c r="O1275" s="22" t="str">
        <f t="shared" si="135"/>
        <v>View</v>
      </c>
      <c r="P1275" s="27"/>
    </row>
    <row r="1276">
      <c r="A1276" s="19">
        <v>42708.564317129625</v>
      </c>
      <c r="B1276" s="20" t="str">
        <f>HYPERLINK("https://twitter.com/thealoelady01","@thealoelady01")</f>
        <v>@thealoelady01</v>
      </c>
      <c r="C1276" s="21" t="s">
        <v>2576</v>
      </c>
      <c r="D1276" s="21" t="s">
        <v>2577</v>
      </c>
      <c r="E1276" s="22" t="str">
        <f>HYPERLINK("https://twitter.com/thealoelady01/status/805404444116578305","805404444116578305")</f>
        <v>805404444116578305</v>
      </c>
      <c r="F1276" s="23" t="s">
        <v>26</v>
      </c>
      <c r="G1276" s="24">
        <v>308.0</v>
      </c>
      <c r="H1276" s="24">
        <v>379.0</v>
      </c>
      <c r="I1276" s="24">
        <v>1.0</v>
      </c>
      <c r="J1276" s="24">
        <v>0.0</v>
      </c>
      <c r="K1276" s="23" t="s">
        <v>27</v>
      </c>
      <c r="L1276" s="25">
        <v>41141.664375</v>
      </c>
      <c r="M1276" s="26" t="s">
        <v>2297</v>
      </c>
      <c r="N1276" s="26" t="s">
        <v>2578</v>
      </c>
      <c r="O1276" s="22" t="str">
        <f>HYPERLINK("https://pbs.twimg.com/profile_images/555063734196912128/QoVPQgo__normal.jpeg","View")</f>
        <v>View</v>
      </c>
      <c r="P1276" s="27"/>
    </row>
    <row r="1277">
      <c r="A1277" s="19">
        <v>42708.56469907408</v>
      </c>
      <c r="B1277" s="20" t="str">
        <f t="shared" ref="B1277:B1282" si="136">HYPERLINK("https://twitter.com/JAGreenhill","@JAGreenhill")</f>
        <v>@JAGreenhill</v>
      </c>
      <c r="C1277" s="21" t="s">
        <v>423</v>
      </c>
      <c r="D1277" s="21" t="s">
        <v>2579</v>
      </c>
      <c r="E1277" s="22" t="str">
        <f>HYPERLINK("https://twitter.com/JAGreenhill/status/805404582838931456","805404582838931456")</f>
        <v>805404582838931456</v>
      </c>
      <c r="F1277" s="23" t="s">
        <v>69</v>
      </c>
      <c r="G1277" s="24">
        <v>57.0</v>
      </c>
      <c r="H1277" s="24">
        <v>66.0</v>
      </c>
      <c r="I1277" s="24">
        <v>0.0</v>
      </c>
      <c r="J1277" s="24">
        <v>0.0</v>
      </c>
      <c r="K1277" s="23" t="s">
        <v>27</v>
      </c>
      <c r="L1277" s="25">
        <v>39966.43601851852</v>
      </c>
      <c r="M1277" s="26" t="s">
        <v>425</v>
      </c>
      <c r="N1277" s="26" t="s">
        <v>426</v>
      </c>
      <c r="O1277" s="22" t="str">
        <f t="shared" ref="O1277:O1282" si="137">HYPERLINK("https://pbs.twimg.com/profile_images/805052311466897409/zHKEhdG9_normal.jpg","View")</f>
        <v>View</v>
      </c>
      <c r="P1277" s="27"/>
    </row>
    <row r="1278">
      <c r="A1278" s="19">
        <v>42708.56513888889</v>
      </c>
      <c r="B1278" s="20" t="str">
        <f t="shared" si="136"/>
        <v>@JAGreenhill</v>
      </c>
      <c r="C1278" s="21" t="s">
        <v>423</v>
      </c>
      <c r="D1278" s="21" t="s">
        <v>2580</v>
      </c>
      <c r="E1278" s="22" t="str">
        <f>HYPERLINK("https://twitter.com/JAGreenhill/status/805404740729376769","805404740729376769")</f>
        <v>805404740729376769</v>
      </c>
      <c r="F1278" s="23" t="s">
        <v>69</v>
      </c>
      <c r="G1278" s="24">
        <v>57.0</v>
      </c>
      <c r="H1278" s="24">
        <v>66.0</v>
      </c>
      <c r="I1278" s="24">
        <v>0.0</v>
      </c>
      <c r="J1278" s="24">
        <v>0.0</v>
      </c>
      <c r="K1278" s="23" t="s">
        <v>27</v>
      </c>
      <c r="L1278" s="25">
        <v>39966.43601851852</v>
      </c>
      <c r="M1278" s="26" t="s">
        <v>425</v>
      </c>
      <c r="N1278" s="26" t="s">
        <v>426</v>
      </c>
      <c r="O1278" s="22" t="str">
        <f t="shared" si="137"/>
        <v>View</v>
      </c>
      <c r="P1278" s="27"/>
    </row>
    <row r="1279">
      <c r="A1279" s="19">
        <v>42708.5655324074</v>
      </c>
      <c r="B1279" s="20" t="str">
        <f t="shared" si="136"/>
        <v>@JAGreenhill</v>
      </c>
      <c r="C1279" s="21" t="s">
        <v>423</v>
      </c>
      <c r="D1279" s="21" t="s">
        <v>2581</v>
      </c>
      <c r="E1279" s="22" t="str">
        <f>HYPERLINK("https://twitter.com/JAGreenhill/status/805404882383544321","805404882383544321")</f>
        <v>805404882383544321</v>
      </c>
      <c r="F1279" s="23" t="s">
        <v>69</v>
      </c>
      <c r="G1279" s="24">
        <v>57.0</v>
      </c>
      <c r="H1279" s="24">
        <v>66.0</v>
      </c>
      <c r="I1279" s="24">
        <v>0.0</v>
      </c>
      <c r="J1279" s="24">
        <v>0.0</v>
      </c>
      <c r="K1279" s="23" t="s">
        <v>27</v>
      </c>
      <c r="L1279" s="25">
        <v>39966.43601851852</v>
      </c>
      <c r="M1279" s="26" t="s">
        <v>425</v>
      </c>
      <c r="N1279" s="26" t="s">
        <v>426</v>
      </c>
      <c r="O1279" s="22" t="str">
        <f t="shared" si="137"/>
        <v>View</v>
      </c>
      <c r="P1279" s="27"/>
    </row>
    <row r="1280">
      <c r="A1280" s="19">
        <v>42708.56607638889</v>
      </c>
      <c r="B1280" s="20" t="str">
        <f t="shared" si="136"/>
        <v>@JAGreenhill</v>
      </c>
      <c r="C1280" s="21" t="s">
        <v>423</v>
      </c>
      <c r="D1280" s="21" t="s">
        <v>2582</v>
      </c>
      <c r="E1280" s="22" t="str">
        <f>HYPERLINK("https://twitter.com/JAGreenhill/status/805405079121575940","805405079121575940")</f>
        <v>805405079121575940</v>
      </c>
      <c r="F1280" s="23" t="s">
        <v>69</v>
      </c>
      <c r="G1280" s="24">
        <v>57.0</v>
      </c>
      <c r="H1280" s="24">
        <v>66.0</v>
      </c>
      <c r="I1280" s="24">
        <v>0.0</v>
      </c>
      <c r="J1280" s="24">
        <v>0.0</v>
      </c>
      <c r="K1280" s="23" t="s">
        <v>27</v>
      </c>
      <c r="L1280" s="25">
        <v>39966.43601851852</v>
      </c>
      <c r="M1280" s="26" t="s">
        <v>425</v>
      </c>
      <c r="N1280" s="26" t="s">
        <v>426</v>
      </c>
      <c r="O1280" s="22" t="str">
        <f t="shared" si="137"/>
        <v>View</v>
      </c>
      <c r="P1280" s="27"/>
    </row>
    <row r="1281">
      <c r="A1281" s="19">
        <v>42708.566400462965</v>
      </c>
      <c r="B1281" s="20" t="str">
        <f t="shared" si="136"/>
        <v>@JAGreenhill</v>
      </c>
      <c r="C1281" s="21" t="s">
        <v>423</v>
      </c>
      <c r="D1281" s="21" t="s">
        <v>2583</v>
      </c>
      <c r="E1281" s="22" t="str">
        <f>HYPERLINK("https://twitter.com/JAGreenhill/status/805405196524388352","805405196524388352")</f>
        <v>805405196524388352</v>
      </c>
      <c r="F1281" s="23" t="s">
        <v>69</v>
      </c>
      <c r="G1281" s="24">
        <v>57.0</v>
      </c>
      <c r="H1281" s="24">
        <v>66.0</v>
      </c>
      <c r="I1281" s="24">
        <v>0.0</v>
      </c>
      <c r="J1281" s="24">
        <v>0.0</v>
      </c>
      <c r="K1281" s="23" t="s">
        <v>27</v>
      </c>
      <c r="L1281" s="25">
        <v>39966.43601851852</v>
      </c>
      <c r="M1281" s="26" t="s">
        <v>425</v>
      </c>
      <c r="N1281" s="26" t="s">
        <v>426</v>
      </c>
      <c r="O1281" s="22" t="str">
        <f t="shared" si="137"/>
        <v>View</v>
      </c>
      <c r="P1281" s="27"/>
    </row>
    <row r="1282">
      <c r="A1282" s="19">
        <v>42708.56684027778</v>
      </c>
      <c r="B1282" s="20" t="str">
        <f t="shared" si="136"/>
        <v>@JAGreenhill</v>
      </c>
      <c r="C1282" s="21" t="s">
        <v>423</v>
      </c>
      <c r="D1282" s="21" t="s">
        <v>2584</v>
      </c>
      <c r="E1282" s="22" t="str">
        <f>HYPERLINK("https://twitter.com/JAGreenhill/status/805405356977483776","805405356977483776")</f>
        <v>805405356977483776</v>
      </c>
      <c r="F1282" s="23" t="s">
        <v>69</v>
      </c>
      <c r="G1282" s="24">
        <v>57.0</v>
      </c>
      <c r="H1282" s="24">
        <v>66.0</v>
      </c>
      <c r="I1282" s="24">
        <v>0.0</v>
      </c>
      <c r="J1282" s="24">
        <v>0.0</v>
      </c>
      <c r="K1282" s="23" t="s">
        <v>27</v>
      </c>
      <c r="L1282" s="25">
        <v>39966.43601851852</v>
      </c>
      <c r="M1282" s="26" t="s">
        <v>425</v>
      </c>
      <c r="N1282" s="26" t="s">
        <v>426</v>
      </c>
      <c r="O1282" s="22" t="str">
        <f t="shared" si="137"/>
        <v>View</v>
      </c>
      <c r="P1282" s="27"/>
    </row>
    <row r="1283">
      <c r="A1283" s="19">
        <v>42708.56686342593</v>
      </c>
      <c r="B1283" s="20" t="str">
        <f>HYPERLINK("https://twitter.com/Teclemdz","@Teclemdz")</f>
        <v>@Teclemdz</v>
      </c>
      <c r="C1283" s="21" t="s">
        <v>1655</v>
      </c>
      <c r="D1283" s="21" t="s">
        <v>2585</v>
      </c>
      <c r="E1283" s="22" t="str">
        <f>HYPERLINK("https://twitter.com/Teclemdz/status/805405365902905345","805405365902905345")</f>
        <v>805405365902905345</v>
      </c>
      <c r="F1283" s="23" t="s">
        <v>81</v>
      </c>
      <c r="G1283" s="24">
        <v>1375.0</v>
      </c>
      <c r="H1283" s="24">
        <v>1998.0</v>
      </c>
      <c r="I1283" s="24">
        <v>0.0</v>
      </c>
      <c r="J1283" s="24">
        <v>0.0</v>
      </c>
      <c r="K1283" s="23" t="s">
        <v>27</v>
      </c>
      <c r="L1283" s="25">
        <v>40695.71601851852</v>
      </c>
      <c r="M1283" s="26" t="s">
        <v>1084</v>
      </c>
      <c r="N1283" s="26" t="s">
        <v>1657</v>
      </c>
      <c r="O1283" s="22" t="str">
        <f>HYPERLINK("https://pbs.twimg.com/profile_images/488434731617230848/VVpFBnBi_normal.jpeg","View")</f>
        <v>View</v>
      </c>
      <c r="P1283" s="27" t="str">
        <f>HYPERLINK("https://ctrlq.org/maps/address/#28.30950623,-16.37265498","Map")</f>
        <v>#ERROR!</v>
      </c>
    </row>
    <row r="1284">
      <c r="A1284" s="19">
        <v>42708.56721064815</v>
      </c>
      <c r="B1284" s="20" t="str">
        <f t="shared" ref="B1284:B1289" si="138">HYPERLINK("https://twitter.com/JAGreenhill","@JAGreenhill")</f>
        <v>@JAGreenhill</v>
      </c>
      <c r="C1284" s="21" t="s">
        <v>423</v>
      </c>
      <c r="D1284" s="21" t="s">
        <v>2586</v>
      </c>
      <c r="E1284" s="22" t="str">
        <f>HYPERLINK("https://twitter.com/JAGreenhill/status/805405492390543360","805405492390543360")</f>
        <v>805405492390543360</v>
      </c>
      <c r="F1284" s="23" t="s">
        <v>69</v>
      </c>
      <c r="G1284" s="24">
        <v>57.0</v>
      </c>
      <c r="H1284" s="24">
        <v>66.0</v>
      </c>
      <c r="I1284" s="24">
        <v>0.0</v>
      </c>
      <c r="J1284" s="24">
        <v>0.0</v>
      </c>
      <c r="K1284" s="23" t="s">
        <v>27</v>
      </c>
      <c r="L1284" s="25">
        <v>39966.43601851852</v>
      </c>
      <c r="M1284" s="26" t="s">
        <v>425</v>
      </c>
      <c r="N1284" s="26" t="s">
        <v>426</v>
      </c>
      <c r="O1284" s="22" t="str">
        <f t="shared" ref="O1284:O1289" si="139">HYPERLINK("https://pbs.twimg.com/profile_images/805052311466897409/zHKEhdG9_normal.jpg","View")</f>
        <v>View</v>
      </c>
      <c r="P1284" s="27"/>
    </row>
    <row r="1285">
      <c r="A1285" s="19">
        <v>42708.56763888889</v>
      </c>
      <c r="B1285" s="20" t="str">
        <f t="shared" si="138"/>
        <v>@JAGreenhill</v>
      </c>
      <c r="C1285" s="21" t="s">
        <v>423</v>
      </c>
      <c r="D1285" s="21" t="s">
        <v>2587</v>
      </c>
      <c r="E1285" s="22" t="str">
        <f>HYPERLINK("https://twitter.com/JAGreenhill/status/805405644845158400","805405644845158400")</f>
        <v>805405644845158400</v>
      </c>
      <c r="F1285" s="23" t="s">
        <v>69</v>
      </c>
      <c r="G1285" s="24">
        <v>57.0</v>
      </c>
      <c r="H1285" s="24">
        <v>66.0</v>
      </c>
      <c r="I1285" s="24">
        <v>0.0</v>
      </c>
      <c r="J1285" s="24">
        <v>0.0</v>
      </c>
      <c r="K1285" s="23" t="s">
        <v>27</v>
      </c>
      <c r="L1285" s="25">
        <v>39966.43601851852</v>
      </c>
      <c r="M1285" s="26" t="s">
        <v>425</v>
      </c>
      <c r="N1285" s="26" t="s">
        <v>426</v>
      </c>
      <c r="O1285" s="22" t="str">
        <f t="shared" si="139"/>
        <v>View</v>
      </c>
      <c r="P1285" s="27"/>
    </row>
    <row r="1286">
      <c r="A1286" s="19">
        <v>42708.567881944444</v>
      </c>
      <c r="B1286" s="20" t="str">
        <f t="shared" si="138"/>
        <v>@JAGreenhill</v>
      </c>
      <c r="C1286" s="21" t="s">
        <v>423</v>
      </c>
      <c r="D1286" s="21" t="s">
        <v>2588</v>
      </c>
      <c r="E1286" s="22" t="str">
        <f>HYPERLINK("https://twitter.com/JAGreenhill/status/805405736176156672","805405736176156672")</f>
        <v>805405736176156672</v>
      </c>
      <c r="F1286" s="23" t="s">
        <v>69</v>
      </c>
      <c r="G1286" s="24">
        <v>57.0</v>
      </c>
      <c r="H1286" s="24">
        <v>66.0</v>
      </c>
      <c r="I1286" s="24">
        <v>0.0</v>
      </c>
      <c r="J1286" s="24">
        <v>0.0</v>
      </c>
      <c r="K1286" s="23" t="s">
        <v>27</v>
      </c>
      <c r="L1286" s="25">
        <v>39966.43601851852</v>
      </c>
      <c r="M1286" s="26" t="s">
        <v>425</v>
      </c>
      <c r="N1286" s="26" t="s">
        <v>426</v>
      </c>
      <c r="O1286" s="22" t="str">
        <f t="shared" si="139"/>
        <v>View</v>
      </c>
      <c r="P1286" s="27"/>
    </row>
    <row r="1287">
      <c r="A1287" s="19">
        <v>42708.56820601852</v>
      </c>
      <c r="B1287" s="20" t="str">
        <f t="shared" si="138"/>
        <v>@JAGreenhill</v>
      </c>
      <c r="C1287" s="21" t="s">
        <v>423</v>
      </c>
      <c r="D1287" s="21" t="s">
        <v>2589</v>
      </c>
      <c r="E1287" s="22" t="str">
        <f>HYPERLINK("https://twitter.com/JAGreenhill/status/805405852870000640","805405852870000640")</f>
        <v>805405852870000640</v>
      </c>
      <c r="F1287" s="23" t="s">
        <v>69</v>
      </c>
      <c r="G1287" s="24">
        <v>57.0</v>
      </c>
      <c r="H1287" s="24">
        <v>66.0</v>
      </c>
      <c r="I1287" s="24">
        <v>0.0</v>
      </c>
      <c r="J1287" s="24">
        <v>0.0</v>
      </c>
      <c r="K1287" s="23" t="s">
        <v>27</v>
      </c>
      <c r="L1287" s="25">
        <v>39966.43601851852</v>
      </c>
      <c r="M1287" s="26" t="s">
        <v>425</v>
      </c>
      <c r="N1287" s="26" t="s">
        <v>426</v>
      </c>
      <c r="O1287" s="22" t="str">
        <f t="shared" si="139"/>
        <v>View</v>
      </c>
      <c r="P1287" s="27"/>
    </row>
    <row r="1288">
      <c r="A1288" s="19">
        <v>42708.568449074075</v>
      </c>
      <c r="B1288" s="20" t="str">
        <f t="shared" si="138"/>
        <v>@JAGreenhill</v>
      </c>
      <c r="C1288" s="21" t="s">
        <v>423</v>
      </c>
      <c r="D1288" s="21" t="s">
        <v>2590</v>
      </c>
      <c r="E1288" s="22" t="str">
        <f>HYPERLINK("https://twitter.com/JAGreenhill/status/805405941302788096","805405941302788096")</f>
        <v>805405941302788096</v>
      </c>
      <c r="F1288" s="23" t="s">
        <v>69</v>
      </c>
      <c r="G1288" s="24">
        <v>57.0</v>
      </c>
      <c r="H1288" s="24">
        <v>66.0</v>
      </c>
      <c r="I1288" s="24">
        <v>0.0</v>
      </c>
      <c r="J1288" s="24">
        <v>0.0</v>
      </c>
      <c r="K1288" s="23" t="s">
        <v>27</v>
      </c>
      <c r="L1288" s="25">
        <v>39966.43601851852</v>
      </c>
      <c r="M1288" s="26" t="s">
        <v>425</v>
      </c>
      <c r="N1288" s="26" t="s">
        <v>426</v>
      </c>
      <c r="O1288" s="22" t="str">
        <f t="shared" si="139"/>
        <v>View</v>
      </c>
      <c r="P1288" s="27"/>
    </row>
    <row r="1289">
      <c r="A1289" s="19">
        <v>42708.5690625</v>
      </c>
      <c r="B1289" s="20" t="str">
        <f t="shared" si="138"/>
        <v>@JAGreenhill</v>
      </c>
      <c r="C1289" s="21" t="s">
        <v>423</v>
      </c>
      <c r="D1289" s="21" t="s">
        <v>2591</v>
      </c>
      <c r="E1289" s="22" t="str">
        <f>HYPERLINK("https://twitter.com/JAGreenhill/status/805406160417423360","805406160417423360")</f>
        <v>805406160417423360</v>
      </c>
      <c r="F1289" s="23" t="s">
        <v>69</v>
      </c>
      <c r="G1289" s="24">
        <v>57.0</v>
      </c>
      <c r="H1289" s="24">
        <v>66.0</v>
      </c>
      <c r="I1289" s="24">
        <v>0.0</v>
      </c>
      <c r="J1289" s="24">
        <v>0.0</v>
      </c>
      <c r="K1289" s="23" t="s">
        <v>27</v>
      </c>
      <c r="L1289" s="25">
        <v>39966.43601851852</v>
      </c>
      <c r="M1289" s="26" t="s">
        <v>425</v>
      </c>
      <c r="N1289" s="26" t="s">
        <v>426</v>
      </c>
      <c r="O1289" s="22" t="str">
        <f t="shared" si="139"/>
        <v>View</v>
      </c>
      <c r="P1289" s="27"/>
    </row>
    <row r="1290">
      <c r="A1290" s="19">
        <v>42708.56916666667</v>
      </c>
      <c r="B1290" s="20" t="str">
        <f>HYPERLINK("https://twitter.com/Citta_Cat","@Citta_Cat")</f>
        <v>@Citta_Cat</v>
      </c>
      <c r="C1290" s="21" t="s">
        <v>2592</v>
      </c>
      <c r="D1290" s="21" t="s">
        <v>2593</v>
      </c>
      <c r="E1290" s="22" t="str">
        <f>HYPERLINK("https://twitter.com/Citta_Cat/status/805406200716267521","805406200716267521")</f>
        <v>805406200716267521</v>
      </c>
      <c r="F1290" s="23" t="s">
        <v>26</v>
      </c>
      <c r="G1290" s="24">
        <v>359.0</v>
      </c>
      <c r="H1290" s="24">
        <v>568.0</v>
      </c>
      <c r="I1290" s="24">
        <v>1.0</v>
      </c>
      <c r="J1290" s="24">
        <v>0.0</v>
      </c>
      <c r="K1290" s="23" t="s">
        <v>27</v>
      </c>
      <c r="L1290" s="25">
        <v>40690.07979166666</v>
      </c>
      <c r="M1290" s="28"/>
      <c r="N1290" s="26" t="s">
        <v>2594</v>
      </c>
      <c r="O1290" s="22" t="str">
        <f>HYPERLINK("https://pbs.twimg.com/profile_images/800851298887331840/9-jlggu8_normal.jpg","View")</f>
        <v>View</v>
      </c>
      <c r="P1290" s="27"/>
    </row>
    <row r="1291">
      <c r="A1291" s="19">
        <v>42708.569386574076</v>
      </c>
      <c r="B1291" s="20" t="str">
        <f t="shared" ref="B1291:B1301" si="140">HYPERLINK("https://twitter.com/JAGreenhill","@JAGreenhill")</f>
        <v>@JAGreenhill</v>
      </c>
      <c r="C1291" s="21" t="s">
        <v>423</v>
      </c>
      <c r="D1291" s="21" t="s">
        <v>2595</v>
      </c>
      <c r="E1291" s="22" t="str">
        <f>HYPERLINK("https://twitter.com/JAGreenhill/status/805406280542261248","805406280542261248")</f>
        <v>805406280542261248</v>
      </c>
      <c r="F1291" s="23" t="s">
        <v>69</v>
      </c>
      <c r="G1291" s="24">
        <v>57.0</v>
      </c>
      <c r="H1291" s="24">
        <v>66.0</v>
      </c>
      <c r="I1291" s="24">
        <v>0.0</v>
      </c>
      <c r="J1291" s="24">
        <v>0.0</v>
      </c>
      <c r="K1291" s="23" t="s">
        <v>27</v>
      </c>
      <c r="L1291" s="25">
        <v>39966.43601851852</v>
      </c>
      <c r="M1291" s="26" t="s">
        <v>425</v>
      </c>
      <c r="N1291" s="26" t="s">
        <v>426</v>
      </c>
      <c r="O1291" s="22" t="str">
        <f t="shared" ref="O1291:O1301" si="141">HYPERLINK("https://pbs.twimg.com/profile_images/805052311466897409/zHKEhdG9_normal.jpg","View")</f>
        <v>View</v>
      </c>
      <c r="P1291" s="27"/>
    </row>
    <row r="1292">
      <c r="A1292" s="19">
        <v>42708.56964120371</v>
      </c>
      <c r="B1292" s="20" t="str">
        <f t="shared" si="140"/>
        <v>@JAGreenhill</v>
      </c>
      <c r="C1292" s="21" t="s">
        <v>423</v>
      </c>
      <c r="D1292" s="21" t="s">
        <v>2596</v>
      </c>
      <c r="E1292" s="22" t="str">
        <f>HYPERLINK("https://twitter.com/JAGreenhill/status/805406371889971200","805406371889971200")</f>
        <v>805406371889971200</v>
      </c>
      <c r="F1292" s="23" t="s">
        <v>69</v>
      </c>
      <c r="G1292" s="24">
        <v>57.0</v>
      </c>
      <c r="H1292" s="24">
        <v>66.0</v>
      </c>
      <c r="I1292" s="24">
        <v>0.0</v>
      </c>
      <c r="J1292" s="24">
        <v>0.0</v>
      </c>
      <c r="K1292" s="23" t="s">
        <v>27</v>
      </c>
      <c r="L1292" s="25">
        <v>39966.43601851852</v>
      </c>
      <c r="M1292" s="26" t="s">
        <v>425</v>
      </c>
      <c r="N1292" s="26" t="s">
        <v>426</v>
      </c>
      <c r="O1292" s="22" t="str">
        <f t="shared" si="141"/>
        <v>View</v>
      </c>
      <c r="P1292" s="27"/>
    </row>
    <row r="1293">
      <c r="A1293" s="19">
        <v>42708.57005787037</v>
      </c>
      <c r="B1293" s="20" t="str">
        <f t="shared" si="140"/>
        <v>@JAGreenhill</v>
      </c>
      <c r="C1293" s="21" t="s">
        <v>423</v>
      </c>
      <c r="D1293" s="21" t="s">
        <v>2597</v>
      </c>
      <c r="E1293" s="22" t="str">
        <f>HYPERLINK("https://twitter.com/JAGreenhill/status/805406523669286912","805406523669286912")</f>
        <v>805406523669286912</v>
      </c>
      <c r="F1293" s="23" t="s">
        <v>69</v>
      </c>
      <c r="G1293" s="24">
        <v>57.0</v>
      </c>
      <c r="H1293" s="24">
        <v>66.0</v>
      </c>
      <c r="I1293" s="24">
        <v>0.0</v>
      </c>
      <c r="J1293" s="24">
        <v>0.0</v>
      </c>
      <c r="K1293" s="23" t="s">
        <v>27</v>
      </c>
      <c r="L1293" s="25">
        <v>39966.43601851852</v>
      </c>
      <c r="M1293" s="26" t="s">
        <v>425</v>
      </c>
      <c r="N1293" s="26" t="s">
        <v>426</v>
      </c>
      <c r="O1293" s="22" t="str">
        <f t="shared" si="141"/>
        <v>View</v>
      </c>
      <c r="P1293" s="27"/>
    </row>
    <row r="1294">
      <c r="A1294" s="19">
        <v>42708.57056712963</v>
      </c>
      <c r="B1294" s="20" t="str">
        <f t="shared" si="140"/>
        <v>@JAGreenhill</v>
      </c>
      <c r="C1294" s="21" t="s">
        <v>423</v>
      </c>
      <c r="D1294" s="21" t="s">
        <v>2598</v>
      </c>
      <c r="E1294" s="22" t="str">
        <f>HYPERLINK("https://twitter.com/JAGreenhill/status/805406706666770432","805406706666770432")</f>
        <v>805406706666770432</v>
      </c>
      <c r="F1294" s="23" t="s">
        <v>69</v>
      </c>
      <c r="G1294" s="24">
        <v>57.0</v>
      </c>
      <c r="H1294" s="24">
        <v>66.0</v>
      </c>
      <c r="I1294" s="24">
        <v>0.0</v>
      </c>
      <c r="J1294" s="24">
        <v>0.0</v>
      </c>
      <c r="K1294" s="23" t="s">
        <v>27</v>
      </c>
      <c r="L1294" s="25">
        <v>39966.43601851852</v>
      </c>
      <c r="M1294" s="26" t="s">
        <v>425</v>
      </c>
      <c r="N1294" s="26" t="s">
        <v>426</v>
      </c>
      <c r="O1294" s="22" t="str">
        <f t="shared" si="141"/>
        <v>View</v>
      </c>
      <c r="P1294" s="27"/>
    </row>
    <row r="1295">
      <c r="A1295" s="19">
        <v>42708.57109953703</v>
      </c>
      <c r="B1295" s="20" t="str">
        <f t="shared" si="140"/>
        <v>@JAGreenhill</v>
      </c>
      <c r="C1295" s="21" t="s">
        <v>423</v>
      </c>
      <c r="D1295" s="21" t="s">
        <v>2599</v>
      </c>
      <c r="E1295" s="22" t="str">
        <f>HYPERLINK("https://twitter.com/JAGreenhill/status/805406899394985984","805406899394985984")</f>
        <v>805406899394985984</v>
      </c>
      <c r="F1295" s="23" t="s">
        <v>69</v>
      </c>
      <c r="G1295" s="24">
        <v>57.0</v>
      </c>
      <c r="H1295" s="24">
        <v>66.0</v>
      </c>
      <c r="I1295" s="24">
        <v>0.0</v>
      </c>
      <c r="J1295" s="24">
        <v>1.0</v>
      </c>
      <c r="K1295" s="23" t="s">
        <v>27</v>
      </c>
      <c r="L1295" s="25">
        <v>39966.43601851852</v>
      </c>
      <c r="M1295" s="26" t="s">
        <v>425</v>
      </c>
      <c r="N1295" s="26" t="s">
        <v>426</v>
      </c>
      <c r="O1295" s="22" t="str">
        <f t="shared" si="141"/>
        <v>View</v>
      </c>
      <c r="P1295" s="27"/>
    </row>
    <row r="1296">
      <c r="A1296" s="19">
        <v>42708.57153935185</v>
      </c>
      <c r="B1296" s="20" t="str">
        <f t="shared" si="140"/>
        <v>@JAGreenhill</v>
      </c>
      <c r="C1296" s="21" t="s">
        <v>423</v>
      </c>
      <c r="D1296" s="21" t="s">
        <v>2600</v>
      </c>
      <c r="E1296" s="22" t="str">
        <f>HYPERLINK("https://twitter.com/JAGreenhill/status/805407058304634880","805407058304634880")</f>
        <v>805407058304634880</v>
      </c>
      <c r="F1296" s="23" t="s">
        <v>69</v>
      </c>
      <c r="G1296" s="24">
        <v>57.0</v>
      </c>
      <c r="H1296" s="24">
        <v>66.0</v>
      </c>
      <c r="I1296" s="24">
        <v>0.0</v>
      </c>
      <c r="J1296" s="24">
        <v>0.0</v>
      </c>
      <c r="K1296" s="23" t="s">
        <v>27</v>
      </c>
      <c r="L1296" s="25">
        <v>39966.43601851852</v>
      </c>
      <c r="M1296" s="26" t="s">
        <v>425</v>
      </c>
      <c r="N1296" s="26" t="s">
        <v>426</v>
      </c>
      <c r="O1296" s="22" t="str">
        <f t="shared" si="141"/>
        <v>View</v>
      </c>
      <c r="P1296" s="27"/>
    </row>
    <row r="1297">
      <c r="A1297" s="19">
        <v>42708.571875</v>
      </c>
      <c r="B1297" s="20" t="str">
        <f t="shared" si="140"/>
        <v>@JAGreenhill</v>
      </c>
      <c r="C1297" s="21" t="s">
        <v>423</v>
      </c>
      <c r="D1297" s="21" t="s">
        <v>2601</v>
      </c>
      <c r="E1297" s="22" t="str">
        <f>HYPERLINK("https://twitter.com/JAGreenhill/status/805407182812512256","805407182812512256")</f>
        <v>805407182812512256</v>
      </c>
      <c r="F1297" s="23" t="s">
        <v>69</v>
      </c>
      <c r="G1297" s="24">
        <v>57.0</v>
      </c>
      <c r="H1297" s="24">
        <v>66.0</v>
      </c>
      <c r="I1297" s="24">
        <v>0.0</v>
      </c>
      <c r="J1297" s="24">
        <v>0.0</v>
      </c>
      <c r="K1297" s="23" t="s">
        <v>27</v>
      </c>
      <c r="L1297" s="25">
        <v>39966.43601851852</v>
      </c>
      <c r="M1297" s="26" t="s">
        <v>425</v>
      </c>
      <c r="N1297" s="26" t="s">
        <v>426</v>
      </c>
      <c r="O1297" s="22" t="str">
        <f t="shared" si="141"/>
        <v>View</v>
      </c>
      <c r="P1297" s="27"/>
    </row>
    <row r="1298">
      <c r="A1298" s="19">
        <v>42708.572384259256</v>
      </c>
      <c r="B1298" s="20" t="str">
        <f t="shared" si="140"/>
        <v>@JAGreenhill</v>
      </c>
      <c r="C1298" s="21" t="s">
        <v>423</v>
      </c>
      <c r="D1298" s="21" t="s">
        <v>2602</v>
      </c>
      <c r="E1298" s="22" t="str">
        <f>HYPERLINK("https://twitter.com/JAGreenhill/status/805407367781371905","805407367781371905")</f>
        <v>805407367781371905</v>
      </c>
      <c r="F1298" s="23" t="s">
        <v>69</v>
      </c>
      <c r="G1298" s="24">
        <v>57.0</v>
      </c>
      <c r="H1298" s="24">
        <v>66.0</v>
      </c>
      <c r="I1298" s="24">
        <v>0.0</v>
      </c>
      <c r="J1298" s="24">
        <v>0.0</v>
      </c>
      <c r="K1298" s="23" t="s">
        <v>27</v>
      </c>
      <c r="L1298" s="25">
        <v>39966.43601851852</v>
      </c>
      <c r="M1298" s="26" t="s">
        <v>425</v>
      </c>
      <c r="N1298" s="26" t="s">
        <v>426</v>
      </c>
      <c r="O1298" s="22" t="str">
        <f t="shared" si="141"/>
        <v>View</v>
      </c>
      <c r="P1298" s="27"/>
    </row>
    <row r="1299">
      <c r="A1299" s="19">
        <v>42708.57287037037</v>
      </c>
      <c r="B1299" s="20" t="str">
        <f t="shared" si="140"/>
        <v>@JAGreenhill</v>
      </c>
      <c r="C1299" s="21" t="s">
        <v>423</v>
      </c>
      <c r="D1299" s="21" t="s">
        <v>2603</v>
      </c>
      <c r="E1299" s="22" t="str">
        <f>HYPERLINK("https://twitter.com/JAGreenhill/status/805407543916896256","805407543916896256")</f>
        <v>805407543916896256</v>
      </c>
      <c r="F1299" s="23" t="s">
        <v>69</v>
      </c>
      <c r="G1299" s="24">
        <v>57.0</v>
      </c>
      <c r="H1299" s="24">
        <v>66.0</v>
      </c>
      <c r="I1299" s="24">
        <v>0.0</v>
      </c>
      <c r="J1299" s="24">
        <v>0.0</v>
      </c>
      <c r="K1299" s="23" t="s">
        <v>27</v>
      </c>
      <c r="L1299" s="25">
        <v>39966.43601851852</v>
      </c>
      <c r="M1299" s="26" t="s">
        <v>425</v>
      </c>
      <c r="N1299" s="26" t="s">
        <v>426</v>
      </c>
      <c r="O1299" s="22" t="str">
        <f t="shared" si="141"/>
        <v>View</v>
      </c>
      <c r="P1299" s="27"/>
    </row>
    <row r="1300">
      <c r="A1300" s="19">
        <v>42708.573645833334</v>
      </c>
      <c r="B1300" s="20" t="str">
        <f t="shared" si="140"/>
        <v>@JAGreenhill</v>
      </c>
      <c r="C1300" s="21" t="s">
        <v>423</v>
      </c>
      <c r="D1300" s="21" t="s">
        <v>2604</v>
      </c>
      <c r="E1300" s="22" t="str">
        <f>HYPERLINK("https://twitter.com/JAGreenhill/status/805407823421116417","805407823421116417")</f>
        <v>805407823421116417</v>
      </c>
      <c r="F1300" s="23" t="s">
        <v>69</v>
      </c>
      <c r="G1300" s="24">
        <v>57.0</v>
      </c>
      <c r="H1300" s="24">
        <v>66.0</v>
      </c>
      <c r="I1300" s="24">
        <v>0.0</v>
      </c>
      <c r="J1300" s="24">
        <v>0.0</v>
      </c>
      <c r="K1300" s="23" t="s">
        <v>27</v>
      </c>
      <c r="L1300" s="25">
        <v>39966.43601851852</v>
      </c>
      <c r="M1300" s="26" t="s">
        <v>425</v>
      </c>
      <c r="N1300" s="26" t="s">
        <v>426</v>
      </c>
      <c r="O1300" s="22" t="str">
        <f t="shared" si="141"/>
        <v>View</v>
      </c>
      <c r="P1300" s="27"/>
    </row>
    <row r="1301">
      <c r="A1301" s="19">
        <v>42708.57413194445</v>
      </c>
      <c r="B1301" s="20" t="str">
        <f t="shared" si="140"/>
        <v>@JAGreenhill</v>
      </c>
      <c r="C1301" s="21" t="s">
        <v>423</v>
      </c>
      <c r="D1301" s="21" t="s">
        <v>2605</v>
      </c>
      <c r="E1301" s="22" t="str">
        <f>HYPERLINK("https://twitter.com/JAGreenhill/status/805408000190148608","805408000190148608")</f>
        <v>805408000190148608</v>
      </c>
      <c r="F1301" s="23" t="s">
        <v>69</v>
      </c>
      <c r="G1301" s="24">
        <v>57.0</v>
      </c>
      <c r="H1301" s="24">
        <v>66.0</v>
      </c>
      <c r="I1301" s="24">
        <v>0.0</v>
      </c>
      <c r="J1301" s="24">
        <v>0.0</v>
      </c>
      <c r="K1301" s="23" t="s">
        <v>27</v>
      </c>
      <c r="L1301" s="25">
        <v>39966.43601851852</v>
      </c>
      <c r="M1301" s="26" t="s">
        <v>425</v>
      </c>
      <c r="N1301" s="26" t="s">
        <v>426</v>
      </c>
      <c r="O1301" s="22" t="str">
        <f t="shared" si="141"/>
        <v>View</v>
      </c>
      <c r="P1301" s="27"/>
    </row>
    <row r="1302">
      <c r="A1302" s="19">
        <v>42708.57653935185</v>
      </c>
      <c r="B1302" s="20" t="str">
        <f>HYPERLINK("https://twitter.com/VIBRASMAG","@VIBRASMAG")</f>
        <v>@VIBRASMAG</v>
      </c>
      <c r="C1302" s="21" t="s">
        <v>2606</v>
      </c>
      <c r="D1302" s="21" t="s">
        <v>2607</v>
      </c>
      <c r="E1302" s="22" t="str">
        <f>HYPERLINK("https://twitter.com/VIBRASMAG/status/805408872580182016","805408872580182016")</f>
        <v>805408872580182016</v>
      </c>
      <c r="F1302" s="23" t="s">
        <v>81</v>
      </c>
      <c r="G1302" s="24">
        <v>5823.0</v>
      </c>
      <c r="H1302" s="24">
        <v>1490.0</v>
      </c>
      <c r="I1302" s="24">
        <v>0.0</v>
      </c>
      <c r="J1302" s="24">
        <v>0.0</v>
      </c>
      <c r="K1302" s="23" t="s">
        <v>27</v>
      </c>
      <c r="L1302" s="25">
        <v>40277.712858796294</v>
      </c>
      <c r="M1302" s="26" t="s">
        <v>2608</v>
      </c>
      <c r="N1302" s="26" t="s">
        <v>2609</v>
      </c>
      <c r="O1302" s="22" t="str">
        <f>HYPERLINK("https://pbs.twimg.com/profile_images/672171390770941952/siVcaP1s_normal.jpg","View")</f>
        <v>View</v>
      </c>
      <c r="P1302" s="27"/>
    </row>
    <row r="1303">
      <c r="A1303" s="19">
        <v>42708.58417824074</v>
      </c>
      <c r="B1303" s="20" t="str">
        <f>HYPERLINK("https://twitter.com/TenerifeExplore","@TenerifeExplore")</f>
        <v>@TenerifeExplore</v>
      </c>
      <c r="C1303" s="21" t="s">
        <v>2610</v>
      </c>
      <c r="D1303" s="21" t="s">
        <v>1762</v>
      </c>
      <c r="E1303" s="22" t="str">
        <f>HYPERLINK("https://twitter.com/TenerifeExplore/status/805411640254533637","805411640254533637")</f>
        <v>805411640254533637</v>
      </c>
      <c r="F1303" s="23" t="s">
        <v>37</v>
      </c>
      <c r="G1303" s="24">
        <v>3816.0</v>
      </c>
      <c r="H1303" s="24">
        <v>1829.0</v>
      </c>
      <c r="I1303" s="24">
        <v>6.0</v>
      </c>
      <c r="J1303" s="24">
        <v>0.0</v>
      </c>
      <c r="K1303" s="23" t="s">
        <v>27</v>
      </c>
      <c r="L1303" s="25">
        <v>40155.63853009259</v>
      </c>
      <c r="M1303" s="26" t="s">
        <v>301</v>
      </c>
      <c r="N1303" s="26" t="s">
        <v>2611</v>
      </c>
      <c r="O1303" s="22" t="str">
        <f>HYPERLINK("https://pbs.twimg.com/profile_images/900403561/567_normal.jpg","View")</f>
        <v>View</v>
      </c>
      <c r="P1303" s="27"/>
    </row>
    <row r="1304">
      <c r="A1304" s="19">
        <v>42708.58443287037</v>
      </c>
      <c r="B1304" s="20" t="str">
        <f>HYPERLINK("https://twitter.com/HJardinTropical","@HJardinTropical")</f>
        <v>@HJardinTropical</v>
      </c>
      <c r="C1304" s="21" t="s">
        <v>2060</v>
      </c>
      <c r="D1304" s="21" t="s">
        <v>2612</v>
      </c>
      <c r="E1304" s="22" t="str">
        <f>HYPERLINK("https://twitter.com/HJardinTropical/status/805411731065466880","805411731065466880")</f>
        <v>805411731065466880</v>
      </c>
      <c r="F1304" s="23" t="s">
        <v>41</v>
      </c>
      <c r="G1304" s="24">
        <v>3669.0</v>
      </c>
      <c r="H1304" s="24">
        <v>628.0</v>
      </c>
      <c r="I1304" s="24">
        <v>0.0</v>
      </c>
      <c r="J1304" s="24">
        <v>0.0</v>
      </c>
      <c r="K1304" s="23" t="s">
        <v>27</v>
      </c>
      <c r="L1304" s="25">
        <v>40000.71436342593</v>
      </c>
      <c r="M1304" s="26" t="s">
        <v>2062</v>
      </c>
      <c r="N1304" s="26" t="s">
        <v>2063</v>
      </c>
      <c r="O1304" s="22" t="str">
        <f>HYPERLINK("https://pbs.twimg.com/profile_images/740530029243817984/J5ujzFIw_normal.jpg","View")</f>
        <v>View</v>
      </c>
      <c r="P1304" s="27"/>
    </row>
    <row r="1305">
      <c r="A1305" s="19">
        <v>42708.58446759259</v>
      </c>
      <c r="B1305" s="20" t="str">
        <f>HYPERLINK("https://twitter.com/JohnPatterson99","@JohnPatterson99")</f>
        <v>@JohnPatterson99</v>
      </c>
      <c r="C1305" s="21" t="s">
        <v>2613</v>
      </c>
      <c r="D1305" s="21" t="s">
        <v>2614</v>
      </c>
      <c r="E1305" s="22" t="str">
        <f>HYPERLINK("https://twitter.com/JohnPatterson99/status/805411744881508353","805411744881508353")</f>
        <v>805411744881508353</v>
      </c>
      <c r="F1305" s="23" t="s">
        <v>81</v>
      </c>
      <c r="G1305" s="24">
        <v>190.0</v>
      </c>
      <c r="H1305" s="24">
        <v>536.0</v>
      </c>
      <c r="I1305" s="24">
        <v>0.0</v>
      </c>
      <c r="J1305" s="24">
        <v>1.0</v>
      </c>
      <c r="K1305" s="23" t="s">
        <v>27</v>
      </c>
      <c r="L1305" s="25">
        <v>40941.413194444445</v>
      </c>
      <c r="M1305" s="26" t="s">
        <v>2615</v>
      </c>
      <c r="N1305" s="28"/>
      <c r="O1305" s="22" t="str">
        <f>HYPERLINK("https://pbs.twimg.com/profile_images/688964918079430656/8l5FZ8wt_normal.jpg","View")</f>
        <v>View</v>
      </c>
      <c r="P1305" s="27" t="str">
        <f>HYPERLINK("https://ctrlq.org/maps/address/#28.2833,-16.8","Map")</f>
        <v>#ERROR!</v>
      </c>
    </row>
    <row r="1306">
      <c r="A1306" s="19">
        <v>42708.585011574076</v>
      </c>
      <c r="B1306" s="20" t="str">
        <f>HYPERLINK("https://twitter.com/jasodowd","@jasodowd")</f>
        <v>@jasodowd</v>
      </c>
      <c r="C1306" s="21" t="s">
        <v>2616</v>
      </c>
      <c r="D1306" s="21" t="s">
        <v>1762</v>
      </c>
      <c r="E1306" s="22" t="str">
        <f>HYPERLINK("https://twitter.com/jasodowd/status/805411943058116608","805411943058116608")</f>
        <v>805411943058116608</v>
      </c>
      <c r="F1306" s="23" t="s">
        <v>26</v>
      </c>
      <c r="G1306" s="24">
        <v>156.0</v>
      </c>
      <c r="H1306" s="24">
        <v>454.0</v>
      </c>
      <c r="I1306" s="24">
        <v>6.0</v>
      </c>
      <c r="J1306" s="24">
        <v>0.0</v>
      </c>
      <c r="K1306" s="23" t="s">
        <v>27</v>
      </c>
      <c r="L1306" s="25">
        <v>42613.851851851854</v>
      </c>
      <c r="M1306" s="26" t="s">
        <v>2617</v>
      </c>
      <c r="N1306" s="26" t="s">
        <v>2618</v>
      </c>
      <c r="O1306" s="22" t="str">
        <f>HYPERLINK("https://pbs.twimg.com/profile_images/796841784013967361/zT9yPVqi_normal.jpg","View")</f>
        <v>View</v>
      </c>
      <c r="P1306" s="27"/>
    </row>
    <row r="1307">
      <c r="A1307" s="19">
        <v>42708.59333333334</v>
      </c>
      <c r="B1307" s="20" t="str">
        <f>HYPERLINK("https://twitter.com/primeindusa","@primeindusa")</f>
        <v>@primeindusa</v>
      </c>
      <c r="C1307" s="21" t="s">
        <v>2619</v>
      </c>
      <c r="D1307" s="21" t="s">
        <v>1874</v>
      </c>
      <c r="E1307" s="22" t="str">
        <f>HYPERLINK("https://twitter.com/primeindusa/status/805414956128673792","805414956128673792")</f>
        <v>805414956128673792</v>
      </c>
      <c r="F1307" s="23" t="s">
        <v>37</v>
      </c>
      <c r="G1307" s="24">
        <v>114.0</v>
      </c>
      <c r="H1307" s="24">
        <v>640.0</v>
      </c>
      <c r="I1307" s="24">
        <v>92.0</v>
      </c>
      <c r="J1307" s="24">
        <v>0.0</v>
      </c>
      <c r="K1307" s="23" t="s">
        <v>27</v>
      </c>
      <c r="L1307" s="25">
        <v>42064.77549768519</v>
      </c>
      <c r="M1307" s="26" t="s">
        <v>2620</v>
      </c>
      <c r="N1307" s="26" t="s">
        <v>2621</v>
      </c>
      <c r="O1307" s="22" t="str">
        <f>HYPERLINK("https://pbs.twimg.com/profile_images/578293692420608001/pDygS6K3_normal.png","View")</f>
        <v>View</v>
      </c>
      <c r="P1307" s="27"/>
    </row>
    <row r="1308">
      <c r="A1308" s="19">
        <v>42708.59606481482</v>
      </c>
      <c r="B1308" s="20" t="str">
        <f>HYPERLINK("https://twitter.com/mrgaryhollywood","@mrgaryhollywood")</f>
        <v>@mrgaryhollywood</v>
      </c>
      <c r="C1308" s="21" t="s">
        <v>1495</v>
      </c>
      <c r="D1308" s="21" t="s">
        <v>2622</v>
      </c>
      <c r="E1308" s="22" t="str">
        <f>HYPERLINK("https://twitter.com/mrgaryhollywood/status/805415946752000000","805415946752000000")</f>
        <v>805415946752000000</v>
      </c>
      <c r="F1308" s="23" t="s">
        <v>26</v>
      </c>
      <c r="G1308" s="24">
        <v>1935.0</v>
      </c>
      <c r="H1308" s="24">
        <v>347.0</v>
      </c>
      <c r="I1308" s="24">
        <v>3.0</v>
      </c>
      <c r="J1308" s="24">
        <v>39.0</v>
      </c>
      <c r="K1308" s="23" t="s">
        <v>27</v>
      </c>
      <c r="L1308" s="25">
        <v>42605.49872685185</v>
      </c>
      <c r="M1308" s="26" t="s">
        <v>305</v>
      </c>
      <c r="N1308" s="26" t="s">
        <v>1497</v>
      </c>
      <c r="O1308" s="22" t="str">
        <f>HYPERLINK("https://pbs.twimg.com/profile_images/768044411976646656/on8rcxYg_normal.jpg","View")</f>
        <v>View</v>
      </c>
      <c r="P1308" s="27"/>
    </row>
    <row r="1309">
      <c r="A1309" s="19">
        <v>42708.596562499995</v>
      </c>
      <c r="B1309" s="20" t="str">
        <f>HYPERLINK("https://twitter.com/jbboats","@jbboats")</f>
        <v>@jbboats</v>
      </c>
      <c r="C1309" s="21" t="s">
        <v>88</v>
      </c>
      <c r="D1309" s="21" t="s">
        <v>1427</v>
      </c>
      <c r="E1309" s="22" t="str">
        <f>HYPERLINK("https://twitter.com/jbboats/status/805416130022088704","805416130022088704")</f>
        <v>805416130022088704</v>
      </c>
      <c r="F1309" s="23" t="s">
        <v>90</v>
      </c>
      <c r="G1309" s="24">
        <v>26832.0</v>
      </c>
      <c r="H1309" s="24">
        <v>1587.0</v>
      </c>
      <c r="I1309" s="24">
        <v>4.0</v>
      </c>
      <c r="J1309" s="24">
        <v>0.0</v>
      </c>
      <c r="K1309" s="23" t="s">
        <v>27</v>
      </c>
      <c r="L1309" s="25">
        <v>41296.41976851852</v>
      </c>
      <c r="M1309" s="26" t="s">
        <v>91</v>
      </c>
      <c r="N1309" s="26" t="s">
        <v>92</v>
      </c>
      <c r="O1309" s="22" t="str">
        <f>HYPERLINK("https://pbs.twimg.com/profile_images/804650290771357700/bbd3se1j_normal.jpg","View")</f>
        <v>View</v>
      </c>
      <c r="P1309" s="27"/>
    </row>
    <row r="1310">
      <c r="A1310" s="19">
        <v>42708.61771990741</v>
      </c>
      <c r="B1310" s="20" t="str">
        <f>HYPERLINK("https://twitter.com/alej_iglesias","@alej_iglesias")</f>
        <v>@alej_iglesias</v>
      </c>
      <c r="C1310" s="21" t="s">
        <v>2623</v>
      </c>
      <c r="D1310" s="21" t="s">
        <v>2405</v>
      </c>
      <c r="E1310" s="22" t="str">
        <f>HYPERLINK("https://twitter.com/alej_iglesias/status/805423796152913920","805423796152913920")</f>
        <v>805423796152913920</v>
      </c>
      <c r="F1310" s="23" t="s">
        <v>41</v>
      </c>
      <c r="G1310" s="24">
        <v>69.0</v>
      </c>
      <c r="H1310" s="24">
        <v>124.0</v>
      </c>
      <c r="I1310" s="24">
        <v>40.0</v>
      </c>
      <c r="J1310" s="24">
        <v>0.0</v>
      </c>
      <c r="K1310" s="23" t="s">
        <v>27</v>
      </c>
      <c r="L1310" s="25">
        <v>41174.6015625</v>
      </c>
      <c r="M1310" s="26" t="s">
        <v>2624</v>
      </c>
      <c r="N1310" s="26" t="s">
        <v>2625</v>
      </c>
      <c r="O1310" s="22" t="str">
        <f>HYPERLINK("https://pbs.twimg.com/profile_images/800473828589797376/DYDGByMg_normal.jpg","View")</f>
        <v>View</v>
      </c>
      <c r="P1310" s="27"/>
    </row>
    <row r="1311">
      <c r="A1311" s="19">
        <v>42708.64827546296</v>
      </c>
      <c r="B1311" s="20" t="str">
        <f>HYPERLINK("https://twitter.com/mtglobaleventos","@mtglobaleventos")</f>
        <v>@mtglobaleventos</v>
      </c>
      <c r="C1311" s="21" t="s">
        <v>2626</v>
      </c>
      <c r="D1311" s="21" t="s">
        <v>2405</v>
      </c>
      <c r="E1311" s="22" t="str">
        <f>HYPERLINK("https://twitter.com/mtglobaleventos/status/805434870310797313","805434870310797313")</f>
        <v>805434870310797313</v>
      </c>
      <c r="F1311" s="23" t="s">
        <v>26</v>
      </c>
      <c r="G1311" s="24">
        <v>84.0</v>
      </c>
      <c r="H1311" s="24">
        <v>86.0</v>
      </c>
      <c r="I1311" s="24">
        <v>40.0</v>
      </c>
      <c r="J1311" s="24">
        <v>0.0</v>
      </c>
      <c r="K1311" s="23" t="s">
        <v>27</v>
      </c>
      <c r="L1311" s="25">
        <v>42389.48930555556</v>
      </c>
      <c r="M1311" s="26" t="s">
        <v>2433</v>
      </c>
      <c r="N1311" s="26" t="s">
        <v>2627</v>
      </c>
      <c r="O1311" s="22" t="str">
        <f>HYPERLINK("https://pbs.twimg.com/profile_images/689777556522807296/N4P7UsBq_normal.jpg","View")</f>
        <v>View</v>
      </c>
      <c r="P1311" s="27"/>
    </row>
    <row r="1312">
      <c r="A1312" s="19">
        <v>42708.65295138889</v>
      </c>
      <c r="B1312" s="20" t="str">
        <f>HYPERLINK("https://twitter.com/YYZemily","@YYZemily")</f>
        <v>@YYZemily</v>
      </c>
      <c r="C1312" s="21" t="s">
        <v>2628</v>
      </c>
      <c r="D1312" s="21" t="s">
        <v>2629</v>
      </c>
      <c r="E1312" s="22" t="str">
        <f>HYPERLINK("https://twitter.com/YYZemily/status/805436560858550274","805436560858550274")</f>
        <v>805436560858550274</v>
      </c>
      <c r="F1312" s="23" t="s">
        <v>41</v>
      </c>
      <c r="G1312" s="24">
        <v>619.0</v>
      </c>
      <c r="H1312" s="24">
        <v>610.0</v>
      </c>
      <c r="I1312" s="24">
        <v>0.0</v>
      </c>
      <c r="J1312" s="24">
        <v>0.0</v>
      </c>
      <c r="K1312" s="23" t="s">
        <v>27</v>
      </c>
      <c r="L1312" s="25">
        <v>41490.87333333334</v>
      </c>
      <c r="M1312" s="28"/>
      <c r="N1312" s="26" t="s">
        <v>2630</v>
      </c>
      <c r="O1312" s="22" t="str">
        <f>HYPERLINK("https://pbs.twimg.com/profile_images/496655034483216385/u5_DwnWF_normal.jpeg","View")</f>
        <v>View</v>
      </c>
      <c r="P1312" s="27"/>
    </row>
    <row r="1313">
      <c r="A1313" s="19">
        <v>42708.654594907406</v>
      </c>
      <c r="B1313" s="20" t="str">
        <f>HYPERLINK("https://twitter.com/lasalsadelavida","@lasalsadelavida")</f>
        <v>@lasalsadelavida</v>
      </c>
      <c r="C1313" s="21" t="s">
        <v>2552</v>
      </c>
      <c r="D1313" s="21" t="s">
        <v>2631</v>
      </c>
      <c r="E1313" s="22" t="str">
        <f>HYPERLINK("https://twitter.com/lasalsadelavida/status/805437157632524289","805437157632524289")</f>
        <v>805437157632524289</v>
      </c>
      <c r="F1313" s="23" t="s">
        <v>81</v>
      </c>
      <c r="G1313" s="24">
        <v>112.0</v>
      </c>
      <c r="H1313" s="24">
        <v>213.0</v>
      </c>
      <c r="I1313" s="24">
        <v>0.0</v>
      </c>
      <c r="J1313" s="24">
        <v>0.0</v>
      </c>
      <c r="K1313" s="23" t="s">
        <v>27</v>
      </c>
      <c r="L1313" s="25">
        <v>42053.44846064815</v>
      </c>
      <c r="M1313" s="28"/>
      <c r="N1313" s="26" t="s">
        <v>2554</v>
      </c>
      <c r="O1313" s="22" t="str">
        <f>HYPERLINK("https://pbs.twimg.com/profile_images/613314808054685696/ALe2jb0q_normal.jpg","View")</f>
        <v>View</v>
      </c>
      <c r="P1313" s="27"/>
    </row>
    <row r="1314">
      <c r="A1314" s="19">
        <v>42708.65608796296</v>
      </c>
      <c r="B1314" s="20" t="str">
        <f>HYPERLINK("https://twitter.com/MorioMemento","@MorioMemento")</f>
        <v>@MorioMemento</v>
      </c>
      <c r="C1314" s="21" t="s">
        <v>2632</v>
      </c>
      <c r="D1314" s="21" t="s">
        <v>2405</v>
      </c>
      <c r="E1314" s="22" t="str">
        <f>HYPERLINK("https://twitter.com/MorioMemento/status/805437699251433475","805437699251433475")</f>
        <v>805437699251433475</v>
      </c>
      <c r="F1314" s="23" t="s">
        <v>41</v>
      </c>
      <c r="G1314" s="24">
        <v>67.0</v>
      </c>
      <c r="H1314" s="24">
        <v>142.0</v>
      </c>
      <c r="I1314" s="24">
        <v>40.0</v>
      </c>
      <c r="J1314" s="24">
        <v>0.0</v>
      </c>
      <c r="K1314" s="23" t="s">
        <v>27</v>
      </c>
      <c r="L1314" s="25">
        <v>40296.473958333336</v>
      </c>
      <c r="M1314" s="26" t="s">
        <v>513</v>
      </c>
      <c r="N1314" s="28"/>
      <c r="O1314" s="22" t="str">
        <f>HYPERLINK("https://pbs.twimg.com/profile_images/805840541409800195/2m7_Um-i_normal.jpg","View")</f>
        <v>View</v>
      </c>
      <c r="P1314" s="27"/>
    </row>
    <row r="1315">
      <c r="A1315" s="19">
        <v>42708.65645833334</v>
      </c>
      <c r="B1315" s="20" t="str">
        <f>HYPERLINK("https://twitter.com/hiromimaruno","@hiromimaruno")</f>
        <v>@hiromimaruno</v>
      </c>
      <c r="C1315" s="21" t="s">
        <v>2633</v>
      </c>
      <c r="D1315" s="21" t="s">
        <v>2405</v>
      </c>
      <c r="E1315" s="22" t="str">
        <f>HYPERLINK("https://twitter.com/hiromimaruno/status/805437832273784832","805437832273784832")</f>
        <v>805437832273784832</v>
      </c>
      <c r="F1315" s="23" t="s">
        <v>37</v>
      </c>
      <c r="G1315" s="24">
        <v>15.0</v>
      </c>
      <c r="H1315" s="24">
        <v>14.0</v>
      </c>
      <c r="I1315" s="24">
        <v>40.0</v>
      </c>
      <c r="J1315" s="24">
        <v>0.0</v>
      </c>
      <c r="K1315" s="23" t="s">
        <v>27</v>
      </c>
      <c r="L1315" s="25">
        <v>42415.87422453704</v>
      </c>
      <c r="M1315" s="28"/>
      <c r="N1315" s="28"/>
      <c r="O1315" s="22" t="str">
        <f>HYPERLINK("https://pbs.twimg.com/profile_images/779475208415637504/Nc3NPrZ4_normal.jpg","View")</f>
        <v>View</v>
      </c>
      <c r="P1315" s="27"/>
    </row>
    <row r="1316">
      <c r="A1316" s="19">
        <v>42708.681481481486</v>
      </c>
      <c r="B1316" s="20" t="str">
        <f>HYPERLINK("https://twitter.com/NAILEEchic","@NAILEEchic")</f>
        <v>@NAILEEchic</v>
      </c>
      <c r="C1316" s="21" t="s">
        <v>2634</v>
      </c>
      <c r="D1316" s="21" t="s">
        <v>2635</v>
      </c>
      <c r="E1316" s="22" t="str">
        <f>HYPERLINK("https://twitter.com/NAILEEchic/status/805446900749074432","805446900749074432")</f>
        <v>805446900749074432</v>
      </c>
      <c r="F1316" s="23" t="s">
        <v>81</v>
      </c>
      <c r="G1316" s="24">
        <v>2434.0</v>
      </c>
      <c r="H1316" s="24">
        <v>695.0</v>
      </c>
      <c r="I1316" s="24">
        <v>0.0</v>
      </c>
      <c r="J1316" s="24">
        <v>0.0</v>
      </c>
      <c r="K1316" s="23" t="s">
        <v>27</v>
      </c>
      <c r="L1316" s="25">
        <v>41112.85190972222</v>
      </c>
      <c r="M1316" s="26" t="s">
        <v>529</v>
      </c>
      <c r="N1316" s="26" t="s">
        <v>2636</v>
      </c>
      <c r="O1316" s="22" t="str">
        <f>HYPERLINK("https://pbs.twimg.com/profile_images/769835182048284672/mJQJt196_normal.jpg","View")</f>
        <v>View</v>
      </c>
      <c r="P1316" s="27" t="str">
        <f>HYPERLINK("https://ctrlq.org/maps/address/#28.47760935,-16.43820379","Map")</f>
        <v>#ERROR!</v>
      </c>
    </row>
    <row r="1317">
      <c r="A1317" s="19">
        <v>42708.69592592593</v>
      </c>
      <c r="B1317" s="20" t="str">
        <f>HYPERLINK("https://twitter.com/JazzyDolphin","@JazzyDolphin")</f>
        <v>@JazzyDolphin</v>
      </c>
      <c r="C1317" s="21" t="s">
        <v>2637</v>
      </c>
      <c r="D1317" s="21" t="s">
        <v>2638</v>
      </c>
      <c r="E1317" s="22" t="str">
        <f>HYPERLINK("https://twitter.com/JazzyDolphin/status/805452135211106306","805452135211106306")</f>
        <v>805452135211106306</v>
      </c>
      <c r="F1317" s="23" t="s">
        <v>37</v>
      </c>
      <c r="G1317" s="24">
        <v>2430.0</v>
      </c>
      <c r="H1317" s="24">
        <v>2219.0</v>
      </c>
      <c r="I1317" s="24">
        <v>11.0</v>
      </c>
      <c r="J1317" s="24">
        <v>2.0</v>
      </c>
      <c r="K1317" s="23" t="s">
        <v>27</v>
      </c>
      <c r="L1317" s="25">
        <v>41264.98373842593</v>
      </c>
      <c r="M1317" s="28"/>
      <c r="N1317" s="26" t="s">
        <v>2639</v>
      </c>
      <c r="O1317" s="22" t="str">
        <f>HYPERLINK("https://pbs.twimg.com/profile_images/804759746741997569/RcyEsAed_normal.jpg","View")</f>
        <v>View</v>
      </c>
      <c r="P1317" s="27"/>
    </row>
    <row r="1318">
      <c r="A1318" s="19">
        <v>42708.70306712963</v>
      </c>
      <c r="B1318" s="20" t="str">
        <f>HYPERLINK("https://twitter.com/RakheeV","@RakheeV")</f>
        <v>@RakheeV</v>
      </c>
      <c r="C1318" s="21" t="s">
        <v>1240</v>
      </c>
      <c r="D1318" s="21" t="s">
        <v>2640</v>
      </c>
      <c r="E1318" s="22" t="str">
        <f>HYPERLINK("https://twitter.com/RakheeV/status/805454723314688000","805454723314688000")</f>
        <v>805454723314688000</v>
      </c>
      <c r="F1318" s="23" t="s">
        <v>81</v>
      </c>
      <c r="G1318" s="24">
        <v>1489.0</v>
      </c>
      <c r="H1318" s="24">
        <v>2605.0</v>
      </c>
      <c r="I1318" s="24">
        <v>0.0</v>
      </c>
      <c r="J1318" s="24">
        <v>0.0</v>
      </c>
      <c r="K1318" s="23" t="s">
        <v>27</v>
      </c>
      <c r="L1318" s="25">
        <v>40921.93</v>
      </c>
      <c r="M1318" s="26" t="s">
        <v>1172</v>
      </c>
      <c r="N1318" s="26" t="s">
        <v>1242</v>
      </c>
      <c r="O1318" s="22" t="str">
        <f>HYPERLINK("https://pbs.twimg.com/profile_images/742026136801161217/evJgSUlG_normal.jpg","View")</f>
        <v>View</v>
      </c>
      <c r="P1318" s="27" t="str">
        <f>HYPERLINK("https://ctrlq.org/maps/address/#28.268611,-16.605556","Map")</f>
        <v>#ERROR!</v>
      </c>
    </row>
    <row r="1319">
      <c r="A1319" s="19">
        <v>42708.713587962964</v>
      </c>
      <c r="B1319" s="20" t="str">
        <f>HYPERLINK("https://twitter.com/h0t_p0ppy","@h0t_p0ppy")</f>
        <v>@h0t_p0ppy</v>
      </c>
      <c r="C1319" s="21" t="s">
        <v>2641</v>
      </c>
      <c r="D1319" s="21" t="s">
        <v>2642</v>
      </c>
      <c r="E1319" s="22" t="str">
        <f>HYPERLINK("https://twitter.com/h0t_p0ppy/status/805458535303757824","805458535303757824")</f>
        <v>805458535303757824</v>
      </c>
      <c r="F1319" s="23" t="s">
        <v>37</v>
      </c>
      <c r="G1319" s="24">
        <v>12439.0</v>
      </c>
      <c r="H1319" s="24">
        <v>3685.0</v>
      </c>
      <c r="I1319" s="24">
        <v>11.0</v>
      </c>
      <c r="J1319" s="24">
        <v>0.0</v>
      </c>
      <c r="K1319" s="23" t="s">
        <v>27</v>
      </c>
      <c r="L1319" s="25">
        <v>41663.359305555554</v>
      </c>
      <c r="M1319" s="26" t="s">
        <v>2643</v>
      </c>
      <c r="N1319" s="26" t="s">
        <v>2644</v>
      </c>
      <c r="O1319" s="22" t="str">
        <f>HYPERLINK("https://pbs.twimg.com/profile_images/804059470024343552/WjZtIkue_normal.jpg","View")</f>
        <v>View</v>
      </c>
      <c r="P1319" s="27"/>
    </row>
    <row r="1320">
      <c r="A1320" s="19">
        <v>42708.71376157408</v>
      </c>
      <c r="B1320" s="20" t="str">
        <f>HYPERLINK("https://twitter.com/thelondonboys11","@thelondonboys11")</f>
        <v>@thelondonboys11</v>
      </c>
      <c r="C1320" s="21" t="s">
        <v>2645</v>
      </c>
      <c r="D1320" s="21" t="s">
        <v>2642</v>
      </c>
      <c r="E1320" s="22" t="str">
        <f>HYPERLINK("https://twitter.com/thelondonboys11/status/805458601422848001","805458601422848001")</f>
        <v>805458601422848001</v>
      </c>
      <c r="F1320" s="23" t="s">
        <v>41</v>
      </c>
      <c r="G1320" s="24">
        <v>1188.0</v>
      </c>
      <c r="H1320" s="24">
        <v>808.0</v>
      </c>
      <c r="I1320" s="24">
        <v>11.0</v>
      </c>
      <c r="J1320" s="24">
        <v>0.0</v>
      </c>
      <c r="K1320" s="23" t="s">
        <v>27</v>
      </c>
      <c r="L1320" s="25">
        <v>41966.93902777778</v>
      </c>
      <c r="M1320" s="28"/>
      <c r="N1320" s="26" t="s">
        <v>2646</v>
      </c>
      <c r="O1320" s="22" t="str">
        <f>HYPERLINK("https://pbs.twimg.com/profile_images/785232011493453824/MNGTz8V3_normal.jpg","View")</f>
        <v>View</v>
      </c>
      <c r="P1320" s="27"/>
    </row>
    <row r="1321">
      <c r="A1321" s="19">
        <v>42708.71565972222</v>
      </c>
      <c r="B1321" s="20" t="str">
        <f>HYPERLINK("https://twitter.com/YarosisNancy","@YarosisNancy")</f>
        <v>@YarosisNancy</v>
      </c>
      <c r="C1321" s="21" t="s">
        <v>2647</v>
      </c>
      <c r="D1321" s="21" t="s">
        <v>2642</v>
      </c>
      <c r="E1321" s="22" t="str">
        <f>HYPERLINK("https://twitter.com/YarosisNancy/status/805459287795449856","805459287795449856")</f>
        <v>805459287795449856</v>
      </c>
      <c r="F1321" s="23" t="s">
        <v>41</v>
      </c>
      <c r="G1321" s="24">
        <v>1992.0</v>
      </c>
      <c r="H1321" s="24">
        <v>2610.0</v>
      </c>
      <c r="I1321" s="24">
        <v>11.0</v>
      </c>
      <c r="J1321" s="24">
        <v>0.0</v>
      </c>
      <c r="K1321" s="23" t="s">
        <v>27</v>
      </c>
      <c r="L1321" s="25">
        <v>42580.983298611114</v>
      </c>
      <c r="M1321" s="26" t="s">
        <v>2648</v>
      </c>
      <c r="N1321" s="26" t="s">
        <v>2649</v>
      </c>
      <c r="O1321" s="22" t="str">
        <f>HYPERLINK("https://pbs.twimg.com/profile_images/806113266309025792/JlxN2-88_normal.jpg","View")</f>
        <v>View</v>
      </c>
      <c r="P1321" s="27"/>
    </row>
    <row r="1322">
      <c r="A1322" s="19">
        <v>42708.72042824074</v>
      </c>
      <c r="B1322" s="20" t="str">
        <f>HYPERLINK("https://twitter.com/Protect_Dolphin","@Protect_Dolphin")</f>
        <v>@Protect_Dolphin</v>
      </c>
      <c r="C1322" s="21" t="s">
        <v>2650</v>
      </c>
      <c r="D1322" s="21" t="s">
        <v>2642</v>
      </c>
      <c r="E1322" s="22" t="str">
        <f>HYPERLINK("https://twitter.com/Protect_Dolphin/status/805461016041684992","805461016041684992")</f>
        <v>805461016041684992</v>
      </c>
      <c r="F1322" s="23" t="s">
        <v>37</v>
      </c>
      <c r="G1322" s="24">
        <v>1105.0</v>
      </c>
      <c r="H1322" s="24">
        <v>1103.0</v>
      </c>
      <c r="I1322" s="24">
        <v>11.0</v>
      </c>
      <c r="J1322" s="24">
        <v>0.0</v>
      </c>
      <c r="K1322" s="23" t="s">
        <v>27</v>
      </c>
      <c r="L1322" s="25">
        <v>42243.75741898148</v>
      </c>
      <c r="M1322" s="28"/>
      <c r="N1322" s="26" t="s">
        <v>2651</v>
      </c>
      <c r="O1322" s="22" t="str">
        <f>HYPERLINK("https://pbs.twimg.com/profile_images/805404186519212032/7VwIDksX_normal.jpg","View")</f>
        <v>View</v>
      </c>
      <c r="P1322" s="27"/>
    </row>
    <row r="1323">
      <c r="A1323" s="19">
        <v>42708.72149305556</v>
      </c>
      <c r="B1323" s="20" t="str">
        <f>HYPERLINK("https://twitter.com/TomcatJerry","@TomcatJerry")</f>
        <v>@TomcatJerry</v>
      </c>
      <c r="C1323" s="21" t="s">
        <v>2652</v>
      </c>
      <c r="D1323" s="21" t="s">
        <v>2642</v>
      </c>
      <c r="E1323" s="22" t="str">
        <f>HYPERLINK("https://twitter.com/TomcatJerry/status/805461402496495616","805461402496495616")</f>
        <v>805461402496495616</v>
      </c>
      <c r="F1323" s="23" t="s">
        <v>41</v>
      </c>
      <c r="G1323" s="24">
        <v>1138.0</v>
      </c>
      <c r="H1323" s="24">
        <v>1134.0</v>
      </c>
      <c r="I1323" s="24">
        <v>11.0</v>
      </c>
      <c r="J1323" s="24">
        <v>0.0</v>
      </c>
      <c r="K1323" s="23" t="s">
        <v>27</v>
      </c>
      <c r="L1323" s="25">
        <v>40783.61834490741</v>
      </c>
      <c r="M1323" s="26" t="s">
        <v>2653</v>
      </c>
      <c r="N1323" s="26" t="s">
        <v>2654</v>
      </c>
      <c r="O1323" s="22" t="str">
        <f>HYPERLINK("https://pbs.twimg.com/profile_images/378800000565882971/a6db081617bdd2a5af3a55ff82bfa6d0_normal.jpeg","View")</f>
        <v>View</v>
      </c>
      <c r="P1323" s="27"/>
    </row>
    <row r="1324">
      <c r="A1324" s="19">
        <v>42708.723078703704</v>
      </c>
      <c r="B1324" s="20" t="str">
        <f>HYPERLINK("https://twitter.com/AniroC_2","@AniroC_2")</f>
        <v>@AniroC_2</v>
      </c>
      <c r="C1324" s="21" t="s">
        <v>2655</v>
      </c>
      <c r="D1324" s="21" t="s">
        <v>2642</v>
      </c>
      <c r="E1324" s="22" t="str">
        <f>HYPERLINK("https://twitter.com/AniroC_2/status/805461977736871936","805461977736871936")</f>
        <v>805461977736871936</v>
      </c>
      <c r="F1324" s="23" t="s">
        <v>90</v>
      </c>
      <c r="G1324" s="24">
        <v>2017.0</v>
      </c>
      <c r="H1324" s="24">
        <v>1625.0</v>
      </c>
      <c r="I1324" s="24">
        <v>11.0</v>
      </c>
      <c r="J1324" s="24">
        <v>0.0</v>
      </c>
      <c r="K1324" s="23" t="s">
        <v>27</v>
      </c>
      <c r="L1324" s="25">
        <v>41389.78486111111</v>
      </c>
      <c r="M1324" s="28"/>
      <c r="N1324" s="26" t="s">
        <v>2656</v>
      </c>
      <c r="O1324" s="22" t="str">
        <f>HYPERLINK("https://pbs.twimg.com/profile_images/804764320219406337/2jRRwO___normal.jpg","View")</f>
        <v>View</v>
      </c>
      <c r="P1324" s="27"/>
    </row>
    <row r="1325">
      <c r="A1325" s="19">
        <v>42708.724641203706</v>
      </c>
      <c r="B1325" s="20" t="str">
        <f>HYPERLINK("https://twitter.com/Pacojonnes","@Pacojonnes")</f>
        <v>@Pacojonnes</v>
      </c>
      <c r="C1325" s="21" t="s">
        <v>2657</v>
      </c>
      <c r="D1325" s="21" t="s">
        <v>2405</v>
      </c>
      <c r="E1325" s="22" t="str">
        <f>HYPERLINK("https://twitter.com/Pacojonnes/status/805462541631705088","805462541631705088")</f>
        <v>805462541631705088</v>
      </c>
      <c r="F1325" s="23" t="s">
        <v>1377</v>
      </c>
      <c r="G1325" s="24">
        <v>11.0</v>
      </c>
      <c r="H1325" s="24">
        <v>137.0</v>
      </c>
      <c r="I1325" s="24">
        <v>40.0</v>
      </c>
      <c r="J1325" s="24">
        <v>0.0</v>
      </c>
      <c r="K1325" s="23" t="s">
        <v>27</v>
      </c>
      <c r="L1325" s="25">
        <v>40360.371562500004</v>
      </c>
      <c r="M1325" s="28"/>
      <c r="N1325" s="28"/>
      <c r="O1325" s="22" t="str">
        <f>HYPERLINK("https://abs.twimg.com/sticky/default_profile_images/default_profile_6_normal.png","View")</f>
        <v>View</v>
      </c>
      <c r="P1325" s="27"/>
    </row>
    <row r="1326">
      <c r="A1326" s="19">
        <v>42708.73305555555</v>
      </c>
      <c r="B1326" s="20" t="str">
        <f>HYPERLINK("https://twitter.com/HineMathieu","@HineMathieu")</f>
        <v>@HineMathieu</v>
      </c>
      <c r="C1326" s="21" t="s">
        <v>2658</v>
      </c>
      <c r="D1326" s="21" t="s">
        <v>1874</v>
      </c>
      <c r="E1326" s="22" t="str">
        <f>HYPERLINK("https://twitter.com/HineMathieu/status/805465590957740032","805465590957740032")</f>
        <v>805465590957740032</v>
      </c>
      <c r="F1326" s="23" t="s">
        <v>26</v>
      </c>
      <c r="G1326" s="24">
        <v>46.0</v>
      </c>
      <c r="H1326" s="24">
        <v>94.0</v>
      </c>
      <c r="I1326" s="24">
        <v>92.0</v>
      </c>
      <c r="J1326" s="24">
        <v>0.0</v>
      </c>
      <c r="K1326" s="23" t="s">
        <v>27</v>
      </c>
      <c r="L1326" s="25">
        <v>40950.4093287037</v>
      </c>
      <c r="M1326" s="28"/>
      <c r="N1326" s="28"/>
      <c r="O1326" s="22" t="str">
        <f>HYPERLINK("https://pbs.twimg.com/profile_images/686294757140770818/FcZn6ACh_normal.jpg","View")</f>
        <v>View</v>
      </c>
      <c r="P1326" s="27"/>
    </row>
    <row r="1327">
      <c r="A1327" s="19">
        <v>42708.75023148148</v>
      </c>
      <c r="B1327" s="20" t="str">
        <f>HYPERLINK("https://twitter.com/wineblogman","@wineblogman")</f>
        <v>@wineblogman</v>
      </c>
      <c r="C1327" s="21" t="s">
        <v>2659</v>
      </c>
      <c r="D1327" s="21" t="s">
        <v>2660</v>
      </c>
      <c r="E1327" s="22" t="str">
        <f>HYPERLINK("https://twitter.com/wineblogman/status/805471816093343744","805471816093343744")</f>
        <v>805471816093343744</v>
      </c>
      <c r="F1327" s="23" t="s">
        <v>37</v>
      </c>
      <c r="G1327" s="24">
        <v>8118.0</v>
      </c>
      <c r="H1327" s="24">
        <v>6038.0</v>
      </c>
      <c r="I1327" s="24">
        <v>0.0</v>
      </c>
      <c r="J1327" s="24">
        <v>0.0</v>
      </c>
      <c r="K1327" s="23" t="s">
        <v>27</v>
      </c>
      <c r="L1327" s="25">
        <v>40413.80304398148</v>
      </c>
      <c r="M1327" s="26" t="s">
        <v>2661</v>
      </c>
      <c r="N1327" s="26" t="s">
        <v>2662</v>
      </c>
      <c r="O1327" s="22" t="str">
        <f>HYPERLINK("https://pbs.twimg.com/profile_images/1193582720/W_cellar_inside.Twit_normal.jpg","View")</f>
        <v>View</v>
      </c>
      <c r="P1327" s="27"/>
    </row>
    <row r="1328">
      <c r="A1328" s="19">
        <v>42708.780231481476</v>
      </c>
      <c r="B1328" s="20" t="str">
        <f>HYPERLINK("https://twitter.com/snookie66","@snookie66")</f>
        <v>@snookie66</v>
      </c>
      <c r="C1328" s="21" t="s">
        <v>1572</v>
      </c>
      <c r="D1328" s="21" t="s">
        <v>2663</v>
      </c>
      <c r="E1328" s="22" t="str">
        <f>HYPERLINK("https://twitter.com/snookie66/status/805482687142182912","805482687142182912")</f>
        <v>805482687142182912</v>
      </c>
      <c r="F1328" s="23" t="s">
        <v>41</v>
      </c>
      <c r="G1328" s="24">
        <v>33.0</v>
      </c>
      <c r="H1328" s="24">
        <v>62.0</v>
      </c>
      <c r="I1328" s="24">
        <v>3.0</v>
      </c>
      <c r="J1328" s="24">
        <v>0.0</v>
      </c>
      <c r="K1328" s="23" t="s">
        <v>27</v>
      </c>
      <c r="L1328" s="25">
        <v>40753.74880787037</v>
      </c>
      <c r="M1328" s="28"/>
      <c r="N1328" s="28"/>
      <c r="O1328" s="22" t="str">
        <f>HYPERLINK("https://abs.twimg.com/sticky/default_profile_images/default_profile_5_normal.png","View")</f>
        <v>View</v>
      </c>
      <c r="P1328" s="27"/>
    </row>
    <row r="1329">
      <c r="A1329" s="19">
        <v>42708.78148148148</v>
      </c>
      <c r="B1329" s="20" t="str">
        <f>HYPERLINK("https://twitter.com/AlexBramwellGC","@AlexBramwellGC")</f>
        <v>@AlexBramwellGC</v>
      </c>
      <c r="C1329" s="21" t="s">
        <v>475</v>
      </c>
      <c r="D1329" s="21" t="s">
        <v>2664</v>
      </c>
      <c r="E1329" s="22" t="str">
        <f>HYPERLINK("https://twitter.com/AlexBramwellGC/status/805483142031228928","805483142031228928")</f>
        <v>805483142031228928</v>
      </c>
      <c r="F1329" s="23" t="s">
        <v>81</v>
      </c>
      <c r="G1329" s="24">
        <v>4023.0</v>
      </c>
      <c r="H1329" s="24">
        <v>2573.0</v>
      </c>
      <c r="I1329" s="24">
        <v>0.0</v>
      </c>
      <c r="J1329" s="24">
        <v>1.0</v>
      </c>
      <c r="K1329" s="23" t="s">
        <v>27</v>
      </c>
      <c r="L1329" s="25">
        <v>40233.01298611111</v>
      </c>
      <c r="M1329" s="26" t="s">
        <v>477</v>
      </c>
      <c r="N1329" s="26" t="s">
        <v>478</v>
      </c>
      <c r="O1329" s="22" t="str">
        <f>HYPERLINK("https://pbs.twimg.com/profile_images/657142929920794624/Z8UQpOEp_normal.jpg","View")</f>
        <v>View</v>
      </c>
      <c r="P1329" s="27" t="str">
        <f t="shared" ref="P1329:P1330" si="142">HYPERLINK("https://ctrlq.org/maps/address/#28.0833,-16.6333","Map")</f>
        <v>#ERROR!</v>
      </c>
    </row>
    <row r="1330">
      <c r="A1330" s="19">
        <v>42708.7830787037</v>
      </c>
      <c r="B1330" s="20" t="str">
        <f>HYPERLINK("https://twitter.com/AlexeevKyrill","@AlexeevKyrill")</f>
        <v>@AlexeevKyrill</v>
      </c>
      <c r="C1330" s="21" t="s">
        <v>1000</v>
      </c>
      <c r="D1330" s="21" t="s">
        <v>2665</v>
      </c>
      <c r="E1330" s="22" t="str">
        <f>HYPERLINK("https://twitter.com/AlexeevKyrill/status/805483717825363970","805483717825363970")</f>
        <v>805483717825363970</v>
      </c>
      <c r="F1330" s="23" t="s">
        <v>81</v>
      </c>
      <c r="G1330" s="24">
        <v>41.0</v>
      </c>
      <c r="H1330" s="24">
        <v>103.0</v>
      </c>
      <c r="I1330" s="24">
        <v>0.0</v>
      </c>
      <c r="J1330" s="24">
        <v>0.0</v>
      </c>
      <c r="K1330" s="23" t="s">
        <v>27</v>
      </c>
      <c r="L1330" s="25">
        <v>41018.463483796295</v>
      </c>
      <c r="M1330" s="26" t="s">
        <v>279</v>
      </c>
      <c r="N1330" s="28"/>
      <c r="O1330" s="22" t="str">
        <f>HYPERLINK("https://pbs.twimg.com/profile_images/486152080852537345/VYETXSc__normal.jpeg","View")</f>
        <v>View</v>
      </c>
      <c r="P1330" s="27" t="str">
        <f t="shared" si="142"/>
        <v>#ERROR!</v>
      </c>
    </row>
    <row r="1331">
      <c r="A1331" s="19">
        <v>42708.8134375</v>
      </c>
      <c r="B1331" s="20" t="str">
        <f>HYPERLINK("https://twitter.com/StyleAt30","@StyleAt30")</f>
        <v>@StyleAt30</v>
      </c>
      <c r="C1331" s="21" t="s">
        <v>873</v>
      </c>
      <c r="D1331" s="21" t="s">
        <v>2666</v>
      </c>
      <c r="E1331" s="22" t="str">
        <f>HYPERLINK("https://twitter.com/StyleAt30/status/805494722345238528","805494722345238528")</f>
        <v>805494722345238528</v>
      </c>
      <c r="F1331" s="23" t="s">
        <v>81</v>
      </c>
      <c r="G1331" s="24">
        <v>539.0</v>
      </c>
      <c r="H1331" s="24">
        <v>154.0</v>
      </c>
      <c r="I1331" s="24">
        <v>0.0</v>
      </c>
      <c r="J1331" s="24">
        <v>0.0</v>
      </c>
      <c r="K1331" s="23" t="s">
        <v>27</v>
      </c>
      <c r="L1331" s="25">
        <v>41130.00921296296</v>
      </c>
      <c r="M1331" s="28"/>
      <c r="N1331" s="26" t="s">
        <v>875</v>
      </c>
      <c r="O1331" s="22" t="str">
        <f>HYPERLINK("https://pbs.twimg.com/profile_images/2483491820/Fotosiamo_Green_Dress_Style_At_30_normal.jpg","View")</f>
        <v>View</v>
      </c>
      <c r="P1331" s="27"/>
    </row>
    <row r="1332">
      <c r="A1332" s="19">
        <v>42708.83111111111</v>
      </c>
      <c r="B1332" s="20" t="str">
        <f>HYPERLINK("https://twitter.com/SmarkApps","@SmarkApps")</f>
        <v>@SmarkApps</v>
      </c>
      <c r="C1332" s="21" t="s">
        <v>2463</v>
      </c>
      <c r="D1332" s="21" t="s">
        <v>2667</v>
      </c>
      <c r="E1332" s="22" t="str">
        <f>HYPERLINK("https://twitter.com/SmarkApps/status/805501123788423168","805501123788423168")</f>
        <v>805501123788423168</v>
      </c>
      <c r="F1332" s="23" t="s">
        <v>81</v>
      </c>
      <c r="G1332" s="24">
        <v>1869.0</v>
      </c>
      <c r="H1332" s="24">
        <v>1391.0</v>
      </c>
      <c r="I1332" s="24">
        <v>0.0</v>
      </c>
      <c r="J1332" s="24">
        <v>0.0</v>
      </c>
      <c r="K1332" s="23" t="s">
        <v>27</v>
      </c>
      <c r="L1332" s="25">
        <v>40471.87634259259</v>
      </c>
      <c r="M1332" s="26" t="s">
        <v>55</v>
      </c>
      <c r="N1332" s="26" t="s">
        <v>2465</v>
      </c>
      <c r="O1332" s="22" t="str">
        <f>HYPERLINK("https://pbs.twimg.com/profile_images/1185913189/logo_smark_normal.png","View")</f>
        <v>View</v>
      </c>
      <c r="P1332" s="27"/>
    </row>
    <row r="1333">
      <c r="A1333" s="19">
        <v>42708.84918981481</v>
      </c>
      <c r="B1333" s="20" t="str">
        <f>HYPERLINK("https://twitter.com/GranCanLocal","@GranCanLocal")</f>
        <v>@GranCanLocal</v>
      </c>
      <c r="C1333" s="21" t="s">
        <v>865</v>
      </c>
      <c r="D1333" s="21" t="s">
        <v>2668</v>
      </c>
      <c r="E1333" s="22" t="str">
        <f>HYPERLINK("https://twitter.com/GranCanLocal/status/805507676448890885","805507676448890885")</f>
        <v>805507676448890885</v>
      </c>
      <c r="F1333" s="23" t="s">
        <v>37</v>
      </c>
      <c r="G1333" s="24">
        <v>2365.0</v>
      </c>
      <c r="H1333" s="24">
        <v>784.0</v>
      </c>
      <c r="I1333" s="24">
        <v>1.0</v>
      </c>
      <c r="J1333" s="24">
        <v>6.0</v>
      </c>
      <c r="K1333" s="23" t="s">
        <v>27</v>
      </c>
      <c r="L1333" s="25">
        <v>41454.81314814815</v>
      </c>
      <c r="M1333" s="26" t="s">
        <v>109</v>
      </c>
      <c r="N1333" s="26" t="s">
        <v>867</v>
      </c>
      <c r="O1333" s="22" t="str">
        <f>HYPERLINK("https://pbs.twimg.com/profile_images/797869927004852225/JqQhI5Qc_normal.jpg","View")</f>
        <v>View</v>
      </c>
      <c r="P1333" s="27"/>
    </row>
    <row r="1334">
      <c r="A1334" s="19">
        <v>42708.8533912037</v>
      </c>
      <c r="B1334" s="20" t="str">
        <f>HYPERLINK("https://twitter.com/OrcaOnIceSkates","@OrcaOnIceSkates")</f>
        <v>@OrcaOnIceSkates</v>
      </c>
      <c r="C1334" s="21" t="s">
        <v>2669</v>
      </c>
      <c r="D1334" s="21" t="s">
        <v>2642</v>
      </c>
      <c r="E1334" s="22" t="str">
        <f>HYPERLINK("https://twitter.com/OrcaOnIceSkates/status/805509201304940546","805509201304940546")</f>
        <v>805509201304940546</v>
      </c>
      <c r="F1334" s="23" t="s">
        <v>41</v>
      </c>
      <c r="G1334" s="24">
        <v>5373.0</v>
      </c>
      <c r="H1334" s="24">
        <v>5389.0</v>
      </c>
      <c r="I1334" s="24">
        <v>11.0</v>
      </c>
      <c r="J1334" s="24">
        <v>0.0</v>
      </c>
      <c r="K1334" s="23" t="s">
        <v>27</v>
      </c>
      <c r="L1334" s="25">
        <v>41617.2527662037</v>
      </c>
      <c r="M1334" s="28"/>
      <c r="N1334" s="26" t="s">
        <v>2670</v>
      </c>
      <c r="O1334" s="22" t="str">
        <f>HYPERLINK("https://pbs.twimg.com/profile_images/378800000849151264/da08b223e536fd179afcc5a22369c863_normal.png","View")</f>
        <v>View</v>
      </c>
      <c r="P1334" s="27"/>
    </row>
    <row r="1335">
      <c r="A1335" s="19">
        <v>42708.87954861111</v>
      </c>
      <c r="B1335" s="20" t="str">
        <f>HYPERLINK("https://twitter.com/Selhso","@Selhso")</f>
        <v>@Selhso</v>
      </c>
      <c r="C1335" s="21" t="s">
        <v>194</v>
      </c>
      <c r="D1335" s="21" t="s">
        <v>2671</v>
      </c>
      <c r="E1335" s="22" t="str">
        <f>HYPERLINK("https://twitter.com/Selhso/status/805518679878336513","805518679878336513")</f>
        <v>805518679878336513</v>
      </c>
      <c r="F1335" s="23" t="s">
        <v>37</v>
      </c>
      <c r="G1335" s="24">
        <v>1615.0</v>
      </c>
      <c r="H1335" s="24">
        <v>1661.0</v>
      </c>
      <c r="I1335" s="24">
        <v>9.0</v>
      </c>
      <c r="J1335" s="24">
        <v>15.0</v>
      </c>
      <c r="K1335" s="23" t="s">
        <v>27</v>
      </c>
      <c r="L1335" s="25">
        <v>40372.68681712963</v>
      </c>
      <c r="M1335" s="26" t="s">
        <v>196</v>
      </c>
      <c r="N1335" s="26" t="s">
        <v>109</v>
      </c>
      <c r="O1335" s="22" t="str">
        <f>HYPERLINK("https://pbs.twimg.com/profile_images/800845512836579328/cKh_5hB2_normal.jpg","View")</f>
        <v>View</v>
      </c>
      <c r="P1335" s="27"/>
    </row>
    <row r="1336">
      <c r="A1336" s="19">
        <v>42708.87958333333</v>
      </c>
      <c r="B1336" s="20" t="str">
        <f>HYPERLINK("https://twitter.com/robintheranter","@robintheranter")</f>
        <v>@robintheranter</v>
      </c>
      <c r="C1336" s="21" t="s">
        <v>2672</v>
      </c>
      <c r="D1336" s="21" t="s">
        <v>2663</v>
      </c>
      <c r="E1336" s="22" t="str">
        <f>HYPERLINK("https://twitter.com/robintheranter/status/805518691085467648","805518691085467648")</f>
        <v>805518691085467648</v>
      </c>
      <c r="F1336" s="23" t="s">
        <v>41</v>
      </c>
      <c r="G1336" s="24">
        <v>365.0</v>
      </c>
      <c r="H1336" s="24">
        <v>407.0</v>
      </c>
      <c r="I1336" s="24">
        <v>3.0</v>
      </c>
      <c r="J1336" s="24">
        <v>0.0</v>
      </c>
      <c r="K1336" s="23" t="s">
        <v>27</v>
      </c>
      <c r="L1336" s="25">
        <v>41755.521689814814</v>
      </c>
      <c r="M1336" s="26" t="s">
        <v>2673</v>
      </c>
      <c r="N1336" s="26" t="s">
        <v>2674</v>
      </c>
      <c r="O1336" s="22" t="str">
        <f>HYPERLINK("https://pbs.twimg.com/profile_images/738694874569056257/GCHXlge6_normal.jpg","View")</f>
        <v>View</v>
      </c>
      <c r="P1336" s="27"/>
    </row>
    <row r="1337">
      <c r="A1337" s="19">
        <v>42708.879803240736</v>
      </c>
      <c r="B1337" s="20" t="str">
        <f>HYPERLINK("https://twitter.com/nubialonso","@nubialonso")</f>
        <v>@nubialonso</v>
      </c>
      <c r="C1337" s="21" t="s">
        <v>280</v>
      </c>
      <c r="D1337" s="21" t="s">
        <v>2675</v>
      </c>
      <c r="E1337" s="22" t="str">
        <f>HYPERLINK("https://twitter.com/nubialonso/status/805518770806681601","805518770806681601")</f>
        <v>805518770806681601</v>
      </c>
      <c r="F1337" s="23" t="s">
        <v>81</v>
      </c>
      <c r="G1337" s="24">
        <v>255.0</v>
      </c>
      <c r="H1337" s="24">
        <v>299.0</v>
      </c>
      <c r="I1337" s="24">
        <v>0.0</v>
      </c>
      <c r="J1337" s="24">
        <v>0.0</v>
      </c>
      <c r="K1337" s="23" t="s">
        <v>27</v>
      </c>
      <c r="L1337" s="25">
        <v>40635.622395833336</v>
      </c>
      <c r="M1337" s="26" t="s">
        <v>282</v>
      </c>
      <c r="N1337" s="26" t="s">
        <v>283</v>
      </c>
      <c r="O1337" s="22" t="str">
        <f>HYPERLINK("https://pbs.twimg.com/profile_images/642570754161287168/0z29K6ho_normal.jpg","View")</f>
        <v>View</v>
      </c>
      <c r="P1337" s="27" t="str">
        <f>HYPERLINK("https://ctrlq.org/maps/address/#28.459427,-16.254064","Map")</f>
        <v>#ERROR!</v>
      </c>
    </row>
    <row r="1338">
      <c r="A1338" s="19">
        <v>42708.880370370374</v>
      </c>
      <c r="B1338" s="20" t="str">
        <f>HYPERLINK("https://twitter.com/danybruch1181","@danybruch1181")</f>
        <v>@danybruch1181</v>
      </c>
      <c r="C1338" s="21" t="s">
        <v>2676</v>
      </c>
      <c r="D1338" s="21" t="s">
        <v>2677</v>
      </c>
      <c r="E1338" s="22" t="str">
        <f>HYPERLINK("https://twitter.com/danybruch1181/status/805518975572602881","805518975572602881")</f>
        <v>805518975572602881</v>
      </c>
      <c r="F1338" s="23" t="s">
        <v>81</v>
      </c>
      <c r="G1338" s="24">
        <v>83.0</v>
      </c>
      <c r="H1338" s="24">
        <v>7.0</v>
      </c>
      <c r="I1338" s="24">
        <v>0.0</v>
      </c>
      <c r="J1338" s="24">
        <v>0.0</v>
      </c>
      <c r="K1338" s="23" t="s">
        <v>27</v>
      </c>
      <c r="L1338" s="25">
        <v>41300.56182870371</v>
      </c>
      <c r="M1338" s="26" t="s">
        <v>2678</v>
      </c>
      <c r="N1338" s="28"/>
      <c r="O1338" s="22" t="str">
        <f>HYPERLINK("https://pbs.twimg.com/profile_images/794342741983502336/kn2y6I06_normal.jpg","View")</f>
        <v>View</v>
      </c>
      <c r="P1338" s="27"/>
    </row>
    <row r="1339">
      <c r="A1339" s="19">
        <v>42708.88565972222</v>
      </c>
      <c r="B1339" s="20" t="str">
        <f>HYPERLINK("https://twitter.com/LuxuryCanarias","@LuxuryCanarias")</f>
        <v>@LuxuryCanarias</v>
      </c>
      <c r="C1339" s="21" t="s">
        <v>1273</v>
      </c>
      <c r="D1339" s="21" t="s">
        <v>2679</v>
      </c>
      <c r="E1339" s="22" t="str">
        <f>HYPERLINK("https://twitter.com/LuxuryCanarias/status/805520894068191232","805520894068191232")</f>
        <v>805520894068191232</v>
      </c>
      <c r="F1339" s="23" t="s">
        <v>401</v>
      </c>
      <c r="G1339" s="24">
        <v>264.0</v>
      </c>
      <c r="H1339" s="24">
        <v>923.0</v>
      </c>
      <c r="I1339" s="24">
        <v>0.0</v>
      </c>
      <c r="J1339" s="24">
        <v>0.0</v>
      </c>
      <c r="K1339" s="23" t="s">
        <v>27</v>
      </c>
      <c r="L1339" s="25">
        <v>42380.85506944444</v>
      </c>
      <c r="M1339" s="28"/>
      <c r="N1339" s="26" t="s">
        <v>1275</v>
      </c>
      <c r="O1339" s="22" t="str">
        <f>HYPERLINK("https://pbs.twimg.com/profile_images/731824986965594112/1_vJDvBr_normal.jpg","View")</f>
        <v>View</v>
      </c>
      <c r="P1339" s="27"/>
    </row>
    <row r="1340">
      <c r="A1340" s="19">
        <v>42708.88931712963</v>
      </c>
      <c r="B1340" s="20" t="str">
        <f>HYPERLINK("https://twitter.com/visit_tenerife","@visit_tenerife")</f>
        <v>@visit_tenerife</v>
      </c>
      <c r="C1340" s="21" t="s">
        <v>2680</v>
      </c>
      <c r="D1340" s="21" t="s">
        <v>2681</v>
      </c>
      <c r="E1340" s="22" t="str">
        <f>HYPERLINK("https://twitter.com/visit_tenerife/status/805522219245961216","805522219245961216")</f>
        <v>805522219245961216</v>
      </c>
      <c r="F1340" s="23" t="s">
        <v>37</v>
      </c>
      <c r="G1340" s="24">
        <v>5603.0</v>
      </c>
      <c r="H1340" s="24">
        <v>930.0</v>
      </c>
      <c r="I1340" s="24">
        <v>1.0</v>
      </c>
      <c r="J1340" s="24">
        <v>0.0</v>
      </c>
      <c r="K1340" s="23" t="s">
        <v>27</v>
      </c>
      <c r="L1340" s="25">
        <v>40553.724745370375</v>
      </c>
      <c r="M1340" s="26" t="s">
        <v>2682</v>
      </c>
      <c r="N1340" s="26" t="s">
        <v>2683</v>
      </c>
      <c r="O1340" s="22" t="str">
        <f>HYPERLINK("https://pbs.twimg.com/profile_images/793915546278453248/AVpztABx_normal.jpg","View")</f>
        <v>View</v>
      </c>
      <c r="P1340" s="27"/>
    </row>
    <row r="1341">
      <c r="A1341" s="19">
        <v>42708.892534722225</v>
      </c>
      <c r="B1341" s="20" t="str">
        <f>HYPERLINK("https://twitter.com/islaspromo","@islaspromo")</f>
        <v>@islaspromo</v>
      </c>
      <c r="C1341" s="21" t="s">
        <v>215</v>
      </c>
      <c r="D1341" s="21" t="s">
        <v>1055</v>
      </c>
      <c r="E1341" s="22" t="str">
        <f>HYPERLINK("https://twitter.com/islaspromo/status/805523383500861441","805523383500861441")</f>
        <v>805523383500861441</v>
      </c>
      <c r="F1341" s="23" t="s">
        <v>41</v>
      </c>
      <c r="G1341" s="24">
        <v>785.0</v>
      </c>
      <c r="H1341" s="24">
        <v>591.0</v>
      </c>
      <c r="I1341" s="24">
        <v>9.0</v>
      </c>
      <c r="J1341" s="24">
        <v>0.0</v>
      </c>
      <c r="K1341" s="23" t="s">
        <v>27</v>
      </c>
      <c r="L1341" s="25">
        <v>42060.74221064815</v>
      </c>
      <c r="M1341" s="26" t="s">
        <v>51</v>
      </c>
      <c r="N1341" s="26" t="s">
        <v>216</v>
      </c>
      <c r="O1341" s="22" t="str">
        <f>HYPERLINK("https://pbs.twimg.com/profile_images/570644453866483712/dvbC2x8W_normal.jpeg","View")</f>
        <v>View</v>
      </c>
      <c r="P1341" s="27"/>
    </row>
    <row r="1342">
      <c r="A1342" s="19">
        <v>42708.89313657407</v>
      </c>
      <c r="B1342" s="20" t="str">
        <f>HYPERLINK("https://twitter.com/RLGieling","@RLGieling")</f>
        <v>@RLGieling</v>
      </c>
      <c r="C1342" s="21" t="s">
        <v>2303</v>
      </c>
      <c r="D1342" s="21" t="s">
        <v>2684</v>
      </c>
      <c r="E1342" s="22" t="str">
        <f>HYPERLINK("https://twitter.com/RLGieling/status/805523603596816384","805523603596816384")</f>
        <v>805523603596816384</v>
      </c>
      <c r="F1342" s="23" t="s">
        <v>81</v>
      </c>
      <c r="G1342" s="24">
        <v>1478.0</v>
      </c>
      <c r="H1342" s="24">
        <v>1183.0</v>
      </c>
      <c r="I1342" s="24">
        <v>0.0</v>
      </c>
      <c r="J1342" s="24">
        <v>0.0</v>
      </c>
      <c r="K1342" s="23" t="s">
        <v>27</v>
      </c>
      <c r="L1342" s="25">
        <v>40574.452731481484</v>
      </c>
      <c r="M1342" s="26" t="s">
        <v>2305</v>
      </c>
      <c r="N1342" s="26" t="s">
        <v>2306</v>
      </c>
      <c r="O1342" s="22" t="str">
        <f>HYPERLINK("https://pbs.twimg.com/profile_images/739040004022935556/1zrwUw2h_normal.jpg","View")</f>
        <v>View</v>
      </c>
      <c r="P1342" s="27"/>
    </row>
    <row r="1343">
      <c r="A1343" s="19">
        <v>42708.89351851852</v>
      </c>
      <c r="B1343" s="20" t="str">
        <f>HYPERLINK("https://twitter.com/omarnv","@omarnv")</f>
        <v>@omarnv</v>
      </c>
      <c r="C1343" s="21" t="s">
        <v>2685</v>
      </c>
      <c r="D1343" s="21" t="s">
        <v>2686</v>
      </c>
      <c r="E1343" s="22" t="str">
        <f>HYPERLINK("https://twitter.com/omarnv/status/805523743304982528","805523743304982528")</f>
        <v>805523743304982528</v>
      </c>
      <c r="F1343" s="23" t="s">
        <v>81</v>
      </c>
      <c r="G1343" s="24">
        <v>184.0</v>
      </c>
      <c r="H1343" s="24">
        <v>298.0</v>
      </c>
      <c r="I1343" s="24">
        <v>0.0</v>
      </c>
      <c r="J1343" s="24">
        <v>0.0</v>
      </c>
      <c r="K1343" s="23" t="s">
        <v>27</v>
      </c>
      <c r="L1343" s="25">
        <v>40157.51273148148</v>
      </c>
      <c r="M1343" s="26" t="s">
        <v>282</v>
      </c>
      <c r="N1343" s="26" t="s">
        <v>2687</v>
      </c>
      <c r="O1343" s="22" t="str">
        <f>HYPERLINK("https://pbs.twimg.com/profile_images/626717465242959872/ZB7k5xR2_normal.jpg","View")</f>
        <v>View</v>
      </c>
      <c r="P1343" s="27" t="str">
        <f t="shared" ref="P1343:P1344" si="143">HYPERLINK("https://ctrlq.org/maps/address/#28.44534,-16.46628","Map")</f>
        <v>#ERROR!</v>
      </c>
    </row>
    <row r="1344">
      <c r="A1344" s="19">
        <v>42708.896898148145</v>
      </c>
      <c r="B1344" s="20" t="str">
        <f>HYPERLINK("https://twitter.com/Sr_DONE","@Sr_DONE")</f>
        <v>@Sr_DONE</v>
      </c>
      <c r="C1344" s="21" t="s">
        <v>2358</v>
      </c>
      <c r="D1344" s="21" t="s">
        <v>2688</v>
      </c>
      <c r="E1344" s="22" t="str">
        <f>HYPERLINK("https://twitter.com/Sr_DONE/status/805524964526985216","805524964526985216")</f>
        <v>805524964526985216</v>
      </c>
      <c r="F1344" s="23" t="s">
        <v>81</v>
      </c>
      <c r="G1344" s="24">
        <v>1422.0</v>
      </c>
      <c r="H1344" s="24">
        <v>560.0</v>
      </c>
      <c r="I1344" s="24">
        <v>0.0</v>
      </c>
      <c r="J1344" s="24">
        <v>0.0</v>
      </c>
      <c r="K1344" s="23" t="s">
        <v>27</v>
      </c>
      <c r="L1344" s="25">
        <v>41547.7918287037</v>
      </c>
      <c r="M1344" s="26" t="s">
        <v>2360</v>
      </c>
      <c r="N1344" s="26" t="s">
        <v>2361</v>
      </c>
      <c r="O1344" s="22" t="str">
        <f>HYPERLINK("https://pbs.twimg.com/profile_images/800806075339571201/qxmzMAmf_normal.jpg","View")</f>
        <v>View</v>
      </c>
      <c r="P1344" s="27" t="str">
        <f t="shared" si="143"/>
        <v>#ERROR!</v>
      </c>
    </row>
    <row r="1345">
      <c r="A1345" s="19">
        <v>42708.907997685186</v>
      </c>
      <c r="B1345" s="20" t="str">
        <f>HYPERLINK("https://twitter.com/hotbootyy","@hotbootyy")</f>
        <v>@hotbootyy</v>
      </c>
      <c r="C1345" s="21" t="s">
        <v>2689</v>
      </c>
      <c r="D1345" s="21" t="s">
        <v>2642</v>
      </c>
      <c r="E1345" s="22" t="str">
        <f>HYPERLINK("https://twitter.com/hotbootyy/status/805528987363577861","805528987363577861")</f>
        <v>805528987363577861</v>
      </c>
      <c r="F1345" s="23" t="s">
        <v>26</v>
      </c>
      <c r="G1345" s="24">
        <v>838.0</v>
      </c>
      <c r="H1345" s="24">
        <v>873.0</v>
      </c>
      <c r="I1345" s="24">
        <v>11.0</v>
      </c>
      <c r="J1345" s="24">
        <v>0.0</v>
      </c>
      <c r="K1345" s="23" t="s">
        <v>27</v>
      </c>
      <c r="L1345" s="25">
        <v>40202.86105324074</v>
      </c>
      <c r="M1345" s="28"/>
      <c r="N1345" s="26" t="s">
        <v>2690</v>
      </c>
      <c r="O1345" s="22" t="str">
        <f>HYPERLINK("https://pbs.twimg.com/profile_images/803305462305292288/hljqW5YP_normal.jpg","View")</f>
        <v>View</v>
      </c>
      <c r="P1345" s="27"/>
    </row>
    <row r="1346">
      <c r="A1346" s="19">
        <v>42708.90855324074</v>
      </c>
      <c r="B1346" s="20" t="str">
        <f>HYPERLINK("https://twitter.com/stani320","@stani320")</f>
        <v>@stani320</v>
      </c>
      <c r="C1346" s="21" t="s">
        <v>2308</v>
      </c>
      <c r="D1346" s="21" t="s">
        <v>2691</v>
      </c>
      <c r="E1346" s="22" t="str">
        <f>HYPERLINK("https://twitter.com/stani320/status/805529188954505216","805529188954505216")</f>
        <v>805529188954505216</v>
      </c>
      <c r="F1346" s="23" t="s">
        <v>90</v>
      </c>
      <c r="G1346" s="24">
        <v>746.0</v>
      </c>
      <c r="H1346" s="24">
        <v>522.0</v>
      </c>
      <c r="I1346" s="24">
        <v>16.0</v>
      </c>
      <c r="J1346" s="24">
        <v>42.0</v>
      </c>
      <c r="K1346" s="23" t="s">
        <v>27</v>
      </c>
      <c r="L1346" s="25">
        <v>40572.34303240741</v>
      </c>
      <c r="M1346" s="26" t="s">
        <v>2310</v>
      </c>
      <c r="N1346" s="26" t="s">
        <v>2311</v>
      </c>
      <c r="O1346" s="22" t="str">
        <f>HYPERLINK("https://pbs.twimg.com/profile_images/597076476278788096/_4hbSxb7_normal.jpg","View")</f>
        <v>View</v>
      </c>
      <c r="P1346" s="27"/>
    </row>
    <row r="1347">
      <c r="A1347" s="19">
        <v>42708.90947916667</v>
      </c>
      <c r="B1347" s="20" t="str">
        <f>HYPERLINK("https://twitter.com/JabobH","@JabobH")</f>
        <v>@JabobH</v>
      </c>
      <c r="C1347" s="21" t="s">
        <v>2692</v>
      </c>
      <c r="D1347" s="21" t="s">
        <v>2693</v>
      </c>
      <c r="E1347" s="22" t="str">
        <f>HYPERLINK("https://twitter.com/JabobH/status/805529526772137984","805529526772137984")</f>
        <v>805529526772137984</v>
      </c>
      <c r="F1347" s="23" t="s">
        <v>26</v>
      </c>
      <c r="G1347" s="24">
        <v>293.0</v>
      </c>
      <c r="H1347" s="24">
        <v>289.0</v>
      </c>
      <c r="I1347" s="24">
        <v>16.0</v>
      </c>
      <c r="J1347" s="24">
        <v>0.0</v>
      </c>
      <c r="K1347" s="23" t="s">
        <v>27</v>
      </c>
      <c r="L1347" s="25">
        <v>41447.49185185185</v>
      </c>
      <c r="M1347" s="26" t="s">
        <v>282</v>
      </c>
      <c r="N1347" s="26" t="s">
        <v>2694</v>
      </c>
      <c r="O1347" s="22" t="str">
        <f>HYPERLINK("https://pbs.twimg.com/profile_images/748912489279156224/6AHDUzbS_normal.jpg","View")</f>
        <v>View</v>
      </c>
      <c r="P1347" s="27"/>
    </row>
    <row r="1348">
      <c r="A1348" s="19">
        <v>42708.91337962963</v>
      </c>
      <c r="B1348" s="20" t="str">
        <f>HYPERLINK("https://twitter.com/iBydaute","@iBydaute")</f>
        <v>@iBydaute</v>
      </c>
      <c r="C1348" s="21" t="s">
        <v>209</v>
      </c>
      <c r="D1348" s="21" t="s">
        <v>2695</v>
      </c>
      <c r="E1348" s="22" t="str">
        <f>HYPERLINK("https://twitter.com/iBydaute/status/805530937568018432","805530937568018432")</f>
        <v>805530937568018432</v>
      </c>
      <c r="F1348" s="23" t="s">
        <v>81</v>
      </c>
      <c r="G1348" s="24">
        <v>581.0</v>
      </c>
      <c r="H1348" s="24">
        <v>2037.0</v>
      </c>
      <c r="I1348" s="24">
        <v>0.0</v>
      </c>
      <c r="J1348" s="24">
        <v>0.0</v>
      </c>
      <c r="K1348" s="23" t="s">
        <v>27</v>
      </c>
      <c r="L1348" s="25">
        <v>39919.48771990741</v>
      </c>
      <c r="M1348" s="26" t="s">
        <v>211</v>
      </c>
      <c r="N1348" s="26" t="s">
        <v>212</v>
      </c>
      <c r="O1348" s="22" t="str">
        <f>HYPERLINK("https://pbs.twimg.com/profile_images/703743884745187328/qEMih7VE_normal.jpg","View")</f>
        <v>View</v>
      </c>
      <c r="P1348" s="27" t="str">
        <f>HYPERLINK("https://ctrlq.org/maps/address/#28.4686,-16.24987","Map")</f>
        <v>#ERROR!</v>
      </c>
    </row>
    <row r="1349">
      <c r="A1349" s="19">
        <v>42708.91855324074</v>
      </c>
      <c r="B1349" s="20" t="str">
        <f>HYPERLINK("https://twitter.com/MokaGonzalez_","@MokaGonzalez_")</f>
        <v>@MokaGonzalez_</v>
      </c>
      <c r="C1349" s="21" t="s">
        <v>967</v>
      </c>
      <c r="D1349" s="21" t="s">
        <v>2696</v>
      </c>
      <c r="E1349" s="22" t="str">
        <f>HYPERLINK("https://twitter.com/MokaGonzalez_/status/805532813877506054","805532813877506054")</f>
        <v>805532813877506054</v>
      </c>
      <c r="F1349" s="23" t="s">
        <v>41</v>
      </c>
      <c r="G1349" s="24">
        <v>167.0</v>
      </c>
      <c r="H1349" s="24">
        <v>115.0</v>
      </c>
      <c r="I1349" s="24">
        <v>5.0</v>
      </c>
      <c r="J1349" s="24">
        <v>25.0</v>
      </c>
      <c r="K1349" s="23" t="s">
        <v>27</v>
      </c>
      <c r="L1349" s="25">
        <v>42601.60578703704</v>
      </c>
      <c r="M1349" s="26" t="s">
        <v>969</v>
      </c>
      <c r="N1349" s="26" t="s">
        <v>970</v>
      </c>
      <c r="O1349" s="22" t="str">
        <f>HYPERLINK("https://pbs.twimg.com/profile_images/805759744292122624/GVNyopcr_normal.jpg","View")</f>
        <v>View</v>
      </c>
      <c r="P1349" s="27"/>
    </row>
    <row r="1350">
      <c r="A1350" s="19">
        <v>42708.91888888889</v>
      </c>
      <c r="B1350" s="20" t="str">
        <f>HYPERLINK("https://twitter.com/FranciscoMaeso","@FranciscoMaeso")</f>
        <v>@FranciscoMaeso</v>
      </c>
      <c r="C1350" s="21" t="s">
        <v>1970</v>
      </c>
      <c r="D1350" s="21" t="s">
        <v>2693</v>
      </c>
      <c r="E1350" s="22" t="str">
        <f>HYPERLINK("https://twitter.com/FranciscoMaeso/status/805532936531546112","805532936531546112")</f>
        <v>805532936531546112</v>
      </c>
      <c r="F1350" s="23" t="s">
        <v>26</v>
      </c>
      <c r="G1350" s="24">
        <v>740.0</v>
      </c>
      <c r="H1350" s="24">
        <v>1310.0</v>
      </c>
      <c r="I1350" s="24">
        <v>16.0</v>
      </c>
      <c r="J1350" s="24">
        <v>0.0</v>
      </c>
      <c r="K1350" s="23" t="s">
        <v>27</v>
      </c>
      <c r="L1350" s="25">
        <v>40828.60907407408</v>
      </c>
      <c r="M1350" s="26" t="s">
        <v>1971</v>
      </c>
      <c r="N1350" s="26" t="s">
        <v>1972</v>
      </c>
      <c r="O1350" s="22" t="str">
        <f>HYPERLINK("https://pbs.twimg.com/profile_images/479353826211033089/loQSm1n5_normal.jpeg","View")</f>
        <v>View</v>
      </c>
      <c r="P1350" s="27"/>
    </row>
    <row r="1351">
      <c r="A1351" s="19">
        <v>42708.920057870375</v>
      </c>
      <c r="B1351" s="20" t="str">
        <f>HYPERLINK("https://twitter.com/DaveDreamzx","@DaveDreamzx")</f>
        <v>@DaveDreamzx</v>
      </c>
      <c r="C1351" s="21" t="s">
        <v>2697</v>
      </c>
      <c r="D1351" s="21" t="s">
        <v>2698</v>
      </c>
      <c r="E1351" s="22" t="str">
        <f>HYPERLINK("https://twitter.com/DaveDreamzx/status/805533360722415616","805533360722415616")</f>
        <v>805533360722415616</v>
      </c>
      <c r="F1351" s="23" t="s">
        <v>81</v>
      </c>
      <c r="G1351" s="24">
        <v>420.0</v>
      </c>
      <c r="H1351" s="24">
        <v>651.0</v>
      </c>
      <c r="I1351" s="24">
        <v>0.0</v>
      </c>
      <c r="J1351" s="24">
        <v>0.0</v>
      </c>
      <c r="K1351" s="23" t="s">
        <v>27</v>
      </c>
      <c r="L1351" s="25">
        <v>39983.733090277776</v>
      </c>
      <c r="M1351" s="26" t="s">
        <v>238</v>
      </c>
      <c r="N1351" s="26" t="s">
        <v>2699</v>
      </c>
      <c r="O1351" s="22" t="str">
        <f>HYPERLINK("https://pbs.twimg.com/profile_images/797225536108040192/_He1ETZa_normal.jpg","View")</f>
        <v>View</v>
      </c>
      <c r="P1351" s="27" t="str">
        <f>HYPERLINK("https://ctrlq.org/maps/address/#28.73441259,-13.86857373","Map")</f>
        <v>#ERROR!</v>
      </c>
    </row>
    <row r="1352">
      <c r="A1352" s="19">
        <v>42708.920752314814</v>
      </c>
      <c r="B1352" s="20" t="str">
        <f>HYPERLINK("https://twitter.com/holyber","@holyber")</f>
        <v>@holyber</v>
      </c>
      <c r="C1352" s="21" t="s">
        <v>45</v>
      </c>
      <c r="D1352" s="21" t="s">
        <v>2700</v>
      </c>
      <c r="E1352" s="22" t="str">
        <f>HYPERLINK("https://twitter.com/holyber/status/805533608932937728","805533608932937728")</f>
        <v>805533608932937728</v>
      </c>
      <c r="F1352" s="23" t="s">
        <v>37</v>
      </c>
      <c r="G1352" s="24">
        <v>106410.0</v>
      </c>
      <c r="H1352" s="24">
        <v>94316.0</v>
      </c>
      <c r="I1352" s="24">
        <v>5.0</v>
      </c>
      <c r="J1352" s="24">
        <v>0.0</v>
      </c>
      <c r="K1352" s="23" t="s">
        <v>27</v>
      </c>
      <c r="L1352" s="25">
        <v>41144.80637731482</v>
      </c>
      <c r="M1352" s="26" t="s">
        <v>46</v>
      </c>
      <c r="N1352" s="26" t="s">
        <v>47</v>
      </c>
      <c r="O1352" s="22" t="str">
        <f>HYPERLINK("https://pbs.twimg.com/profile_images/475644614448123904/FiCl2pX4_normal.jpeg","View")</f>
        <v>View</v>
      </c>
      <c r="P1352" s="27"/>
    </row>
    <row r="1353">
      <c r="A1353" s="19">
        <v>42708.920960648145</v>
      </c>
      <c r="B1353" s="20" t="str">
        <f>HYPERLINK("https://twitter.com/DaveDreamzx","@DaveDreamzx")</f>
        <v>@DaveDreamzx</v>
      </c>
      <c r="C1353" s="21" t="s">
        <v>2697</v>
      </c>
      <c r="D1353" s="21" t="s">
        <v>2701</v>
      </c>
      <c r="E1353" s="22" t="str">
        <f>HYPERLINK("https://twitter.com/DaveDreamzx/status/805533684543746048","805533684543746048")</f>
        <v>805533684543746048</v>
      </c>
      <c r="F1353" s="23" t="s">
        <v>81</v>
      </c>
      <c r="G1353" s="24">
        <v>420.0</v>
      </c>
      <c r="H1353" s="24">
        <v>651.0</v>
      </c>
      <c r="I1353" s="24">
        <v>0.0</v>
      </c>
      <c r="J1353" s="24">
        <v>4.0</v>
      </c>
      <c r="K1353" s="23" t="s">
        <v>27</v>
      </c>
      <c r="L1353" s="25">
        <v>39983.733090277776</v>
      </c>
      <c r="M1353" s="26" t="s">
        <v>238</v>
      </c>
      <c r="N1353" s="26" t="s">
        <v>2699</v>
      </c>
      <c r="O1353" s="22" t="str">
        <f>HYPERLINK("https://pbs.twimg.com/profile_images/797225536108040192/_He1ETZa_normal.jpg","View")</f>
        <v>View</v>
      </c>
      <c r="P1353" s="27" t="str">
        <f>HYPERLINK("https://ctrlq.org/maps/address/#28.73441259,-13.86857373","Map")</f>
        <v>#ERROR!</v>
      </c>
    </row>
    <row r="1354">
      <c r="A1354" s="19">
        <v>42708.92517361111</v>
      </c>
      <c r="B1354" s="20" t="str">
        <f>HYPERLINK("https://twitter.com/LpaVisit","@LpaVisit")</f>
        <v>@LpaVisit</v>
      </c>
      <c r="C1354" s="21" t="s">
        <v>141</v>
      </c>
      <c r="D1354" s="21" t="s">
        <v>1055</v>
      </c>
      <c r="E1354" s="22" t="str">
        <f>HYPERLINK("https://twitter.com/LpaVisit/status/805535214030258177","805535214030258177")</f>
        <v>805535214030258177</v>
      </c>
      <c r="F1354" s="23" t="s">
        <v>37</v>
      </c>
      <c r="G1354" s="24">
        <v>9640.0</v>
      </c>
      <c r="H1354" s="24">
        <v>554.0</v>
      </c>
      <c r="I1354" s="24">
        <v>9.0</v>
      </c>
      <c r="J1354" s="24">
        <v>0.0</v>
      </c>
      <c r="K1354" s="23" t="s">
        <v>27</v>
      </c>
      <c r="L1354" s="25">
        <v>40866.561064814814</v>
      </c>
      <c r="M1354" s="26" t="s">
        <v>109</v>
      </c>
      <c r="N1354" s="26" t="s">
        <v>142</v>
      </c>
      <c r="O1354" s="22" t="str">
        <f>HYPERLINK("https://pbs.twimg.com/profile_images/656385242819907584/6_e-4aUc_normal.jpg","View")</f>
        <v>View</v>
      </c>
      <c r="P1354" s="27"/>
    </row>
    <row r="1355">
      <c r="A1355" s="19">
        <v>42708.92532407407</v>
      </c>
      <c r="B1355" s="20" t="str">
        <f>HYPERLINK("https://twitter.com/Salamanca_SSV","@Salamanca_SSV")</f>
        <v>@Salamanca_SSV</v>
      </c>
      <c r="C1355" s="21" t="s">
        <v>170</v>
      </c>
      <c r="D1355" s="21" t="s">
        <v>1055</v>
      </c>
      <c r="E1355" s="22" t="str">
        <f>HYPERLINK("https://twitter.com/Salamanca_SSV/status/805535266106642432","805535266106642432")</f>
        <v>805535266106642432</v>
      </c>
      <c r="F1355" s="23" t="s">
        <v>41</v>
      </c>
      <c r="G1355" s="24">
        <v>7240.0</v>
      </c>
      <c r="H1355" s="24">
        <v>7824.0</v>
      </c>
      <c r="I1355" s="24">
        <v>9.0</v>
      </c>
      <c r="J1355" s="24">
        <v>0.0</v>
      </c>
      <c r="K1355" s="23" t="s">
        <v>27</v>
      </c>
      <c r="L1355" s="25">
        <v>41317.78532407407</v>
      </c>
      <c r="M1355" s="26" t="s">
        <v>171</v>
      </c>
      <c r="N1355" s="26" t="s">
        <v>172</v>
      </c>
      <c r="O1355" s="22" t="str">
        <f>HYPERLINK("https://pbs.twimg.com/profile_images/3461850627/70f1c6c744e939681691ad3a09d64375_normal.png","View")</f>
        <v>View</v>
      </c>
      <c r="P1355" s="27"/>
    </row>
    <row r="1356">
      <c r="A1356" s="19">
        <v>42708.92836805555</v>
      </c>
      <c r="B1356" s="20" t="str">
        <f>HYPERLINK("https://twitter.com/paisajecanario","@paisajecanario")</f>
        <v>@paisajecanario</v>
      </c>
      <c r="C1356" s="21" t="s">
        <v>70</v>
      </c>
      <c r="D1356" s="21" t="s">
        <v>1055</v>
      </c>
      <c r="E1356" s="22" t="str">
        <f>HYPERLINK("https://twitter.com/paisajecanario/status/805536369896521729","805536369896521729")</f>
        <v>805536369896521729</v>
      </c>
      <c r="F1356" s="23" t="s">
        <v>26</v>
      </c>
      <c r="G1356" s="24">
        <v>13324.0</v>
      </c>
      <c r="H1356" s="24">
        <v>434.0</v>
      </c>
      <c r="I1356" s="24">
        <v>9.0</v>
      </c>
      <c r="J1356" s="24">
        <v>0.0</v>
      </c>
      <c r="K1356" s="23" t="s">
        <v>27</v>
      </c>
      <c r="L1356" s="25">
        <v>41815.714641203704</v>
      </c>
      <c r="M1356" s="26" t="s">
        <v>71</v>
      </c>
      <c r="N1356" s="26" t="s">
        <v>72</v>
      </c>
      <c r="O1356" s="22" t="str">
        <f>HYPERLINK("https://pbs.twimg.com/profile_images/789364630850240512/Mw90qAlM_normal.jpg","View")</f>
        <v>View</v>
      </c>
      <c r="P1356" s="27"/>
    </row>
    <row r="1357">
      <c r="A1357" s="19">
        <v>42708.93009259259</v>
      </c>
      <c r="B1357" s="20" t="str">
        <f>HYPERLINK("https://twitter.com/MarthaSandovalR","@MarthaSandovalR")</f>
        <v>@MarthaSandovalR</v>
      </c>
      <c r="C1357" s="21" t="s">
        <v>2702</v>
      </c>
      <c r="D1357" s="21" t="s">
        <v>1055</v>
      </c>
      <c r="E1357" s="22" t="str">
        <f>HYPERLINK("https://twitter.com/MarthaSandovalR/status/805536993551745029","805536993551745029")</f>
        <v>805536993551745029</v>
      </c>
      <c r="F1357" s="23" t="s">
        <v>26</v>
      </c>
      <c r="G1357" s="24">
        <v>6237.0</v>
      </c>
      <c r="H1357" s="24">
        <v>1161.0</v>
      </c>
      <c r="I1357" s="24">
        <v>9.0</v>
      </c>
      <c r="J1357" s="24">
        <v>0.0</v>
      </c>
      <c r="K1357" s="23" t="s">
        <v>27</v>
      </c>
      <c r="L1357" s="25">
        <v>40922.605416666665</v>
      </c>
      <c r="M1357" s="26" t="s">
        <v>2703</v>
      </c>
      <c r="N1357" s="26" t="s">
        <v>2704</v>
      </c>
      <c r="O1357" s="22" t="str">
        <f>HYPERLINK("https://pbs.twimg.com/profile_images/799807995517530113/95wfwtkN_normal.jpg","View")</f>
        <v>View</v>
      </c>
      <c r="P1357" s="27"/>
    </row>
    <row r="1358">
      <c r="A1358" s="19">
        <v>42708.93954861111</v>
      </c>
      <c r="B1358" s="20" t="str">
        <f>HYPERLINK("https://twitter.com/Tenerifelicidad","@Tenerifelicidad")</f>
        <v>@Tenerifelicidad</v>
      </c>
      <c r="C1358" s="21" t="s">
        <v>1002</v>
      </c>
      <c r="D1358" s="21" t="s">
        <v>2693</v>
      </c>
      <c r="E1358" s="22" t="str">
        <f>HYPERLINK("https://twitter.com/Tenerifelicidad/status/805540422776922112","805540422776922112")</f>
        <v>805540422776922112</v>
      </c>
      <c r="F1358" s="23" t="s">
        <v>1004</v>
      </c>
      <c r="G1358" s="24">
        <v>2707.0</v>
      </c>
      <c r="H1358" s="24">
        <v>2237.0</v>
      </c>
      <c r="I1358" s="24">
        <v>16.0</v>
      </c>
      <c r="J1358" s="24">
        <v>0.0</v>
      </c>
      <c r="K1358" s="23" t="s">
        <v>27</v>
      </c>
      <c r="L1358" s="25">
        <v>42495.64892361111</v>
      </c>
      <c r="M1358" s="26" t="s">
        <v>1005</v>
      </c>
      <c r="N1358" s="26" t="s">
        <v>1006</v>
      </c>
      <c r="O1358" s="22" t="str">
        <f>HYPERLINK("https://pbs.twimg.com/profile_images/776911721281781760/pyZR1pJ3_normal.jpg","View")</f>
        <v>View</v>
      </c>
      <c r="P1358" s="27"/>
    </row>
    <row r="1359">
      <c r="A1359" s="19">
        <v>42708.93972222222</v>
      </c>
      <c r="B1359" s="20" t="str">
        <f>HYPERLINK("https://twitter.com/holyber","@holyber")</f>
        <v>@holyber</v>
      </c>
      <c r="C1359" s="21" t="s">
        <v>45</v>
      </c>
      <c r="D1359" s="21" t="s">
        <v>1055</v>
      </c>
      <c r="E1359" s="22" t="str">
        <f>HYPERLINK("https://twitter.com/holyber/status/805540483892178944","805540483892178944")</f>
        <v>805540483892178944</v>
      </c>
      <c r="F1359" s="23" t="s">
        <v>41</v>
      </c>
      <c r="G1359" s="24">
        <v>106410.0</v>
      </c>
      <c r="H1359" s="24">
        <v>94316.0</v>
      </c>
      <c r="I1359" s="24">
        <v>9.0</v>
      </c>
      <c r="J1359" s="24">
        <v>0.0</v>
      </c>
      <c r="K1359" s="23" t="s">
        <v>27</v>
      </c>
      <c r="L1359" s="25">
        <v>41144.80637731482</v>
      </c>
      <c r="M1359" s="26" t="s">
        <v>46</v>
      </c>
      <c r="N1359" s="26" t="s">
        <v>47</v>
      </c>
      <c r="O1359" s="22" t="str">
        <f>HYPERLINK("https://pbs.twimg.com/profile_images/475644614448123904/FiCl2pX4_normal.jpeg","View")</f>
        <v>View</v>
      </c>
      <c r="P1359" s="27"/>
    </row>
    <row r="1360">
      <c r="A1360" s="19">
        <v>42708.94009259259</v>
      </c>
      <c r="B1360" s="20" t="str">
        <f>HYPERLINK("https://twitter.com/PaaAlonso","@PaaAlonso")</f>
        <v>@PaaAlonso</v>
      </c>
      <c r="C1360" s="21" t="s">
        <v>2705</v>
      </c>
      <c r="D1360" s="21" t="s">
        <v>2693</v>
      </c>
      <c r="E1360" s="22" t="str">
        <f>HYPERLINK("https://twitter.com/PaaAlonso/status/805540618483224576","805540618483224576")</f>
        <v>805540618483224576</v>
      </c>
      <c r="F1360" s="23" t="s">
        <v>41</v>
      </c>
      <c r="G1360" s="24">
        <v>1419.0</v>
      </c>
      <c r="H1360" s="24">
        <v>992.0</v>
      </c>
      <c r="I1360" s="24">
        <v>16.0</v>
      </c>
      <c r="J1360" s="24">
        <v>0.0</v>
      </c>
      <c r="K1360" s="23" t="s">
        <v>27</v>
      </c>
      <c r="L1360" s="25">
        <v>41099.66689814815</v>
      </c>
      <c r="M1360" s="26" t="s">
        <v>2706</v>
      </c>
      <c r="N1360" s="26" t="s">
        <v>2707</v>
      </c>
      <c r="O1360" s="22" t="str">
        <f>HYPERLINK("https://pbs.twimg.com/profile_images/805098483774590977/3KmJR92J_normal.jpg","View")</f>
        <v>View</v>
      </c>
      <c r="P1360" s="27"/>
    </row>
    <row r="1361">
      <c r="A1361" s="19">
        <v>42708.942199074074</v>
      </c>
      <c r="B1361" s="20" t="str">
        <f>HYPERLINK("https://twitter.com/LesRandosdeCaco","@LesRandosdeCaco")</f>
        <v>@LesRandosdeCaco</v>
      </c>
      <c r="C1361" s="21" t="s">
        <v>186</v>
      </c>
      <c r="D1361" s="21" t="s">
        <v>2708</v>
      </c>
      <c r="E1361" s="22" t="str">
        <f>HYPERLINK("https://twitter.com/LesRandosdeCaco/status/805541381808816132","805541381808816132")</f>
        <v>805541381808816132</v>
      </c>
      <c r="F1361" s="23" t="s">
        <v>41</v>
      </c>
      <c r="G1361" s="24">
        <v>7.0</v>
      </c>
      <c r="H1361" s="24">
        <v>57.0</v>
      </c>
      <c r="I1361" s="24">
        <v>0.0</v>
      </c>
      <c r="J1361" s="24">
        <v>0.0</v>
      </c>
      <c r="K1361" s="23" t="s">
        <v>27</v>
      </c>
      <c r="L1361" s="25">
        <v>41643.68407407407</v>
      </c>
      <c r="M1361" s="26" t="s">
        <v>188</v>
      </c>
      <c r="N1361" s="26" t="s">
        <v>189</v>
      </c>
      <c r="O1361" s="22" t="str">
        <f>HYPERLINK("https://pbs.twimg.com/profile_images/802073872866705408/wMHnHYch_normal.jpg","View")</f>
        <v>View</v>
      </c>
      <c r="P1361" s="27"/>
    </row>
    <row r="1362">
      <c r="A1362" s="19">
        <v>42708.943506944444</v>
      </c>
      <c r="B1362" s="20" t="str">
        <f>HYPERLINK("https://twitter.com/MariolaTNFGC84","@MariolaTNFGC84")</f>
        <v>@MariolaTNFGC84</v>
      </c>
      <c r="C1362" s="21" t="s">
        <v>385</v>
      </c>
      <c r="D1362" s="21" t="s">
        <v>1055</v>
      </c>
      <c r="E1362" s="22" t="str">
        <f>HYPERLINK("https://twitter.com/MariolaTNFGC84/status/805541855605784581","805541855605784581")</f>
        <v>805541855605784581</v>
      </c>
      <c r="F1362" s="23" t="s">
        <v>37</v>
      </c>
      <c r="G1362" s="24">
        <v>391.0</v>
      </c>
      <c r="H1362" s="24">
        <v>891.0</v>
      </c>
      <c r="I1362" s="24">
        <v>9.0</v>
      </c>
      <c r="J1362" s="24">
        <v>0.0</v>
      </c>
      <c r="K1362" s="23" t="s">
        <v>27</v>
      </c>
      <c r="L1362" s="25">
        <v>42181.55790509259</v>
      </c>
      <c r="M1362" s="28"/>
      <c r="N1362" s="28"/>
      <c r="O1362" s="22" t="str">
        <f>HYPERLINK("https://pbs.twimg.com/profile_images/765266327804190720/3kytWWcC_normal.jpg","View")</f>
        <v>View</v>
      </c>
      <c r="P1362" s="27"/>
    </row>
    <row r="1363">
      <c r="A1363" s="19">
        <v>42708.95888888889</v>
      </c>
      <c r="B1363" s="20" t="str">
        <f>HYPERLINK("https://twitter.com/staysure","@staysure")</f>
        <v>@staysure</v>
      </c>
      <c r="C1363" s="21" t="s">
        <v>1051</v>
      </c>
      <c r="D1363" s="21" t="s">
        <v>2709</v>
      </c>
      <c r="E1363" s="22" t="str">
        <f>HYPERLINK("https://twitter.com/staysure/status/805547429940629504","805547429940629504")</f>
        <v>805547429940629504</v>
      </c>
      <c r="F1363" s="23" t="s">
        <v>401</v>
      </c>
      <c r="G1363" s="24">
        <v>1797.0</v>
      </c>
      <c r="H1363" s="24">
        <v>1087.0</v>
      </c>
      <c r="I1363" s="24">
        <v>0.0</v>
      </c>
      <c r="J1363" s="24">
        <v>0.0</v>
      </c>
      <c r="K1363" s="23" t="s">
        <v>27</v>
      </c>
      <c r="L1363" s="25">
        <v>39839.43126157408</v>
      </c>
      <c r="M1363" s="26" t="s">
        <v>1053</v>
      </c>
      <c r="N1363" s="26" t="s">
        <v>1054</v>
      </c>
      <c r="O1363" s="22" t="str">
        <f>HYPERLINK("https://pbs.twimg.com/profile_images/458967659401330688/3F-D0CRc_normal.jpeg","View")</f>
        <v>View</v>
      </c>
      <c r="P1363" s="27"/>
    </row>
    <row r="1364">
      <c r="A1364" s="19">
        <v>42708.95952546297</v>
      </c>
      <c r="B1364" s="20" t="str">
        <f>HYPERLINK("https://twitter.com/Mari_Ramos_","@Mari_Ramos_")</f>
        <v>@Mari_Ramos_</v>
      </c>
      <c r="C1364" s="21" t="s">
        <v>1341</v>
      </c>
      <c r="D1364" s="21" t="s">
        <v>2693</v>
      </c>
      <c r="E1364" s="22" t="str">
        <f>HYPERLINK("https://twitter.com/Mari_Ramos_/status/805547661038325761","805547661038325761")</f>
        <v>805547661038325761</v>
      </c>
      <c r="F1364" s="23" t="s">
        <v>41</v>
      </c>
      <c r="G1364" s="24">
        <v>560.0</v>
      </c>
      <c r="H1364" s="24">
        <v>1066.0</v>
      </c>
      <c r="I1364" s="24">
        <v>16.0</v>
      </c>
      <c r="J1364" s="24">
        <v>0.0</v>
      </c>
      <c r="K1364" s="23" t="s">
        <v>27</v>
      </c>
      <c r="L1364" s="25">
        <v>40371.71640046296</v>
      </c>
      <c r="M1364" s="26" t="s">
        <v>1342</v>
      </c>
      <c r="N1364" s="26" t="s">
        <v>1343</v>
      </c>
      <c r="O1364" s="22" t="str">
        <f>HYPERLINK("https://pbs.twimg.com/profile_images/794679362788478977/dOKv-_FP_normal.jpg","View")</f>
        <v>View</v>
      </c>
      <c r="P1364" s="27"/>
    </row>
    <row r="1365">
      <c r="A1365" s="19">
        <v>42708.9946412037</v>
      </c>
      <c r="B1365" s="20" t="str">
        <f>HYPERLINK("https://twitter.com/Canary_Islander","@Canary_Islander")</f>
        <v>@Canary_Islander</v>
      </c>
      <c r="C1365" s="21" t="s">
        <v>2710</v>
      </c>
      <c r="D1365" s="21" t="s">
        <v>2693</v>
      </c>
      <c r="E1365" s="22" t="str">
        <f>HYPERLINK("https://twitter.com/Canary_Islander/status/805560386586025984","805560386586025984")</f>
        <v>805560386586025984</v>
      </c>
      <c r="F1365" s="23" t="s">
        <v>2444</v>
      </c>
      <c r="G1365" s="24">
        <v>186.0</v>
      </c>
      <c r="H1365" s="24">
        <v>282.0</v>
      </c>
      <c r="I1365" s="24">
        <v>16.0</v>
      </c>
      <c r="J1365" s="24">
        <v>0.0</v>
      </c>
      <c r="K1365" s="23" t="s">
        <v>27</v>
      </c>
      <c r="L1365" s="25">
        <v>41940.29702546296</v>
      </c>
      <c r="M1365" s="26" t="s">
        <v>109</v>
      </c>
      <c r="N1365" s="26" t="s">
        <v>2711</v>
      </c>
      <c r="O1365" s="22" t="str">
        <f>HYPERLINK("https://pbs.twimg.com/profile_images/747514561314623488/XS73-n8K_normal.jpg","View")</f>
        <v>View</v>
      </c>
      <c r="P1365" s="27"/>
    </row>
    <row r="1366">
      <c r="A1366" s="19">
        <v>42709.00289351852</v>
      </c>
      <c r="B1366" s="20" t="str">
        <f>HYPERLINK("https://twitter.com/RubeOsorios","@RubeOsorios")</f>
        <v>@RubeOsorios</v>
      </c>
      <c r="C1366" s="21" t="s">
        <v>2712</v>
      </c>
      <c r="D1366" s="21" t="s">
        <v>2713</v>
      </c>
      <c r="E1366" s="22" t="str">
        <f>HYPERLINK("https://twitter.com/RubeOsorios/status/805563377959530500","805563377959530500")</f>
        <v>805563377959530500</v>
      </c>
      <c r="F1366" s="23" t="s">
        <v>2714</v>
      </c>
      <c r="G1366" s="24">
        <v>83.0</v>
      </c>
      <c r="H1366" s="24">
        <v>71.0</v>
      </c>
      <c r="I1366" s="24">
        <v>0.0</v>
      </c>
      <c r="J1366" s="24">
        <v>0.0</v>
      </c>
      <c r="K1366" s="23" t="s">
        <v>27</v>
      </c>
      <c r="L1366" s="25">
        <v>42630.27431712963</v>
      </c>
      <c r="M1366" s="26" t="s">
        <v>2715</v>
      </c>
      <c r="N1366" s="26" t="s">
        <v>2716</v>
      </c>
      <c r="O1366" s="22" t="str">
        <f>HYPERLINK("https://pbs.twimg.com/profile_images/792514219606364160/zi4F_7iz_normal.jpg","View")</f>
        <v>View</v>
      </c>
      <c r="P1366" s="27"/>
    </row>
    <row r="1367">
      <c r="A1367" s="19">
        <v>42709.01059027778</v>
      </c>
      <c r="B1367" s="20" t="str">
        <f t="shared" ref="B1367:B1368" si="144">HYPERLINK("https://twitter.com/swisshop4uEs","@swisshop4uEs")</f>
        <v>@swisshop4uEs</v>
      </c>
      <c r="C1367" s="21" t="s">
        <v>48</v>
      </c>
      <c r="D1367" s="21" t="s">
        <v>2717</v>
      </c>
      <c r="E1367" s="22" t="str">
        <f>HYPERLINK("https://twitter.com/swisshop4uEs/status/805566166894804993","805566166894804993")</f>
        <v>805566166894804993</v>
      </c>
      <c r="F1367" s="23" t="s">
        <v>50</v>
      </c>
      <c r="G1367" s="24">
        <v>455.0</v>
      </c>
      <c r="H1367" s="24">
        <v>424.0</v>
      </c>
      <c r="I1367" s="24">
        <v>0.0</v>
      </c>
      <c r="J1367" s="24">
        <v>0.0</v>
      </c>
      <c r="K1367" s="23" t="s">
        <v>27</v>
      </c>
      <c r="L1367" s="25">
        <v>41468.93072916666</v>
      </c>
      <c r="M1367" s="26" t="s">
        <v>51</v>
      </c>
      <c r="N1367" s="26" t="s">
        <v>52</v>
      </c>
      <c r="O1367" s="22" t="str">
        <f t="shared" ref="O1367:O1368" si="145">HYPERLINK("https://pbs.twimg.com/profile_images/378800000213382003/4f562b59f92995b884d2d440f71fc5ce_normal.png","View")</f>
        <v>View</v>
      </c>
      <c r="P1367" s="27"/>
    </row>
    <row r="1368">
      <c r="A1368" s="19">
        <v>42709.010601851856</v>
      </c>
      <c r="B1368" s="20" t="str">
        <f t="shared" si="144"/>
        <v>@swisshop4uEs</v>
      </c>
      <c r="C1368" s="21" t="s">
        <v>48</v>
      </c>
      <c r="D1368" s="21" t="s">
        <v>2718</v>
      </c>
      <c r="E1368" s="22" t="str">
        <f>HYPERLINK("https://twitter.com/swisshop4uEs/status/805566169411358720","805566169411358720")</f>
        <v>805566169411358720</v>
      </c>
      <c r="F1368" s="23" t="s">
        <v>50</v>
      </c>
      <c r="G1368" s="24">
        <v>455.0</v>
      </c>
      <c r="H1368" s="24">
        <v>424.0</v>
      </c>
      <c r="I1368" s="24">
        <v>0.0</v>
      </c>
      <c r="J1368" s="24">
        <v>0.0</v>
      </c>
      <c r="K1368" s="23" t="s">
        <v>27</v>
      </c>
      <c r="L1368" s="25">
        <v>41468.93072916666</v>
      </c>
      <c r="M1368" s="26" t="s">
        <v>51</v>
      </c>
      <c r="N1368" s="26" t="s">
        <v>52</v>
      </c>
      <c r="O1368" s="22" t="str">
        <f t="shared" si="145"/>
        <v>View</v>
      </c>
      <c r="P1368" s="27"/>
    </row>
    <row r="1369">
      <c r="A1369" s="19">
        <v>42709.0175</v>
      </c>
      <c r="B1369" s="20" t="str">
        <f>HYPERLINK("https://twitter.com/FlavoursandFros","@FlavoursandFros")</f>
        <v>@FlavoursandFros</v>
      </c>
      <c r="C1369" s="21" t="s">
        <v>764</v>
      </c>
      <c r="D1369" s="21" t="s">
        <v>2719</v>
      </c>
      <c r="E1369" s="22" t="str">
        <f>HYPERLINK("https://twitter.com/FlavoursandFros/status/805568672165138432","805568672165138432")</f>
        <v>805568672165138432</v>
      </c>
      <c r="F1369" s="23" t="s">
        <v>50</v>
      </c>
      <c r="G1369" s="24">
        <v>10396.0</v>
      </c>
      <c r="H1369" s="24">
        <v>7642.0</v>
      </c>
      <c r="I1369" s="24">
        <v>1.0</v>
      </c>
      <c r="J1369" s="24">
        <v>0.0</v>
      </c>
      <c r="K1369" s="23" t="s">
        <v>27</v>
      </c>
      <c r="L1369" s="25">
        <v>41395.61443287037</v>
      </c>
      <c r="M1369" s="26" t="s">
        <v>305</v>
      </c>
      <c r="N1369" s="26" t="s">
        <v>766</v>
      </c>
      <c r="O1369" s="22" t="str">
        <f>HYPERLINK("https://pbs.twimg.com/profile_images/661504929606057984/Q5xrk4Oc_normal.jpg","View")</f>
        <v>View</v>
      </c>
      <c r="P1369" s="27"/>
    </row>
    <row r="1370">
      <c r="A1370" s="19">
        <v>42709.01998842593</v>
      </c>
      <c r="B1370" s="20" t="str">
        <f>HYPERLINK("https://twitter.com/suarezbobadill1","@suarezbobadill1")</f>
        <v>@suarezbobadill1</v>
      </c>
      <c r="C1370" s="21" t="s">
        <v>2720</v>
      </c>
      <c r="D1370" s="21" t="s">
        <v>1874</v>
      </c>
      <c r="E1370" s="22" t="str">
        <f>HYPERLINK("https://twitter.com/suarezbobadill1/status/805569571956592641","805569571956592641")</f>
        <v>805569571956592641</v>
      </c>
      <c r="F1370" s="23" t="s">
        <v>41</v>
      </c>
      <c r="G1370" s="24">
        <v>79.0</v>
      </c>
      <c r="H1370" s="24">
        <v>296.0</v>
      </c>
      <c r="I1370" s="24">
        <v>92.0</v>
      </c>
      <c r="J1370" s="24">
        <v>0.0</v>
      </c>
      <c r="K1370" s="23" t="s">
        <v>27</v>
      </c>
      <c r="L1370" s="25">
        <v>42631.20701388889</v>
      </c>
      <c r="M1370" s="26" t="s">
        <v>2721</v>
      </c>
      <c r="N1370" s="26" t="s">
        <v>2722</v>
      </c>
      <c r="O1370" s="22" t="str">
        <f>HYPERLINK("https://pbs.twimg.com/profile_images/785578687332651009/Vzot5g7n_normal.jpg","View")</f>
        <v>View</v>
      </c>
      <c r="P1370" s="27"/>
    </row>
    <row r="1371">
      <c r="A1371" s="19">
        <v>42709.02059027778</v>
      </c>
      <c r="B1371" s="20" t="str">
        <f>HYPERLINK("https://twitter.com/YourBestMomTips","@YourBestMomTips")</f>
        <v>@YourBestMomTips</v>
      </c>
      <c r="C1371" s="21" t="s">
        <v>2723</v>
      </c>
      <c r="D1371" s="21" t="s">
        <v>2724</v>
      </c>
      <c r="E1371" s="22" t="str">
        <f>HYPERLINK("https://twitter.com/YourBestMomTips/status/805569791608098821","805569791608098821")</f>
        <v>805569791608098821</v>
      </c>
      <c r="F1371" s="23" t="s">
        <v>1074</v>
      </c>
      <c r="G1371" s="24">
        <v>572.0</v>
      </c>
      <c r="H1371" s="24">
        <v>2249.0</v>
      </c>
      <c r="I1371" s="24">
        <v>1.0</v>
      </c>
      <c r="J1371" s="24">
        <v>0.0</v>
      </c>
      <c r="K1371" s="23" t="s">
        <v>27</v>
      </c>
      <c r="L1371" s="25">
        <v>42140.11314814815</v>
      </c>
      <c r="M1371" s="26" t="s">
        <v>2725</v>
      </c>
      <c r="N1371" s="26" t="s">
        <v>2726</v>
      </c>
      <c r="O1371" s="22" t="str">
        <f>HYPERLINK("https://pbs.twimg.com/profile_images/780118408830398464/rlL472Yh_normal.jpg","View")</f>
        <v>View</v>
      </c>
      <c r="P1371" s="27"/>
    </row>
    <row r="1372">
      <c r="A1372" s="19">
        <v>42709.03252314815</v>
      </c>
      <c r="B1372" s="20" t="str">
        <f>HYPERLINK("https://twitter.com/runawayjane","@runawayjane")</f>
        <v>@runawayjane</v>
      </c>
      <c r="C1372" s="21" t="s">
        <v>2727</v>
      </c>
      <c r="D1372" s="21" t="s">
        <v>2728</v>
      </c>
      <c r="E1372" s="22" t="str">
        <f>HYPERLINK("https://twitter.com/runawayjane/status/805574113859432448","805574113859432448")</f>
        <v>805574113859432448</v>
      </c>
      <c r="F1372" s="23" t="s">
        <v>37</v>
      </c>
      <c r="G1372" s="24">
        <v>15492.0</v>
      </c>
      <c r="H1372" s="24">
        <v>8780.0</v>
      </c>
      <c r="I1372" s="24">
        <v>0.0</v>
      </c>
      <c r="J1372" s="24">
        <v>0.0</v>
      </c>
      <c r="K1372" s="23" t="s">
        <v>27</v>
      </c>
      <c r="L1372" s="25">
        <v>39854.1196412037</v>
      </c>
      <c r="M1372" s="28"/>
      <c r="N1372" s="26" t="s">
        <v>2729</v>
      </c>
      <c r="O1372" s="22" t="str">
        <f>HYPERLINK("https://pbs.twimg.com/profile_images/610863236/twitter_pic_normal.jpg","View")</f>
        <v>View</v>
      </c>
      <c r="P1372" s="27"/>
    </row>
    <row r="1373">
      <c r="A1373" s="19">
        <v>42709.0890625</v>
      </c>
      <c r="B1373" s="20" t="str">
        <f>HYPERLINK("https://twitter.com/TheBrandAnalyst","@TheBrandAnalyst")</f>
        <v>@TheBrandAnalyst</v>
      </c>
      <c r="C1373" s="21" t="s">
        <v>1397</v>
      </c>
      <c r="D1373" s="21" t="s">
        <v>2730</v>
      </c>
      <c r="E1373" s="22" t="str">
        <f>HYPERLINK("https://twitter.com/TheBrandAnalyst/status/805594605748101121","805594605748101121")</f>
        <v>805594605748101121</v>
      </c>
      <c r="F1373" s="23" t="s">
        <v>41</v>
      </c>
      <c r="G1373" s="24">
        <v>2335.0</v>
      </c>
      <c r="H1373" s="24">
        <v>2147.0</v>
      </c>
      <c r="I1373" s="24">
        <v>0.0</v>
      </c>
      <c r="J1373" s="24">
        <v>0.0</v>
      </c>
      <c r="K1373" s="23" t="s">
        <v>27</v>
      </c>
      <c r="L1373" s="25">
        <v>40984.89209490741</v>
      </c>
      <c r="M1373" s="26" t="s">
        <v>1172</v>
      </c>
      <c r="N1373" s="26" t="s">
        <v>1399</v>
      </c>
      <c r="O1373" s="22" t="str">
        <f>HYPERLINK("https://pbs.twimg.com/profile_images/657095542678396928/AMTcv_N8_normal.jpg","View")</f>
        <v>View</v>
      </c>
      <c r="P1373" s="27"/>
    </row>
    <row r="1374">
      <c r="A1374" s="19">
        <v>42709.16032407407</v>
      </c>
      <c r="B1374" s="20" t="str">
        <f>HYPERLINK("https://twitter.com/IzzayB","@IzzayB")</f>
        <v>@IzzayB</v>
      </c>
      <c r="C1374" s="21" t="s">
        <v>2731</v>
      </c>
      <c r="D1374" s="21" t="s">
        <v>2732</v>
      </c>
      <c r="E1374" s="22" t="str">
        <f>HYPERLINK("https://twitter.com/IzzayB/status/805620430157598722","805620430157598722")</f>
        <v>805620430157598722</v>
      </c>
      <c r="F1374" s="23" t="s">
        <v>26</v>
      </c>
      <c r="G1374" s="24">
        <v>120.0</v>
      </c>
      <c r="H1374" s="24">
        <v>231.0</v>
      </c>
      <c r="I1374" s="24">
        <v>0.0</v>
      </c>
      <c r="J1374" s="24">
        <v>6.0</v>
      </c>
      <c r="K1374" s="23" t="s">
        <v>27</v>
      </c>
      <c r="L1374" s="25">
        <v>40661.01689814815</v>
      </c>
      <c r="M1374" s="26" t="s">
        <v>2733</v>
      </c>
      <c r="N1374" s="26" t="s">
        <v>2734</v>
      </c>
      <c r="O1374" s="22" t="str">
        <f>HYPERLINK("https://pbs.twimg.com/profile_images/566115922864537600/R3JvqVF3_normal.jpeg","View")</f>
        <v>View</v>
      </c>
      <c r="P1374" s="27"/>
    </row>
    <row r="1375">
      <c r="A1375" s="19">
        <v>42709.17998842592</v>
      </c>
      <c r="B1375" s="20" t="str">
        <f>HYPERLINK("https://twitter.com/nomadictravel1","@nomadictravel1")</f>
        <v>@nomadictravel1</v>
      </c>
      <c r="C1375" s="21" t="s">
        <v>2735</v>
      </c>
      <c r="D1375" s="21" t="s">
        <v>2736</v>
      </c>
      <c r="E1375" s="22" t="str">
        <f>HYPERLINK("https://twitter.com/nomadictravel1/status/805627553738203136","805627553738203136")</f>
        <v>805627553738203136</v>
      </c>
      <c r="F1375" s="23" t="s">
        <v>406</v>
      </c>
      <c r="G1375" s="24">
        <v>141.0</v>
      </c>
      <c r="H1375" s="24">
        <v>263.0</v>
      </c>
      <c r="I1375" s="24">
        <v>0.0</v>
      </c>
      <c r="J1375" s="24">
        <v>0.0</v>
      </c>
      <c r="K1375" s="23" t="s">
        <v>27</v>
      </c>
      <c r="L1375" s="25">
        <v>42638.16009259259</v>
      </c>
      <c r="M1375" s="28"/>
      <c r="N1375" s="26" t="s">
        <v>2737</v>
      </c>
      <c r="O1375" s="22" t="str">
        <f>HYPERLINK("https://pbs.twimg.com/profile_images/779877217887072256/3ozJpNVN_normal.jpg","View")</f>
        <v>View</v>
      </c>
      <c r="P1375" s="27"/>
    </row>
    <row r="1376">
      <c r="A1376" s="19">
        <v>42709.18336805556</v>
      </c>
      <c r="B1376" s="20" t="str">
        <f>HYPERLINK("https://twitter.com/dorgedys_v","@dorgedys_v")</f>
        <v>@dorgedys_v</v>
      </c>
      <c r="C1376" s="21" t="s">
        <v>2738</v>
      </c>
      <c r="D1376" s="21" t="s">
        <v>2405</v>
      </c>
      <c r="E1376" s="22" t="str">
        <f>HYPERLINK("https://twitter.com/dorgedys_v/status/805628780890980352","805628780890980352")</f>
        <v>805628780890980352</v>
      </c>
      <c r="F1376" s="23" t="s">
        <v>26</v>
      </c>
      <c r="G1376" s="24">
        <v>5.0</v>
      </c>
      <c r="H1376" s="24">
        <v>59.0</v>
      </c>
      <c r="I1376" s="24">
        <v>40.0</v>
      </c>
      <c r="J1376" s="24">
        <v>0.0</v>
      </c>
      <c r="K1376" s="23" t="s">
        <v>27</v>
      </c>
      <c r="L1376" s="25">
        <v>42036.65357638889</v>
      </c>
      <c r="M1376" s="28"/>
      <c r="N1376" s="26" t="s">
        <v>2739</v>
      </c>
      <c r="O1376" s="22" t="str">
        <f>HYPERLINK("https://pbs.twimg.com/profile_images/774515617206415360/n01sONuB_normal.jpg","View")</f>
        <v>View</v>
      </c>
      <c r="P1376" s="27"/>
    </row>
    <row r="1377">
      <c r="A1377" s="19">
        <v>42709.21759259259</v>
      </c>
      <c r="B1377" s="20" t="str">
        <f>HYPERLINK("https://twitter.com/cipensoio_es","@cipensoio_es")</f>
        <v>@cipensoio_es</v>
      </c>
      <c r="C1377" s="21" t="s">
        <v>2740</v>
      </c>
      <c r="D1377" s="21" t="s">
        <v>2693</v>
      </c>
      <c r="E1377" s="22" t="str">
        <f>HYPERLINK("https://twitter.com/cipensoio_es/status/805641183049486336","805641183049486336")</f>
        <v>805641183049486336</v>
      </c>
      <c r="F1377" s="23" t="s">
        <v>26</v>
      </c>
      <c r="G1377" s="24">
        <v>242.0</v>
      </c>
      <c r="H1377" s="24">
        <v>180.0</v>
      </c>
      <c r="I1377" s="24">
        <v>16.0</v>
      </c>
      <c r="J1377" s="24">
        <v>0.0</v>
      </c>
      <c r="K1377" s="23" t="s">
        <v>27</v>
      </c>
      <c r="L1377" s="25">
        <v>41054.704050925924</v>
      </c>
      <c r="M1377" s="26" t="s">
        <v>2741</v>
      </c>
      <c r="N1377" s="26" t="s">
        <v>2742</v>
      </c>
      <c r="O1377" s="22" t="str">
        <f>HYPERLINK("https://pbs.twimg.com/profile_images/724100050712965120/iQ1WASBM_normal.jpg","View")</f>
        <v>View</v>
      </c>
      <c r="P1377" s="27"/>
    </row>
    <row r="1378">
      <c r="A1378" s="19">
        <v>42709.308333333334</v>
      </c>
      <c r="B1378" s="20" t="str">
        <f t="shared" ref="B1378:B1381" si="146">HYPERLINK("https://twitter.com/bermaxo09","@bermaxo09")</f>
        <v>@bermaxo09</v>
      </c>
      <c r="C1378" s="21" t="s">
        <v>284</v>
      </c>
      <c r="D1378" s="21" t="s">
        <v>2743</v>
      </c>
      <c r="E1378" s="22" t="str">
        <f>HYPERLINK("https://twitter.com/bermaxo09/status/805674066728407040","805674066728407040")</f>
        <v>805674066728407040</v>
      </c>
      <c r="F1378" s="23" t="s">
        <v>37</v>
      </c>
      <c r="G1378" s="24">
        <v>193.0</v>
      </c>
      <c r="H1378" s="24">
        <v>196.0</v>
      </c>
      <c r="I1378" s="24">
        <v>0.0</v>
      </c>
      <c r="J1378" s="24">
        <v>3.0</v>
      </c>
      <c r="K1378" s="23" t="s">
        <v>27</v>
      </c>
      <c r="L1378" s="25">
        <v>42689.441516203704</v>
      </c>
      <c r="M1378" s="26" t="s">
        <v>109</v>
      </c>
      <c r="N1378" s="26" t="s">
        <v>286</v>
      </c>
      <c r="O1378" s="22" t="str">
        <f t="shared" ref="O1378:O1381" si="147">HYPERLINK("https://pbs.twimg.com/profile_images/798476790478073856/iOD0HIRa_normal.jpg","View")</f>
        <v>View</v>
      </c>
      <c r="P1378" s="27"/>
    </row>
    <row r="1379">
      <c r="A1379" s="19">
        <v>42709.312430555554</v>
      </c>
      <c r="B1379" s="20" t="str">
        <f t="shared" si="146"/>
        <v>@bermaxo09</v>
      </c>
      <c r="C1379" s="21" t="s">
        <v>284</v>
      </c>
      <c r="D1379" s="21" t="s">
        <v>2744</v>
      </c>
      <c r="E1379" s="22" t="str">
        <f>HYPERLINK("https://twitter.com/bermaxo09/status/805675548508909568","805675548508909568")</f>
        <v>805675548508909568</v>
      </c>
      <c r="F1379" s="23" t="s">
        <v>37</v>
      </c>
      <c r="G1379" s="24">
        <v>193.0</v>
      </c>
      <c r="H1379" s="24">
        <v>196.0</v>
      </c>
      <c r="I1379" s="24">
        <v>0.0</v>
      </c>
      <c r="J1379" s="24">
        <v>2.0</v>
      </c>
      <c r="K1379" s="23" t="s">
        <v>27</v>
      </c>
      <c r="L1379" s="25">
        <v>42689.441516203704</v>
      </c>
      <c r="M1379" s="26" t="s">
        <v>109</v>
      </c>
      <c r="N1379" s="26" t="s">
        <v>286</v>
      </c>
      <c r="O1379" s="22" t="str">
        <f t="shared" si="147"/>
        <v>View</v>
      </c>
      <c r="P1379" s="27"/>
    </row>
    <row r="1380">
      <c r="A1380" s="19">
        <v>42709.315405092595</v>
      </c>
      <c r="B1380" s="20" t="str">
        <f t="shared" si="146"/>
        <v>@bermaxo09</v>
      </c>
      <c r="C1380" s="21" t="s">
        <v>284</v>
      </c>
      <c r="D1380" s="21" t="s">
        <v>2745</v>
      </c>
      <c r="E1380" s="22" t="str">
        <f>HYPERLINK("https://twitter.com/bermaxo09/status/805676626319130624","805676626319130624")</f>
        <v>805676626319130624</v>
      </c>
      <c r="F1380" s="23" t="s">
        <v>37</v>
      </c>
      <c r="G1380" s="24">
        <v>193.0</v>
      </c>
      <c r="H1380" s="24">
        <v>196.0</v>
      </c>
      <c r="I1380" s="24">
        <v>0.0</v>
      </c>
      <c r="J1380" s="24">
        <v>2.0</v>
      </c>
      <c r="K1380" s="23" t="s">
        <v>27</v>
      </c>
      <c r="L1380" s="25">
        <v>42689.441516203704</v>
      </c>
      <c r="M1380" s="26" t="s">
        <v>109</v>
      </c>
      <c r="N1380" s="26" t="s">
        <v>286</v>
      </c>
      <c r="O1380" s="22" t="str">
        <f t="shared" si="147"/>
        <v>View</v>
      </c>
      <c r="P1380" s="27"/>
    </row>
    <row r="1381">
      <c r="A1381" s="19">
        <v>42709.31771990741</v>
      </c>
      <c r="B1381" s="20" t="str">
        <f t="shared" si="146"/>
        <v>@bermaxo09</v>
      </c>
      <c r="C1381" s="21" t="s">
        <v>284</v>
      </c>
      <c r="D1381" s="21" t="s">
        <v>2746</v>
      </c>
      <c r="E1381" s="22" t="str">
        <f>HYPERLINK("https://twitter.com/bermaxo09/status/805677468828991488","805677468828991488")</f>
        <v>805677468828991488</v>
      </c>
      <c r="F1381" s="23" t="s">
        <v>37</v>
      </c>
      <c r="G1381" s="24">
        <v>193.0</v>
      </c>
      <c r="H1381" s="24">
        <v>196.0</v>
      </c>
      <c r="I1381" s="24">
        <v>0.0</v>
      </c>
      <c r="J1381" s="24">
        <v>2.0</v>
      </c>
      <c r="K1381" s="23" t="s">
        <v>27</v>
      </c>
      <c r="L1381" s="25">
        <v>42689.441516203704</v>
      </c>
      <c r="M1381" s="26" t="s">
        <v>109</v>
      </c>
      <c r="N1381" s="26" t="s">
        <v>286</v>
      </c>
      <c r="O1381" s="22" t="str">
        <f t="shared" si="147"/>
        <v>View</v>
      </c>
      <c r="P1381" s="27"/>
    </row>
    <row r="1382">
      <c r="A1382" s="19">
        <v>42709.32116898148</v>
      </c>
      <c r="B1382" s="20" t="str">
        <f>HYPERLINK("https://twitter.com/aghotelspa","@aghotelspa")</f>
        <v>@aghotelspa</v>
      </c>
      <c r="C1382" s="21" t="s">
        <v>2237</v>
      </c>
      <c r="D1382" s="21" t="s">
        <v>2747</v>
      </c>
      <c r="E1382" s="22" t="str">
        <f>HYPERLINK("https://twitter.com/aghotelspa/status/805678715321589761","805678715321589761")</f>
        <v>805678715321589761</v>
      </c>
      <c r="F1382" s="23" t="s">
        <v>81</v>
      </c>
      <c r="G1382" s="24">
        <v>987.0</v>
      </c>
      <c r="H1382" s="24">
        <v>191.0</v>
      </c>
      <c r="I1382" s="24">
        <v>0.0</v>
      </c>
      <c r="J1382" s="24">
        <v>0.0</v>
      </c>
      <c r="K1382" s="23" t="s">
        <v>27</v>
      </c>
      <c r="L1382" s="25">
        <v>41263.781539351854</v>
      </c>
      <c r="M1382" s="26" t="s">
        <v>2239</v>
      </c>
      <c r="N1382" s="26" t="s">
        <v>2240</v>
      </c>
      <c r="O1382" s="22" t="str">
        <f>HYPERLINK("https://pbs.twimg.com/profile_images/3224102495/88947978fb5cc36495ea869a5fb39f8d_normal.jpeg","View")</f>
        <v>View</v>
      </c>
      <c r="P1382" s="27" t="str">
        <f>HYPERLINK("https://ctrlq.org/maps/address/#28.95789709,-13.55494841","Map")</f>
        <v>#ERROR!</v>
      </c>
    </row>
    <row r="1383">
      <c r="A1383" s="19">
        <v>42709.34407407408</v>
      </c>
      <c r="B1383" s="20" t="str">
        <f>HYPERLINK("https://twitter.com/DunasHoteles","@DunasHoteles")</f>
        <v>@DunasHoteles</v>
      </c>
      <c r="C1383" s="21" t="s">
        <v>1233</v>
      </c>
      <c r="D1383" s="21" t="s">
        <v>2748</v>
      </c>
      <c r="E1383" s="22" t="str">
        <f>HYPERLINK("https://twitter.com/DunasHoteles/status/805687018118402048","805687018118402048")</f>
        <v>805687018118402048</v>
      </c>
      <c r="F1383" s="23" t="s">
        <v>401</v>
      </c>
      <c r="G1383" s="24">
        <v>2603.0</v>
      </c>
      <c r="H1383" s="24">
        <v>2117.0</v>
      </c>
      <c r="I1383" s="24">
        <v>0.0</v>
      </c>
      <c r="J1383" s="24">
        <v>2.0</v>
      </c>
      <c r="K1383" s="23" t="s">
        <v>27</v>
      </c>
      <c r="L1383" s="25">
        <v>39769.46932870371</v>
      </c>
      <c r="M1383" s="26" t="s">
        <v>109</v>
      </c>
      <c r="N1383" s="26" t="s">
        <v>1235</v>
      </c>
      <c r="O1383" s="22" t="str">
        <f>HYPERLINK("https://pbs.twimg.com/profile_images/461470205227454465/4u4KGofw_normal.jpeg","View")</f>
        <v>View</v>
      </c>
      <c r="P1383" s="27"/>
    </row>
    <row r="1384">
      <c r="A1384" s="19">
        <v>42709.35416666667</v>
      </c>
      <c r="B1384" s="20" t="str">
        <f>HYPERLINK("https://twitter.com/SuneHolidays","@SuneHolidays")</f>
        <v>@SuneHolidays</v>
      </c>
      <c r="C1384" s="21" t="s">
        <v>62</v>
      </c>
      <c r="D1384" s="21" t="s">
        <v>2749</v>
      </c>
      <c r="E1384" s="22" t="str">
        <f>HYPERLINK("https://twitter.com/SuneHolidays/status/805690676520353792","805690676520353792")</f>
        <v>805690676520353792</v>
      </c>
      <c r="F1384" s="23" t="s">
        <v>64</v>
      </c>
      <c r="G1384" s="24">
        <v>396.0</v>
      </c>
      <c r="H1384" s="24">
        <v>990.0</v>
      </c>
      <c r="I1384" s="24">
        <v>1.0</v>
      </c>
      <c r="J1384" s="24">
        <v>2.0</v>
      </c>
      <c r="K1384" s="23" t="s">
        <v>27</v>
      </c>
      <c r="L1384" s="25">
        <v>40929.92998842592</v>
      </c>
      <c r="M1384" s="26" t="s">
        <v>65</v>
      </c>
      <c r="N1384" s="26" t="s">
        <v>66</v>
      </c>
      <c r="O1384" s="22" t="str">
        <f>HYPERLINK("https://pbs.twimg.com/profile_images/686922727480029184/9ztyb32p_normal.jpg","View")</f>
        <v>View</v>
      </c>
      <c r="P1384" s="27"/>
    </row>
    <row r="1385">
      <c r="A1385" s="19">
        <v>42709.373715277776</v>
      </c>
      <c r="B1385" s="20" t="str">
        <f>HYPERLINK("https://twitter.com/stani320","@stani320")</f>
        <v>@stani320</v>
      </c>
      <c r="C1385" s="21" t="s">
        <v>2308</v>
      </c>
      <c r="D1385" s="21" t="s">
        <v>2750</v>
      </c>
      <c r="E1385" s="22" t="str">
        <f>HYPERLINK("https://twitter.com/stani320/status/805697756845277184","805697756845277184")</f>
        <v>805697756845277184</v>
      </c>
      <c r="F1385" s="23" t="s">
        <v>90</v>
      </c>
      <c r="G1385" s="24">
        <v>746.0</v>
      </c>
      <c r="H1385" s="24">
        <v>522.0</v>
      </c>
      <c r="I1385" s="24">
        <v>10.0</v>
      </c>
      <c r="J1385" s="24">
        <v>26.0</v>
      </c>
      <c r="K1385" s="23" t="s">
        <v>27</v>
      </c>
      <c r="L1385" s="25">
        <v>40572.34303240741</v>
      </c>
      <c r="M1385" s="26" t="s">
        <v>2310</v>
      </c>
      <c r="N1385" s="26" t="s">
        <v>2311</v>
      </c>
      <c r="O1385" s="22" t="str">
        <f>HYPERLINK("https://pbs.twimg.com/profile_images/597076476278788096/_4hbSxb7_normal.jpg","View")</f>
        <v>View</v>
      </c>
      <c r="P1385" s="27"/>
    </row>
    <row r="1386">
      <c r="A1386" s="19">
        <v>42709.375821759255</v>
      </c>
      <c r="B1386" s="20" t="str">
        <f>HYPERLINK("https://twitter.com/Marcos_Fini","@Marcos_Fini")</f>
        <v>@Marcos_Fini</v>
      </c>
      <c r="C1386" s="21" t="s">
        <v>2751</v>
      </c>
      <c r="D1386" s="21" t="s">
        <v>2700</v>
      </c>
      <c r="E1386" s="22" t="str">
        <f>HYPERLINK("https://twitter.com/Marcos_Fini/status/805698521441665024","805698521441665024")</f>
        <v>805698521441665024</v>
      </c>
      <c r="F1386" s="23" t="s">
        <v>41</v>
      </c>
      <c r="G1386" s="24">
        <v>1475.0</v>
      </c>
      <c r="H1386" s="24">
        <v>369.0</v>
      </c>
      <c r="I1386" s="24">
        <v>5.0</v>
      </c>
      <c r="J1386" s="24">
        <v>0.0</v>
      </c>
      <c r="K1386" s="23" t="s">
        <v>27</v>
      </c>
      <c r="L1386" s="25">
        <v>41296.76105324074</v>
      </c>
      <c r="M1386" s="26" t="s">
        <v>2752</v>
      </c>
      <c r="N1386" s="26" t="s">
        <v>2753</v>
      </c>
      <c r="O1386" s="22" t="str">
        <f>HYPERLINK("https://pbs.twimg.com/profile_images/558280615892885504/ApmA4Q1G_normal.jpeg","View")</f>
        <v>View</v>
      </c>
      <c r="P1386" s="27"/>
    </row>
    <row r="1387">
      <c r="A1387" s="19">
        <v>42709.375925925924</v>
      </c>
      <c r="B1387" s="20" t="str">
        <f>HYPERLINK("https://twitter.com/HolaLanzarote","@HolaLanzarote")</f>
        <v>@HolaLanzarote</v>
      </c>
      <c r="C1387" s="21" t="s">
        <v>2754</v>
      </c>
      <c r="D1387" s="21" t="s">
        <v>2343</v>
      </c>
      <c r="E1387" s="22" t="str">
        <f>HYPERLINK("https://twitter.com/HolaLanzarote/status/805698559316283392","805698559316283392")</f>
        <v>805698559316283392</v>
      </c>
      <c r="F1387" s="23" t="s">
        <v>41</v>
      </c>
      <c r="G1387" s="24">
        <v>788.0</v>
      </c>
      <c r="H1387" s="24">
        <v>495.0</v>
      </c>
      <c r="I1387" s="24">
        <v>5.0</v>
      </c>
      <c r="J1387" s="24">
        <v>0.0</v>
      </c>
      <c r="K1387" s="23" t="s">
        <v>27</v>
      </c>
      <c r="L1387" s="25">
        <v>42047.71582175926</v>
      </c>
      <c r="M1387" s="26" t="s">
        <v>33</v>
      </c>
      <c r="N1387" s="26" t="s">
        <v>2755</v>
      </c>
      <c r="O1387" s="22" t="str">
        <f>HYPERLINK("https://pbs.twimg.com/profile_images/601786886646956032/HG3I0bFS_normal.png","View")</f>
        <v>View</v>
      </c>
      <c r="P1387" s="27"/>
    </row>
    <row r="1388">
      <c r="A1388" s="19">
        <v>42709.37664351852</v>
      </c>
      <c r="B1388" s="20" t="str">
        <f>HYPERLINK("https://twitter.com/fadyhaa","@fadyhaa")</f>
        <v>@fadyhaa</v>
      </c>
      <c r="C1388" s="21" t="s">
        <v>2756</v>
      </c>
      <c r="D1388" s="21" t="s">
        <v>2757</v>
      </c>
      <c r="E1388" s="22" t="str">
        <f>HYPERLINK("https://twitter.com/fadyhaa/status/805698819467919360","805698819467919360")</f>
        <v>805698819467919360</v>
      </c>
      <c r="F1388" s="23" t="s">
        <v>81</v>
      </c>
      <c r="G1388" s="24">
        <v>197.0</v>
      </c>
      <c r="H1388" s="24">
        <v>116.0</v>
      </c>
      <c r="I1388" s="24">
        <v>0.0</v>
      </c>
      <c r="J1388" s="24">
        <v>1.0</v>
      </c>
      <c r="K1388" s="23" t="s">
        <v>27</v>
      </c>
      <c r="L1388" s="25">
        <v>40610.91002314815</v>
      </c>
      <c r="M1388" s="26" t="s">
        <v>2758</v>
      </c>
      <c r="N1388" s="26" t="s">
        <v>2759</v>
      </c>
      <c r="O1388" s="22" t="str">
        <f>HYPERLINK("https://pbs.twimg.com/profile_images/539149694102810624/tx3z7kye_normal.jpeg","View")</f>
        <v>View</v>
      </c>
      <c r="P1388" s="27" t="str">
        <f>HYPERLINK("https://ctrlq.org/maps/address/#28.13479516,-15.43205088","Map")</f>
        <v>#ERROR!</v>
      </c>
    </row>
    <row r="1389">
      <c r="A1389" s="19">
        <v>42709.38024305555</v>
      </c>
      <c r="B1389" s="20" t="str">
        <f>HYPERLINK("https://twitter.com/Mari_Ramos_","@Mari_Ramos_")</f>
        <v>@Mari_Ramos_</v>
      </c>
      <c r="C1389" s="21" t="s">
        <v>1341</v>
      </c>
      <c r="D1389" s="21" t="s">
        <v>2760</v>
      </c>
      <c r="E1389" s="22" t="str">
        <f>HYPERLINK("https://twitter.com/Mari_Ramos_/status/805700124517298176","805700124517298176")</f>
        <v>805700124517298176</v>
      </c>
      <c r="F1389" s="23" t="s">
        <v>41</v>
      </c>
      <c r="G1389" s="24">
        <v>560.0</v>
      </c>
      <c r="H1389" s="24">
        <v>1066.0</v>
      </c>
      <c r="I1389" s="24">
        <v>10.0</v>
      </c>
      <c r="J1389" s="24">
        <v>0.0</v>
      </c>
      <c r="K1389" s="23" t="s">
        <v>27</v>
      </c>
      <c r="L1389" s="25">
        <v>40371.71640046296</v>
      </c>
      <c r="M1389" s="26" t="s">
        <v>1342</v>
      </c>
      <c r="N1389" s="26" t="s">
        <v>1343</v>
      </c>
      <c r="O1389" s="22" t="str">
        <f>HYPERLINK("https://pbs.twimg.com/profile_images/794679362788478977/dOKv-_FP_normal.jpg","View")</f>
        <v>View</v>
      </c>
      <c r="P1389" s="27"/>
    </row>
    <row r="1390">
      <c r="A1390" s="19">
        <v>42709.38208333333</v>
      </c>
      <c r="B1390" s="20" t="str">
        <f>HYPERLINK("https://twitter.com/_TenDive","@_TenDive")</f>
        <v>@_TenDive</v>
      </c>
      <c r="C1390" s="21" t="s">
        <v>103</v>
      </c>
      <c r="D1390" s="21" t="s">
        <v>2761</v>
      </c>
      <c r="E1390" s="22" t="str">
        <f>HYPERLINK("https://twitter.com/_TenDive/status/805700791717785601","805700791717785601")</f>
        <v>805700791717785601</v>
      </c>
      <c r="F1390" s="23" t="s">
        <v>37</v>
      </c>
      <c r="G1390" s="24">
        <v>235.0</v>
      </c>
      <c r="H1390" s="24">
        <v>118.0</v>
      </c>
      <c r="I1390" s="24">
        <v>1.0</v>
      </c>
      <c r="J1390" s="24">
        <v>1.0</v>
      </c>
      <c r="K1390" s="23" t="s">
        <v>27</v>
      </c>
      <c r="L1390" s="25">
        <v>41385.479999999996</v>
      </c>
      <c r="M1390" s="26" t="s">
        <v>105</v>
      </c>
      <c r="N1390" s="26" t="s">
        <v>106</v>
      </c>
      <c r="O1390" s="22" t="str">
        <f>HYPERLINK("https://pbs.twimg.com/profile_images/694439157893107712/KkG57Zcq_normal.jpg","View")</f>
        <v>View</v>
      </c>
      <c r="P1390" s="27"/>
    </row>
    <row r="1391">
      <c r="A1391" s="19">
        <v>42709.38483796296</v>
      </c>
      <c r="B1391" s="20" t="str">
        <f>HYPERLINK("https://twitter.com/KeyserSoSo","@KeyserSoSo")</f>
        <v>@KeyserSoSo</v>
      </c>
      <c r="C1391" s="21" t="s">
        <v>452</v>
      </c>
      <c r="D1391" s="21" t="s">
        <v>2762</v>
      </c>
      <c r="E1391" s="22" t="str">
        <f>HYPERLINK("https://twitter.com/KeyserSoSo/status/805701790746476544","805701790746476544")</f>
        <v>805701790746476544</v>
      </c>
      <c r="F1391" s="23" t="s">
        <v>26</v>
      </c>
      <c r="G1391" s="24">
        <v>65.0</v>
      </c>
      <c r="H1391" s="24">
        <v>122.0</v>
      </c>
      <c r="I1391" s="24">
        <v>1.0</v>
      </c>
      <c r="J1391" s="24">
        <v>0.0</v>
      </c>
      <c r="K1391" s="23" t="s">
        <v>27</v>
      </c>
      <c r="L1391" s="25">
        <v>41843.658842592595</v>
      </c>
      <c r="M1391" s="26" t="s">
        <v>292</v>
      </c>
      <c r="N1391" s="28"/>
      <c r="O1391" s="22" t="str">
        <f>HYPERLINK("https://pbs.twimg.com/profile_images/592798998773235713/aPa65SQO_normal.jpg","View")</f>
        <v>View</v>
      </c>
      <c r="P1391" s="27"/>
    </row>
    <row r="1392">
      <c r="A1392" s="19">
        <v>42709.388969907406</v>
      </c>
      <c r="B1392" s="20" t="str">
        <f>HYPERLINK("https://twitter.com/CanaryIslandsEN","@CanaryIslandsEN")</f>
        <v>@CanaryIslandsEN</v>
      </c>
      <c r="C1392" s="21" t="s">
        <v>165</v>
      </c>
      <c r="D1392" s="21" t="s">
        <v>2763</v>
      </c>
      <c r="E1392" s="22" t="str">
        <f>HYPERLINK("https://twitter.com/CanaryIslandsEN/status/805703288075288577","805703288075288577")</f>
        <v>805703288075288577</v>
      </c>
      <c r="F1392" s="23" t="s">
        <v>167</v>
      </c>
      <c r="G1392" s="24">
        <v>14287.0</v>
      </c>
      <c r="H1392" s="24">
        <v>1533.0</v>
      </c>
      <c r="I1392" s="24">
        <v>7.0</v>
      </c>
      <c r="J1392" s="24">
        <v>14.0</v>
      </c>
      <c r="K1392" s="23" t="s">
        <v>27</v>
      </c>
      <c r="L1392" s="25">
        <v>41264.365949074076</v>
      </c>
      <c r="M1392" s="26" t="s">
        <v>168</v>
      </c>
      <c r="N1392" s="26" t="s">
        <v>169</v>
      </c>
      <c r="O1392" s="22" t="str">
        <f>HYPERLINK("https://pbs.twimg.com/profile_images/754960714704584704/14dQxsF8_normal.jpg","View")</f>
        <v>View</v>
      </c>
      <c r="P1392" s="27"/>
    </row>
    <row r="1393">
      <c r="A1393" s="19">
        <v>42709.39011574074</v>
      </c>
      <c r="B1393" s="20" t="str">
        <f>HYPERLINK("https://twitter.com/ScubaFlorida","@ScubaFlorida")</f>
        <v>@ScubaFlorida</v>
      </c>
      <c r="C1393" s="21" t="s">
        <v>834</v>
      </c>
      <c r="D1393" s="21" t="s">
        <v>835</v>
      </c>
      <c r="E1393" s="22" t="str">
        <f>HYPERLINK("https://twitter.com/ScubaFlorida/status/805703700081688577","805703700081688577")</f>
        <v>805703700081688577</v>
      </c>
      <c r="F1393" s="23" t="s">
        <v>836</v>
      </c>
      <c r="G1393" s="24">
        <v>1481.0</v>
      </c>
      <c r="H1393" s="24">
        <v>211.0</v>
      </c>
      <c r="I1393" s="24">
        <v>1.0</v>
      </c>
      <c r="J1393" s="24">
        <v>0.0</v>
      </c>
      <c r="K1393" s="23" t="s">
        <v>27</v>
      </c>
      <c r="L1393" s="25">
        <v>40015.46666666667</v>
      </c>
      <c r="M1393" s="26" t="s">
        <v>837</v>
      </c>
      <c r="N1393" s="26" t="s">
        <v>838</v>
      </c>
      <c r="O1393" s="22" t="str">
        <f>HYPERLINK("https://pbs.twimg.com/profile_images/560310747914199040/HR4MGmME_normal.jpeg","View")</f>
        <v>View</v>
      </c>
      <c r="P1393" s="27"/>
    </row>
    <row r="1394">
      <c r="A1394" s="19">
        <v>42709.39111111111</v>
      </c>
      <c r="B1394" s="20" t="str">
        <f>HYPERLINK("https://twitter.com/bermaxo09","@bermaxo09")</f>
        <v>@bermaxo09</v>
      </c>
      <c r="C1394" s="21" t="s">
        <v>284</v>
      </c>
      <c r="D1394" s="21" t="s">
        <v>2764</v>
      </c>
      <c r="E1394" s="22" t="str">
        <f>HYPERLINK("https://twitter.com/bermaxo09/status/805704061240672256","805704061240672256")</f>
        <v>805704061240672256</v>
      </c>
      <c r="F1394" s="23" t="s">
        <v>37</v>
      </c>
      <c r="G1394" s="24">
        <v>193.0</v>
      </c>
      <c r="H1394" s="24">
        <v>196.0</v>
      </c>
      <c r="I1394" s="24">
        <v>0.0</v>
      </c>
      <c r="J1394" s="24">
        <v>3.0</v>
      </c>
      <c r="K1394" s="23" t="s">
        <v>27</v>
      </c>
      <c r="L1394" s="25">
        <v>42689.441516203704</v>
      </c>
      <c r="M1394" s="26" t="s">
        <v>109</v>
      </c>
      <c r="N1394" s="26" t="s">
        <v>286</v>
      </c>
      <c r="O1394" s="22" t="str">
        <f>HYPERLINK("https://pbs.twimg.com/profile_images/798476790478073856/iOD0HIRa_normal.jpg","View")</f>
        <v>View</v>
      </c>
      <c r="P1394" s="27"/>
    </row>
    <row r="1395">
      <c r="A1395" s="19">
        <v>42709.391909722224</v>
      </c>
      <c r="B1395" s="20" t="str">
        <f>HYPERLINK("https://twitter.com/enduriaholidays","@enduriaholidays")</f>
        <v>@enduriaholidays</v>
      </c>
      <c r="C1395" s="21" t="s">
        <v>173</v>
      </c>
      <c r="D1395" s="21" t="s">
        <v>2765</v>
      </c>
      <c r="E1395" s="22" t="str">
        <f>HYPERLINK("https://twitter.com/enduriaholidays/status/805704351377424384","805704351377424384")</f>
        <v>805704351377424384</v>
      </c>
      <c r="F1395" s="23" t="s">
        <v>69</v>
      </c>
      <c r="G1395" s="24">
        <v>319.0</v>
      </c>
      <c r="H1395" s="24">
        <v>313.0</v>
      </c>
      <c r="I1395" s="24">
        <v>0.0</v>
      </c>
      <c r="J1395" s="24">
        <v>0.0</v>
      </c>
      <c r="K1395" s="23" t="s">
        <v>27</v>
      </c>
      <c r="L1395" s="25">
        <v>42489.5252662037</v>
      </c>
      <c r="M1395" s="28"/>
      <c r="N1395" s="28"/>
      <c r="O1395" s="22" t="str">
        <f>HYPERLINK("https://pbs.twimg.com/profile_images/726026649356128258/xCSaP1IW_normal.jpg","View")</f>
        <v>View</v>
      </c>
      <c r="P1395" s="27"/>
    </row>
    <row r="1396">
      <c r="A1396" s="19">
        <v>42709.392280092594</v>
      </c>
      <c r="B1396" s="20" t="str">
        <f>HYPERLINK("https://twitter.com/bermaxo09","@bermaxo09")</f>
        <v>@bermaxo09</v>
      </c>
      <c r="C1396" s="21" t="s">
        <v>284</v>
      </c>
      <c r="D1396" s="21" t="s">
        <v>2766</v>
      </c>
      <c r="E1396" s="22" t="str">
        <f>HYPERLINK("https://twitter.com/bermaxo09/status/805704485230313472","805704485230313472")</f>
        <v>805704485230313472</v>
      </c>
      <c r="F1396" s="23" t="s">
        <v>37</v>
      </c>
      <c r="G1396" s="24">
        <v>193.0</v>
      </c>
      <c r="H1396" s="24">
        <v>196.0</v>
      </c>
      <c r="I1396" s="24">
        <v>0.0</v>
      </c>
      <c r="J1396" s="24">
        <v>2.0</v>
      </c>
      <c r="K1396" s="23" t="s">
        <v>27</v>
      </c>
      <c r="L1396" s="25">
        <v>42689.441516203704</v>
      </c>
      <c r="M1396" s="26" t="s">
        <v>109</v>
      </c>
      <c r="N1396" s="26" t="s">
        <v>286</v>
      </c>
      <c r="O1396" s="22" t="str">
        <f>HYPERLINK("https://pbs.twimg.com/profile_images/798476790478073856/iOD0HIRa_normal.jpg","View")</f>
        <v>View</v>
      </c>
      <c r="P1396" s="27"/>
    </row>
    <row r="1397">
      <c r="A1397" s="19">
        <v>42709.39229166666</v>
      </c>
      <c r="B1397" s="20" t="str">
        <f>HYPERLINK("https://twitter.com/SandsBeach","@SandsBeach")</f>
        <v>@SandsBeach</v>
      </c>
      <c r="C1397" s="21" t="s">
        <v>2767</v>
      </c>
      <c r="D1397" s="21" t="s">
        <v>112</v>
      </c>
      <c r="E1397" s="22" t="str">
        <f>HYPERLINK("https://twitter.com/SandsBeach/status/805704489395167232","805704489395167232")</f>
        <v>805704489395167232</v>
      </c>
      <c r="F1397" s="23" t="s">
        <v>26</v>
      </c>
      <c r="G1397" s="24">
        <v>4520.0</v>
      </c>
      <c r="H1397" s="24">
        <v>3336.0</v>
      </c>
      <c r="I1397" s="24">
        <v>63.0</v>
      </c>
      <c r="J1397" s="24">
        <v>0.0</v>
      </c>
      <c r="K1397" s="23" t="s">
        <v>27</v>
      </c>
      <c r="L1397" s="25">
        <v>39820.53228009259</v>
      </c>
      <c r="M1397" s="26" t="s">
        <v>952</v>
      </c>
      <c r="N1397" s="26" t="s">
        <v>2768</v>
      </c>
      <c r="O1397" s="22" t="str">
        <f>HYPERLINK("https://pbs.twimg.com/profile_images/2110948374/avatar_normal.png","View")</f>
        <v>View</v>
      </c>
      <c r="P1397" s="27"/>
    </row>
    <row r="1398">
      <c r="A1398" s="19">
        <v>42709.392789351856</v>
      </c>
      <c r="B1398" s="20" t="str">
        <f>HYPERLINK("https://twitter.com/auto_reisen","@auto_reisen")</f>
        <v>@auto_reisen</v>
      </c>
      <c r="C1398" s="21" t="s">
        <v>479</v>
      </c>
      <c r="D1398" s="21" t="s">
        <v>2769</v>
      </c>
      <c r="E1398" s="22" t="str">
        <f>HYPERLINK("https://twitter.com/auto_reisen/status/805704669951651840","805704669951651840")</f>
        <v>805704669951651840</v>
      </c>
      <c r="F1398" s="23" t="s">
        <v>37</v>
      </c>
      <c r="G1398" s="24">
        <v>64.0</v>
      </c>
      <c r="H1398" s="24">
        <v>12.0</v>
      </c>
      <c r="I1398" s="24">
        <v>0.0</v>
      </c>
      <c r="J1398" s="24">
        <v>0.0</v>
      </c>
      <c r="K1398" s="23" t="s">
        <v>27</v>
      </c>
      <c r="L1398" s="25">
        <v>40229.94081018519</v>
      </c>
      <c r="M1398" s="26" t="s">
        <v>305</v>
      </c>
      <c r="N1398" s="26" t="s">
        <v>481</v>
      </c>
      <c r="O1398" s="22" t="str">
        <f>HYPERLINK("https://pbs.twimg.com/profile_images/753537830752845824/CAcHgdYu_normal.jpg","View")</f>
        <v>View</v>
      </c>
      <c r="P1398" s="27"/>
    </row>
    <row r="1399">
      <c r="A1399" s="19">
        <v>42709.39592592593</v>
      </c>
      <c r="B1399" s="20" t="str">
        <f>HYPERLINK("https://twitter.com/bermaxo09","@bermaxo09")</f>
        <v>@bermaxo09</v>
      </c>
      <c r="C1399" s="21" t="s">
        <v>284</v>
      </c>
      <c r="D1399" s="21" t="s">
        <v>2770</v>
      </c>
      <c r="E1399" s="22" t="str">
        <f>HYPERLINK("https://twitter.com/bermaxo09/status/805705806876463104","805705806876463104")</f>
        <v>805705806876463104</v>
      </c>
      <c r="F1399" s="23" t="s">
        <v>37</v>
      </c>
      <c r="G1399" s="24">
        <v>193.0</v>
      </c>
      <c r="H1399" s="24">
        <v>196.0</v>
      </c>
      <c r="I1399" s="24">
        <v>0.0</v>
      </c>
      <c r="J1399" s="24">
        <v>2.0</v>
      </c>
      <c r="K1399" s="23" t="s">
        <v>27</v>
      </c>
      <c r="L1399" s="25">
        <v>42689.441516203704</v>
      </c>
      <c r="M1399" s="26" t="s">
        <v>109</v>
      </c>
      <c r="N1399" s="26" t="s">
        <v>286</v>
      </c>
      <c r="O1399" s="22" t="str">
        <f>HYPERLINK("https://pbs.twimg.com/profile_images/798476790478073856/iOD0HIRa_normal.jpg","View")</f>
        <v>View</v>
      </c>
      <c r="P1399" s="27"/>
    </row>
    <row r="1400">
      <c r="A1400" s="19">
        <v>42709.39790509259</v>
      </c>
      <c r="B1400" s="20" t="str">
        <f>HYPERLINK("https://twitter.com/ahidalgo4","@ahidalgo4")</f>
        <v>@ahidalgo4</v>
      </c>
      <c r="C1400" s="21" t="s">
        <v>2771</v>
      </c>
      <c r="D1400" s="21" t="s">
        <v>1055</v>
      </c>
      <c r="E1400" s="22" t="str">
        <f>HYPERLINK("https://twitter.com/ahidalgo4/status/805706526266716160","805706526266716160")</f>
        <v>805706526266716160</v>
      </c>
      <c r="F1400" s="23" t="s">
        <v>26</v>
      </c>
      <c r="G1400" s="24">
        <v>2425.0</v>
      </c>
      <c r="H1400" s="24">
        <v>536.0</v>
      </c>
      <c r="I1400" s="24">
        <v>15.0</v>
      </c>
      <c r="J1400" s="24">
        <v>0.0</v>
      </c>
      <c r="K1400" s="23" t="s">
        <v>27</v>
      </c>
      <c r="L1400" s="25">
        <v>40609.7915625</v>
      </c>
      <c r="M1400" s="26" t="s">
        <v>2772</v>
      </c>
      <c r="N1400" s="26" t="s">
        <v>2773</v>
      </c>
      <c r="O1400" s="22" t="str">
        <f>HYPERLINK("https://pbs.twimg.com/profile_images/651482111053012992/1xgmXwbZ_normal.jpg","View")</f>
        <v>View</v>
      </c>
      <c r="P1400" s="27"/>
    </row>
    <row r="1401">
      <c r="A1401" s="19">
        <v>42709.39859953704</v>
      </c>
      <c r="B1401" s="20" t="str">
        <f>HYPERLINK("https://twitter.com/bermaxo09","@bermaxo09")</f>
        <v>@bermaxo09</v>
      </c>
      <c r="C1401" s="21" t="s">
        <v>284</v>
      </c>
      <c r="D1401" s="21" t="s">
        <v>2774</v>
      </c>
      <c r="E1401" s="22" t="str">
        <f>HYPERLINK("https://twitter.com/bermaxo09/status/805706776733741056","805706776733741056")</f>
        <v>805706776733741056</v>
      </c>
      <c r="F1401" s="23" t="s">
        <v>37</v>
      </c>
      <c r="G1401" s="24">
        <v>193.0</v>
      </c>
      <c r="H1401" s="24">
        <v>196.0</v>
      </c>
      <c r="I1401" s="24">
        <v>5.0</v>
      </c>
      <c r="J1401" s="24">
        <v>9.0</v>
      </c>
      <c r="K1401" s="23" t="s">
        <v>27</v>
      </c>
      <c r="L1401" s="25">
        <v>42689.441516203704</v>
      </c>
      <c r="M1401" s="26" t="s">
        <v>109</v>
      </c>
      <c r="N1401" s="26" t="s">
        <v>286</v>
      </c>
      <c r="O1401" s="22" t="str">
        <f>HYPERLINK("https://pbs.twimg.com/profile_images/798476790478073856/iOD0HIRa_normal.jpg","View")</f>
        <v>View</v>
      </c>
      <c r="P1401" s="27"/>
    </row>
    <row r="1402">
      <c r="A1402" s="19">
        <v>42709.39966435185</v>
      </c>
      <c r="B1402" s="20" t="str">
        <f>HYPERLINK("https://twitter.com/PaCuCoAragones","@PaCuCoAragones")</f>
        <v>@PaCuCoAragones</v>
      </c>
      <c r="C1402" s="21" t="s">
        <v>2775</v>
      </c>
      <c r="D1402" s="21" t="s">
        <v>1055</v>
      </c>
      <c r="E1402" s="22" t="str">
        <f>HYPERLINK("https://twitter.com/PaCuCoAragones/status/805707160676089856","805707160676089856")</f>
        <v>805707160676089856</v>
      </c>
      <c r="F1402" s="23" t="s">
        <v>37</v>
      </c>
      <c r="G1402" s="24">
        <v>1338.0</v>
      </c>
      <c r="H1402" s="24">
        <v>764.0</v>
      </c>
      <c r="I1402" s="24">
        <v>15.0</v>
      </c>
      <c r="J1402" s="24">
        <v>0.0</v>
      </c>
      <c r="K1402" s="23" t="s">
        <v>27</v>
      </c>
      <c r="L1402" s="25">
        <v>41141.45627314815</v>
      </c>
      <c r="M1402" s="26" t="s">
        <v>332</v>
      </c>
      <c r="N1402" s="26" t="s">
        <v>2776</v>
      </c>
      <c r="O1402" s="22" t="str">
        <f>HYPERLINK("https://pbs.twimg.com/profile_images/682535147149901824/LV1RVKA1_normal.jpg","View")</f>
        <v>View</v>
      </c>
      <c r="P1402" s="27"/>
    </row>
    <row r="1403">
      <c r="A1403" s="19">
        <v>42709.40305555555</v>
      </c>
      <c r="B1403" s="20" t="str">
        <f>HYPERLINK("https://twitter.com/mafolu2","@mafolu2")</f>
        <v>@mafolu2</v>
      </c>
      <c r="C1403" s="21" t="s">
        <v>2777</v>
      </c>
      <c r="D1403" s="21" t="s">
        <v>2778</v>
      </c>
      <c r="E1403" s="22" t="str">
        <f>HYPERLINK("https://twitter.com/mafolu2/status/805708390311821312","805708390311821312")</f>
        <v>805708390311821312</v>
      </c>
      <c r="F1403" s="23" t="s">
        <v>41</v>
      </c>
      <c r="G1403" s="24">
        <v>2889.0</v>
      </c>
      <c r="H1403" s="24">
        <v>2484.0</v>
      </c>
      <c r="I1403" s="24">
        <v>5.0</v>
      </c>
      <c r="J1403" s="24">
        <v>0.0</v>
      </c>
      <c r="K1403" s="23" t="s">
        <v>27</v>
      </c>
      <c r="L1403" s="25">
        <v>41859.375659722224</v>
      </c>
      <c r="M1403" s="28"/>
      <c r="N1403" s="26" t="s">
        <v>2779</v>
      </c>
      <c r="O1403" s="22" t="str">
        <f>HYPERLINK("https://pbs.twimg.com/profile_images/727107781547954178/HBDiYjIp_normal.jpg","View")</f>
        <v>View</v>
      </c>
      <c r="P1403" s="27"/>
    </row>
    <row r="1404">
      <c r="A1404" s="19">
        <v>42709.41568287037</v>
      </c>
      <c r="B1404" s="20" t="str">
        <f>HYPERLINK("https://twitter.com/TwiTenerifeGolf","@TwiTenerifeGolf")</f>
        <v>@TwiTenerifeGolf</v>
      </c>
      <c r="C1404" s="21" t="s">
        <v>879</v>
      </c>
      <c r="D1404" s="21" t="s">
        <v>2780</v>
      </c>
      <c r="E1404" s="22" t="str">
        <f>HYPERLINK("https://twitter.com/TwiTenerifeGolf/status/805712966083547136","805712966083547136")</f>
        <v>805712966083547136</v>
      </c>
      <c r="F1404" s="23" t="s">
        <v>37</v>
      </c>
      <c r="G1404" s="24">
        <v>1879.0</v>
      </c>
      <c r="H1404" s="24">
        <v>937.0</v>
      </c>
      <c r="I1404" s="24">
        <v>0.0</v>
      </c>
      <c r="J1404" s="24">
        <v>0.0</v>
      </c>
      <c r="K1404" s="23" t="s">
        <v>27</v>
      </c>
      <c r="L1404" s="25">
        <v>41724.79984953704</v>
      </c>
      <c r="M1404" s="26" t="s">
        <v>282</v>
      </c>
      <c r="N1404" s="26" t="s">
        <v>881</v>
      </c>
      <c r="O1404" s="22" t="str">
        <f>HYPERLINK("https://pbs.twimg.com/profile_images/723156330673000448/xa2FT8Re_normal.jpg","View")</f>
        <v>View</v>
      </c>
      <c r="P1404" s="27"/>
    </row>
    <row r="1405">
      <c r="A1405" s="19">
        <v>42709.41755787037</v>
      </c>
      <c r="B1405" s="20" t="str">
        <f>HYPERLINK("https://twitter.com/carcassi12","@carcassi12")</f>
        <v>@carcassi12</v>
      </c>
      <c r="C1405" s="21" t="s">
        <v>2781</v>
      </c>
      <c r="D1405" s="21" t="s">
        <v>2782</v>
      </c>
      <c r="E1405" s="22" t="str">
        <f>HYPERLINK("https://twitter.com/carcassi12/status/805713644839387136","805713644839387136")</f>
        <v>805713644839387136</v>
      </c>
      <c r="F1405" s="23" t="s">
        <v>41</v>
      </c>
      <c r="G1405" s="24">
        <v>53.0</v>
      </c>
      <c r="H1405" s="24">
        <v>226.0</v>
      </c>
      <c r="I1405" s="24">
        <v>7.0</v>
      </c>
      <c r="J1405" s="24">
        <v>0.0</v>
      </c>
      <c r="K1405" s="23" t="s">
        <v>27</v>
      </c>
      <c r="L1405" s="25">
        <v>42570.71554398148</v>
      </c>
      <c r="M1405" s="26" t="s">
        <v>2783</v>
      </c>
      <c r="N1405" s="26" t="s">
        <v>2784</v>
      </c>
      <c r="O1405" s="22" t="str">
        <f>HYPERLINK("https://pbs.twimg.com/profile_images/776481397867417604/F-h1Mbgz_normal.jpg","View")</f>
        <v>View</v>
      </c>
      <c r="P1405" s="27"/>
    </row>
    <row r="1406">
      <c r="A1406" s="19">
        <v>42709.41915509259</v>
      </c>
      <c r="B1406" s="20" t="str">
        <f>HYPERLINK("https://twitter.com/BulaQuo","@BulaQuo")</f>
        <v>@BulaQuo</v>
      </c>
      <c r="C1406" s="21" t="s">
        <v>1157</v>
      </c>
      <c r="D1406" s="21" t="s">
        <v>2785</v>
      </c>
      <c r="E1406" s="22" t="str">
        <f>HYPERLINK("https://twitter.com/BulaQuo/status/805714224018231296","805714224018231296")</f>
        <v>805714224018231296</v>
      </c>
      <c r="F1406" s="23" t="s">
        <v>77</v>
      </c>
      <c r="G1406" s="24">
        <v>1790.0</v>
      </c>
      <c r="H1406" s="24">
        <v>1991.0</v>
      </c>
      <c r="I1406" s="24">
        <v>0.0</v>
      </c>
      <c r="J1406" s="24">
        <v>0.0</v>
      </c>
      <c r="K1406" s="23" t="s">
        <v>27</v>
      </c>
      <c r="L1406" s="25">
        <v>41015.418287037035</v>
      </c>
      <c r="M1406" s="26" t="s">
        <v>1159</v>
      </c>
      <c r="N1406" s="26" t="s">
        <v>1160</v>
      </c>
      <c r="O1406" s="22" t="str">
        <f>HYPERLINK("https://pbs.twimg.com/profile_images/652397579418910721/FOCz2BMO_normal.jpg","View")</f>
        <v>View</v>
      </c>
      <c r="P1406" s="27"/>
    </row>
    <row r="1407">
      <c r="A1407" s="19">
        <v>42709.41917824074</v>
      </c>
      <c r="B1407" s="20" t="str">
        <f>HYPERLINK("https://twitter.com/BulaQuoMovieUSA","@BulaQuoMovieUSA")</f>
        <v>@BulaQuoMovieUSA</v>
      </c>
      <c r="C1407" s="21" t="s">
        <v>1161</v>
      </c>
      <c r="D1407" s="21" t="s">
        <v>2786</v>
      </c>
      <c r="E1407" s="22" t="str">
        <f>HYPERLINK("https://twitter.com/BulaQuoMovieUSA/status/805714235124842496","805714235124842496")</f>
        <v>805714235124842496</v>
      </c>
      <c r="F1407" s="23" t="s">
        <v>77</v>
      </c>
      <c r="G1407" s="24">
        <v>1468.0</v>
      </c>
      <c r="H1407" s="24">
        <v>2770.0</v>
      </c>
      <c r="I1407" s="24">
        <v>0.0</v>
      </c>
      <c r="J1407" s="24">
        <v>0.0</v>
      </c>
      <c r="K1407" s="23" t="s">
        <v>27</v>
      </c>
      <c r="L1407" s="25">
        <v>42230.372094907405</v>
      </c>
      <c r="M1407" s="26" t="s">
        <v>1163</v>
      </c>
      <c r="N1407" s="26" t="s">
        <v>1164</v>
      </c>
      <c r="O1407" s="22" t="str">
        <f>HYPERLINK("https://pbs.twimg.com/profile_images/655396294127652864/ez4zcU7V_normal.jpg","View")</f>
        <v>View</v>
      </c>
      <c r="P1407" s="27"/>
    </row>
    <row r="1408">
      <c r="A1408" s="19">
        <v>42709.41921296297</v>
      </c>
      <c r="B1408" s="20" t="str">
        <f>HYPERLINK("https://twitter.com/ComposerShades","@ComposerShades")</f>
        <v>@ComposerShades</v>
      </c>
      <c r="C1408" s="21" t="s">
        <v>128</v>
      </c>
      <c r="D1408" s="21" t="s">
        <v>2787</v>
      </c>
      <c r="E1408" s="22" t="str">
        <f>HYPERLINK("https://twitter.com/ComposerShades/status/805714246386458624","805714246386458624")</f>
        <v>805714246386458624</v>
      </c>
      <c r="F1408" s="23" t="s">
        <v>77</v>
      </c>
      <c r="G1408" s="24">
        <v>1827.0</v>
      </c>
      <c r="H1408" s="24">
        <v>3691.0</v>
      </c>
      <c r="I1408" s="24">
        <v>0.0</v>
      </c>
      <c r="J1408" s="24">
        <v>0.0</v>
      </c>
      <c r="K1408" s="23" t="s">
        <v>27</v>
      </c>
      <c r="L1408" s="25">
        <v>42209.46724537037</v>
      </c>
      <c r="M1408" s="26" t="s">
        <v>130</v>
      </c>
      <c r="N1408" s="26" t="s">
        <v>131</v>
      </c>
      <c r="O1408" s="22" t="str">
        <f>HYPERLINK("https://pbs.twimg.com/profile_images/783382917640781824/AqM_zAOY_normal.jpg","View")</f>
        <v>View</v>
      </c>
      <c r="P1408" s="27"/>
    </row>
    <row r="1409">
      <c r="A1409" s="19">
        <v>42709.41924768519</v>
      </c>
      <c r="B1409" s="20" t="str">
        <f>HYPERLINK("https://twitter.com/Doris_Blog","@Doris_Blog")</f>
        <v>@Doris_Blog</v>
      </c>
      <c r="C1409" s="21" t="s">
        <v>125</v>
      </c>
      <c r="D1409" s="21" t="s">
        <v>2788</v>
      </c>
      <c r="E1409" s="22" t="str">
        <f>HYPERLINK("https://twitter.com/Doris_Blog/status/805714257400725504","805714257400725504")</f>
        <v>805714257400725504</v>
      </c>
      <c r="F1409" s="23" t="s">
        <v>77</v>
      </c>
      <c r="G1409" s="24">
        <v>2333.0</v>
      </c>
      <c r="H1409" s="24">
        <v>3655.0</v>
      </c>
      <c r="I1409" s="24">
        <v>0.0</v>
      </c>
      <c r="J1409" s="24">
        <v>0.0</v>
      </c>
      <c r="K1409" s="23" t="s">
        <v>27</v>
      </c>
      <c r="L1409" s="25">
        <v>42095.21026620371</v>
      </c>
      <c r="M1409" s="26" t="s">
        <v>119</v>
      </c>
      <c r="N1409" s="26" t="s">
        <v>127</v>
      </c>
      <c r="O1409" s="22" t="str">
        <f>HYPERLINK("https://pbs.twimg.com/profile_images/769621211911450624/O-JLlK5O_normal.jpg","View")</f>
        <v>View</v>
      </c>
      <c r="P1409" s="27"/>
    </row>
    <row r="1410">
      <c r="A1410" s="19">
        <v>42709.41927083333</v>
      </c>
      <c r="B1410" s="20" t="str">
        <f>HYPERLINK("https://twitter.com/DorisShades","@DorisShades")</f>
        <v>@DorisShades</v>
      </c>
      <c r="C1410" s="21" t="s">
        <v>121</v>
      </c>
      <c r="D1410" s="21" t="s">
        <v>2789</v>
      </c>
      <c r="E1410" s="22" t="str">
        <f>HYPERLINK("https://twitter.com/DorisShades/status/805714267844595712","805714267844595712")</f>
        <v>805714267844595712</v>
      </c>
      <c r="F1410" s="23" t="s">
        <v>77</v>
      </c>
      <c r="G1410" s="24">
        <v>3693.0</v>
      </c>
      <c r="H1410" s="24">
        <v>4432.0</v>
      </c>
      <c r="I1410" s="24">
        <v>0.0</v>
      </c>
      <c r="J1410" s="24">
        <v>0.0</v>
      </c>
      <c r="K1410" s="23" t="s">
        <v>27</v>
      </c>
      <c r="L1410" s="25">
        <v>42095.182499999995</v>
      </c>
      <c r="M1410" s="26" t="s">
        <v>123</v>
      </c>
      <c r="N1410" s="26" t="s">
        <v>124</v>
      </c>
      <c r="O1410" s="22" t="str">
        <f>HYPERLINK("https://pbs.twimg.com/profile_images/777456052094791681/oTN7NDTr_normal.jpg","View")</f>
        <v>View</v>
      </c>
      <c r="P1410" s="27"/>
    </row>
    <row r="1411">
      <c r="A1411" s="19">
        <v>42709.41930555555</v>
      </c>
      <c r="B1411" s="20" t="str">
        <f>HYPERLINK("https://twitter.com/DorisVisits","@DorisVisits")</f>
        <v>@DorisVisits</v>
      </c>
      <c r="C1411" s="21" t="s">
        <v>132</v>
      </c>
      <c r="D1411" s="21" t="s">
        <v>2790</v>
      </c>
      <c r="E1411" s="22" t="str">
        <f>HYPERLINK("https://twitter.com/DorisVisits/status/805714278594519040","805714278594519040")</f>
        <v>805714278594519040</v>
      </c>
      <c r="F1411" s="23" t="s">
        <v>77</v>
      </c>
      <c r="G1411" s="24">
        <v>3046.0</v>
      </c>
      <c r="H1411" s="24">
        <v>4501.0</v>
      </c>
      <c r="I1411" s="24">
        <v>0.0</v>
      </c>
      <c r="J1411" s="24">
        <v>0.0</v>
      </c>
      <c r="K1411" s="23" t="s">
        <v>27</v>
      </c>
      <c r="L1411" s="25">
        <v>42330.5372337963</v>
      </c>
      <c r="M1411" s="26" t="s">
        <v>134</v>
      </c>
      <c r="N1411" s="26" t="s">
        <v>135</v>
      </c>
      <c r="O1411" s="22" t="str">
        <f>HYPERLINK("https://pbs.twimg.com/profile_images/668416648211222529/-2knYf0__normal.jpg","View")</f>
        <v>View</v>
      </c>
      <c r="P1411" s="27"/>
    </row>
    <row r="1412">
      <c r="A1412" s="19">
        <v>42709.419328703705</v>
      </c>
      <c r="B1412" s="20" t="str">
        <f>HYPERLINK("https://twitter.com/DorisVisitsUK","@DorisVisitsUK")</f>
        <v>@DorisVisitsUK</v>
      </c>
      <c r="C1412" s="21" t="s">
        <v>437</v>
      </c>
      <c r="D1412" s="21" t="s">
        <v>2791</v>
      </c>
      <c r="E1412" s="22" t="str">
        <f>HYPERLINK("https://twitter.com/DorisVisitsUK/status/805714290539958272","805714290539958272")</f>
        <v>805714290539958272</v>
      </c>
      <c r="F1412" s="23" t="s">
        <v>77</v>
      </c>
      <c r="G1412" s="24">
        <v>2647.0</v>
      </c>
      <c r="H1412" s="24">
        <v>3792.0</v>
      </c>
      <c r="I1412" s="24">
        <v>0.0</v>
      </c>
      <c r="J1412" s="24">
        <v>0.0</v>
      </c>
      <c r="K1412" s="23" t="s">
        <v>27</v>
      </c>
      <c r="L1412" s="25">
        <v>42095.200590277775</v>
      </c>
      <c r="M1412" s="26" t="s">
        <v>119</v>
      </c>
      <c r="N1412" s="26" t="s">
        <v>439</v>
      </c>
      <c r="O1412" s="22" t="str">
        <f>HYPERLINK("https://pbs.twimg.com/profile_images/777545822254825472/0-x9uu3s_normal.jpg","View")</f>
        <v>View</v>
      </c>
      <c r="P1412" s="27"/>
    </row>
    <row r="1413">
      <c r="A1413" s="19">
        <v>42709.41936342593</v>
      </c>
      <c r="B1413" s="20" t="str">
        <f>HYPERLINK("https://twitter.com/FilmCheatGuide","@FilmCheatGuide")</f>
        <v>@FilmCheatGuide</v>
      </c>
      <c r="C1413" s="21" t="s">
        <v>1170</v>
      </c>
      <c r="D1413" s="21" t="s">
        <v>2792</v>
      </c>
      <c r="E1413" s="22" t="str">
        <f>HYPERLINK("https://twitter.com/FilmCheatGuide/status/805714301826822144","805714301826822144")</f>
        <v>805714301826822144</v>
      </c>
      <c r="F1413" s="23" t="s">
        <v>77</v>
      </c>
      <c r="G1413" s="24">
        <v>2511.0</v>
      </c>
      <c r="H1413" s="24">
        <v>4490.0</v>
      </c>
      <c r="I1413" s="24">
        <v>0.0</v>
      </c>
      <c r="J1413" s="24">
        <v>0.0</v>
      </c>
      <c r="K1413" s="23" t="s">
        <v>27</v>
      </c>
      <c r="L1413" s="25">
        <v>42235.48841435185</v>
      </c>
      <c r="M1413" s="26" t="s">
        <v>1172</v>
      </c>
      <c r="N1413" s="26" t="s">
        <v>1173</v>
      </c>
      <c r="O1413" s="22" t="str">
        <f>HYPERLINK("https://pbs.twimg.com/profile_images/633973215384223745/lkA98fRS_normal.jpg","View")</f>
        <v>View</v>
      </c>
      <c r="P1413" s="27"/>
    </row>
    <row r="1414">
      <c r="A1414" s="19">
        <v>42709.41939814815</v>
      </c>
      <c r="B1414" s="20" t="str">
        <f>HYPERLINK("https://twitter.com/Freightmovie","@Freightmovie")</f>
        <v>@Freightmovie</v>
      </c>
      <c r="C1414" s="21" t="s">
        <v>1174</v>
      </c>
      <c r="D1414" s="21" t="s">
        <v>2793</v>
      </c>
      <c r="E1414" s="22" t="str">
        <f>HYPERLINK("https://twitter.com/Freightmovie/status/805714312677486592","805714312677486592")</f>
        <v>805714312677486592</v>
      </c>
      <c r="F1414" s="23" t="s">
        <v>77</v>
      </c>
      <c r="G1414" s="24">
        <v>692.0</v>
      </c>
      <c r="H1414" s="24">
        <v>779.0</v>
      </c>
      <c r="I1414" s="24">
        <v>0.0</v>
      </c>
      <c r="J1414" s="24">
        <v>0.0</v>
      </c>
      <c r="K1414" s="23" t="s">
        <v>27</v>
      </c>
      <c r="L1414" s="25">
        <v>42230.3499537037</v>
      </c>
      <c r="M1414" s="26" t="s">
        <v>1176</v>
      </c>
      <c r="N1414" s="26" t="s">
        <v>1177</v>
      </c>
      <c r="O1414" s="22" t="str">
        <f>HYPERLINK("https://pbs.twimg.com/profile_images/635723237780013056/Gk_5eJ-F_normal.jpg","View")</f>
        <v>View</v>
      </c>
      <c r="P1414" s="27"/>
    </row>
    <row r="1415">
      <c r="A1415" s="19">
        <v>42709.4194212963</v>
      </c>
      <c r="B1415" s="20" t="str">
        <f>HYPERLINK("https://twitter.com/GuestActorShade","@GuestActorShade")</f>
        <v>@GuestActorShade</v>
      </c>
      <c r="C1415" s="21" t="s">
        <v>441</v>
      </c>
      <c r="D1415" s="21" t="s">
        <v>2794</v>
      </c>
      <c r="E1415" s="22" t="str">
        <f>HYPERLINK("https://twitter.com/GuestActorShade/status/805714323813396480","805714323813396480")</f>
        <v>805714323813396480</v>
      </c>
      <c r="F1415" s="23" t="s">
        <v>77</v>
      </c>
      <c r="G1415" s="24">
        <v>739.0</v>
      </c>
      <c r="H1415" s="24">
        <v>2374.0</v>
      </c>
      <c r="I1415" s="24">
        <v>0.0</v>
      </c>
      <c r="J1415" s="24">
        <v>0.0</v>
      </c>
      <c r="K1415" s="23" t="s">
        <v>27</v>
      </c>
      <c r="L1415" s="25">
        <v>42215.31605324074</v>
      </c>
      <c r="M1415" s="26" t="s">
        <v>130</v>
      </c>
      <c r="N1415" s="26" t="s">
        <v>443</v>
      </c>
      <c r="O1415" s="22" t="str">
        <f>HYPERLINK("https://pbs.twimg.com/profile_images/777552444800765952/Vo7e7swC_normal.jpg","View")</f>
        <v>View</v>
      </c>
      <c r="P1415" s="27"/>
    </row>
    <row r="1416">
      <c r="A1416" s="19">
        <v>42709.41945601851</v>
      </c>
      <c r="B1416" s="20" t="str">
        <f>HYPERLINK("https://twitter.com/Shades_Of_Bad_","@Shades_Of_Bad_")</f>
        <v>@Shades_Of_Bad_</v>
      </c>
      <c r="C1416" s="21" t="s">
        <v>117</v>
      </c>
      <c r="D1416" s="21" t="s">
        <v>2795</v>
      </c>
      <c r="E1416" s="22" t="str">
        <f>HYPERLINK("https://twitter.com/Shades_Of_Bad_/status/805714335792328704","805714335792328704")</f>
        <v>805714335792328704</v>
      </c>
      <c r="F1416" s="23" t="s">
        <v>77</v>
      </c>
      <c r="G1416" s="24">
        <v>3899.0</v>
      </c>
      <c r="H1416" s="24">
        <v>4395.0</v>
      </c>
      <c r="I1416" s="24">
        <v>0.0</v>
      </c>
      <c r="J1416" s="24">
        <v>0.0</v>
      </c>
      <c r="K1416" s="23" t="s">
        <v>27</v>
      </c>
      <c r="L1416" s="25">
        <v>42095.20612268518</v>
      </c>
      <c r="M1416" s="26" t="s">
        <v>119</v>
      </c>
      <c r="N1416" s="26" t="s">
        <v>120</v>
      </c>
      <c r="O1416" s="22" t="str">
        <f>HYPERLINK("https://pbs.twimg.com/profile_images/605126470994903041/ANadzfFp_normal.jpg","View")</f>
        <v>View</v>
      </c>
      <c r="P1416" s="27"/>
    </row>
    <row r="1417">
      <c r="A1417" s="19">
        <v>42709.41949074074</v>
      </c>
      <c r="B1417" s="20" t="str">
        <f>HYPERLINK("https://twitter.com/ShadesDirector","@ShadesDirector")</f>
        <v>@ShadesDirector</v>
      </c>
      <c r="C1417" s="21" t="s">
        <v>444</v>
      </c>
      <c r="D1417" s="21" t="s">
        <v>2796</v>
      </c>
      <c r="E1417" s="22" t="str">
        <f>HYPERLINK("https://twitter.com/ShadesDirector/status/805714347364413440","805714347364413440")</f>
        <v>805714347364413440</v>
      </c>
      <c r="F1417" s="23" t="s">
        <v>77</v>
      </c>
      <c r="G1417" s="24">
        <v>2731.0</v>
      </c>
      <c r="H1417" s="24">
        <v>3129.0</v>
      </c>
      <c r="I1417" s="24">
        <v>0.0</v>
      </c>
      <c r="J1417" s="24">
        <v>1.0</v>
      </c>
      <c r="K1417" s="23" t="s">
        <v>27</v>
      </c>
      <c r="L1417" s="25">
        <v>42231.6780787037</v>
      </c>
      <c r="M1417" s="28"/>
      <c r="N1417" s="26" t="s">
        <v>446</v>
      </c>
      <c r="O1417" s="22" t="str">
        <f>HYPERLINK("https://pbs.twimg.com/profile_images/769622463344959489/FhJxVtM2_normal.jpg","View")</f>
        <v>View</v>
      </c>
      <c r="P1417" s="27"/>
    </row>
    <row r="1418">
      <c r="A1418" s="19">
        <v>42709.41962962963</v>
      </c>
      <c r="B1418" s="20" t="str">
        <f>HYPERLINK("https://twitter.com/bermaxo09","@bermaxo09")</f>
        <v>@bermaxo09</v>
      </c>
      <c r="C1418" s="21" t="s">
        <v>284</v>
      </c>
      <c r="D1418" s="21" t="s">
        <v>2797</v>
      </c>
      <c r="E1418" s="22" t="str">
        <f>HYPERLINK("https://twitter.com/bermaxo09/status/805714395980591104","805714395980591104")</f>
        <v>805714395980591104</v>
      </c>
      <c r="F1418" s="23" t="s">
        <v>37</v>
      </c>
      <c r="G1418" s="24">
        <v>193.0</v>
      </c>
      <c r="H1418" s="24">
        <v>196.0</v>
      </c>
      <c r="I1418" s="24">
        <v>0.0</v>
      </c>
      <c r="J1418" s="24">
        <v>3.0</v>
      </c>
      <c r="K1418" s="23" t="s">
        <v>27</v>
      </c>
      <c r="L1418" s="25">
        <v>42689.441516203704</v>
      </c>
      <c r="M1418" s="26" t="s">
        <v>109</v>
      </c>
      <c r="N1418" s="26" t="s">
        <v>286</v>
      </c>
      <c r="O1418" s="22" t="str">
        <f>HYPERLINK("https://pbs.twimg.com/profile_images/798476790478073856/iOD0HIRa_normal.jpg","View")</f>
        <v>View</v>
      </c>
      <c r="P1418" s="27"/>
    </row>
    <row r="1419">
      <c r="A1419" s="19">
        <v>42709.42150462963</v>
      </c>
      <c r="B1419" s="20" t="str">
        <f>HYPERLINK("https://twitter.com/islaspromo","@islaspromo")</f>
        <v>@islaspromo</v>
      </c>
      <c r="C1419" s="21" t="s">
        <v>215</v>
      </c>
      <c r="D1419" s="21" t="s">
        <v>1055</v>
      </c>
      <c r="E1419" s="22" t="str">
        <f>HYPERLINK("https://twitter.com/islaspromo/status/805715075696889857","805715075696889857")</f>
        <v>805715075696889857</v>
      </c>
      <c r="F1419" s="23" t="s">
        <v>37</v>
      </c>
      <c r="G1419" s="24">
        <v>785.0</v>
      </c>
      <c r="H1419" s="24">
        <v>591.0</v>
      </c>
      <c r="I1419" s="24">
        <v>15.0</v>
      </c>
      <c r="J1419" s="24">
        <v>0.0</v>
      </c>
      <c r="K1419" s="23" t="s">
        <v>27</v>
      </c>
      <c r="L1419" s="25">
        <v>42060.74221064815</v>
      </c>
      <c r="M1419" s="26" t="s">
        <v>51</v>
      </c>
      <c r="N1419" s="26" t="s">
        <v>216</v>
      </c>
      <c r="O1419" s="22" t="str">
        <f>HYPERLINK("https://pbs.twimg.com/profile_images/570644453866483712/dvbC2x8W_normal.jpeg","View")</f>
        <v>View</v>
      </c>
      <c r="P1419" s="27"/>
    </row>
    <row r="1420">
      <c r="A1420" s="19">
        <v>42709.421689814815</v>
      </c>
      <c r="B1420" s="20" t="str">
        <f>HYPERLINK("https://twitter.com/TCAirlinesUK","@TCAirlinesUK")</f>
        <v>@TCAirlinesUK</v>
      </c>
      <c r="C1420" s="21" t="s">
        <v>2798</v>
      </c>
      <c r="D1420" s="21" t="s">
        <v>2782</v>
      </c>
      <c r="E1420" s="22" t="str">
        <f>HYPERLINK("https://twitter.com/TCAirlinesUK/status/805715142919024641","805715142919024641")</f>
        <v>805715142919024641</v>
      </c>
      <c r="F1420" s="23" t="s">
        <v>37</v>
      </c>
      <c r="G1420" s="24">
        <v>24478.0</v>
      </c>
      <c r="H1420" s="24">
        <v>4190.0</v>
      </c>
      <c r="I1420" s="24">
        <v>7.0</v>
      </c>
      <c r="J1420" s="24">
        <v>0.0</v>
      </c>
      <c r="K1420" s="23" t="s">
        <v>27</v>
      </c>
      <c r="L1420" s="25">
        <v>40679.69461805555</v>
      </c>
      <c r="M1420" s="26" t="s">
        <v>2799</v>
      </c>
      <c r="N1420" s="26" t="s">
        <v>2800</v>
      </c>
      <c r="O1420" s="22" t="str">
        <f>HYPERLINK("https://pbs.twimg.com/profile_images/583345288234070017/uj4D5Ww1_normal.jpg","View")</f>
        <v>View</v>
      </c>
      <c r="P1420" s="27"/>
    </row>
    <row r="1421">
      <c r="A1421" s="19">
        <v>42709.42172453704</v>
      </c>
      <c r="B1421" s="20" t="str">
        <f>HYPERLINK("https://twitter.com/GrupoSTIER","@GrupoSTIER")</f>
        <v>@GrupoSTIER</v>
      </c>
      <c r="C1421" s="21" t="s">
        <v>2801</v>
      </c>
      <c r="D1421" s="21" t="s">
        <v>2802</v>
      </c>
      <c r="E1421" s="22" t="str">
        <f>HYPERLINK("https://twitter.com/GrupoSTIER/status/805715155841589248","805715155841589248")</f>
        <v>805715155841589248</v>
      </c>
      <c r="F1421" s="23" t="s">
        <v>26</v>
      </c>
      <c r="G1421" s="24">
        <v>132.0</v>
      </c>
      <c r="H1421" s="24">
        <v>155.0</v>
      </c>
      <c r="I1421" s="24">
        <v>0.0</v>
      </c>
      <c r="J1421" s="24">
        <v>0.0</v>
      </c>
      <c r="K1421" s="23" t="s">
        <v>27</v>
      </c>
      <c r="L1421" s="25">
        <v>41835.67804398148</v>
      </c>
      <c r="M1421" s="26" t="s">
        <v>109</v>
      </c>
      <c r="N1421" s="26" t="s">
        <v>2803</v>
      </c>
      <c r="O1421" s="22" t="str">
        <f>HYPERLINK("https://pbs.twimg.com/profile_images/689725261491933184/2iPM6daZ_normal.jpg","View")</f>
        <v>View</v>
      </c>
      <c r="P1421" s="27"/>
    </row>
    <row r="1422">
      <c r="A1422" s="19">
        <v>42709.42496527778</v>
      </c>
      <c r="B1422" s="20" t="str">
        <f>HYPERLINK("https://twitter.com/HotelEscuelaSB","@HotelEscuelaSB")</f>
        <v>@HotelEscuelaSB</v>
      </c>
      <c r="C1422" s="21" t="s">
        <v>522</v>
      </c>
      <c r="D1422" s="21" t="s">
        <v>2778</v>
      </c>
      <c r="E1422" s="22" t="str">
        <f>HYPERLINK("https://twitter.com/HotelEscuelaSB/status/805716333237325824","805716333237325824")</f>
        <v>805716333237325824</v>
      </c>
      <c r="F1422" s="23" t="s">
        <v>37</v>
      </c>
      <c r="G1422" s="24">
        <v>127.0</v>
      </c>
      <c r="H1422" s="24">
        <v>392.0</v>
      </c>
      <c r="I1422" s="24">
        <v>5.0</v>
      </c>
      <c r="J1422" s="24">
        <v>0.0</v>
      </c>
      <c r="K1422" s="23" t="s">
        <v>27</v>
      </c>
      <c r="L1422" s="25">
        <v>42648.49597222223</v>
      </c>
      <c r="M1422" s="28"/>
      <c r="N1422" s="26" t="s">
        <v>523</v>
      </c>
      <c r="O1422" s="22" t="str">
        <f>HYPERLINK("https://pbs.twimg.com/profile_images/792036201695940608/ZYEcPM7L_normal.jpg","View")</f>
        <v>View</v>
      </c>
      <c r="P1422" s="27"/>
    </row>
    <row r="1423">
      <c r="A1423" s="19">
        <v>42709.425578703704</v>
      </c>
      <c r="B1423" s="20" t="str">
        <f>HYPERLINK("https://twitter.com/CarelAsensio","@CarelAsensio")</f>
        <v>@CarelAsensio</v>
      </c>
      <c r="C1423" s="21" t="s">
        <v>2804</v>
      </c>
      <c r="D1423" s="21" t="s">
        <v>2760</v>
      </c>
      <c r="E1423" s="22" t="str">
        <f>HYPERLINK("https://twitter.com/CarelAsensio/status/805716553454985216","805716553454985216")</f>
        <v>805716553454985216</v>
      </c>
      <c r="F1423" s="23" t="s">
        <v>41</v>
      </c>
      <c r="G1423" s="24">
        <v>604.0</v>
      </c>
      <c r="H1423" s="24">
        <v>983.0</v>
      </c>
      <c r="I1423" s="24">
        <v>10.0</v>
      </c>
      <c r="J1423" s="24">
        <v>0.0</v>
      </c>
      <c r="K1423" s="23" t="s">
        <v>27</v>
      </c>
      <c r="L1423" s="25">
        <v>40867.785949074074</v>
      </c>
      <c r="M1423" s="26" t="s">
        <v>282</v>
      </c>
      <c r="N1423" s="26" t="s">
        <v>2805</v>
      </c>
      <c r="O1423" s="22" t="str">
        <f>HYPERLINK("https://pbs.twimg.com/profile_images/691323024126124032/panawQzP_normal.jpg","View")</f>
        <v>View</v>
      </c>
      <c r="P1423" s="27"/>
    </row>
    <row r="1424">
      <c r="A1424" s="19">
        <v>42709.42584490741</v>
      </c>
      <c r="B1424" s="20" t="str">
        <f>HYPERLINK("https://twitter.com/Selhso","@Selhso")</f>
        <v>@Selhso</v>
      </c>
      <c r="C1424" s="21" t="s">
        <v>194</v>
      </c>
      <c r="D1424" s="21" t="s">
        <v>2806</v>
      </c>
      <c r="E1424" s="22" t="str">
        <f>HYPERLINK("https://twitter.com/Selhso/status/805716651605893120","805716651605893120")</f>
        <v>805716651605893120</v>
      </c>
      <c r="F1424" s="23" t="s">
        <v>37</v>
      </c>
      <c r="G1424" s="24">
        <v>1615.0</v>
      </c>
      <c r="H1424" s="24">
        <v>1661.0</v>
      </c>
      <c r="I1424" s="24">
        <v>7.0</v>
      </c>
      <c r="J1424" s="24">
        <v>12.0</v>
      </c>
      <c r="K1424" s="23" t="s">
        <v>27</v>
      </c>
      <c r="L1424" s="25">
        <v>40372.68681712963</v>
      </c>
      <c r="M1424" s="26" t="s">
        <v>196</v>
      </c>
      <c r="N1424" s="26" t="s">
        <v>109</v>
      </c>
      <c r="O1424" s="22" t="str">
        <f>HYPERLINK("https://pbs.twimg.com/profile_images/800845512836579328/cKh_5hB2_normal.jpg","View")</f>
        <v>View</v>
      </c>
      <c r="P1424" s="27"/>
    </row>
    <row r="1425">
      <c r="A1425" s="19">
        <v>42709.4262962963</v>
      </c>
      <c r="B1425" s="20" t="str">
        <f>HYPERLINK("https://twitter.com/paisajecanario","@paisajecanario")</f>
        <v>@paisajecanario</v>
      </c>
      <c r="C1425" s="21" t="s">
        <v>70</v>
      </c>
      <c r="D1425" s="21" t="s">
        <v>2807</v>
      </c>
      <c r="E1425" s="22" t="str">
        <f>HYPERLINK("https://twitter.com/paisajecanario/status/805716812667191296","805716812667191296")</f>
        <v>805716812667191296</v>
      </c>
      <c r="F1425" s="23" t="s">
        <v>26</v>
      </c>
      <c r="G1425" s="24">
        <v>13324.0</v>
      </c>
      <c r="H1425" s="24">
        <v>434.0</v>
      </c>
      <c r="I1425" s="24">
        <v>7.0</v>
      </c>
      <c r="J1425" s="24">
        <v>0.0</v>
      </c>
      <c r="K1425" s="23" t="s">
        <v>27</v>
      </c>
      <c r="L1425" s="25">
        <v>41815.714641203704</v>
      </c>
      <c r="M1425" s="26" t="s">
        <v>71</v>
      </c>
      <c r="N1425" s="26" t="s">
        <v>72</v>
      </c>
      <c r="O1425" s="22" t="str">
        <f>HYPERLINK("https://pbs.twimg.com/profile_images/789364630850240512/Mw90qAlM_normal.jpg","View")</f>
        <v>View</v>
      </c>
      <c r="P1425" s="27"/>
    </row>
    <row r="1426">
      <c r="A1426" s="19">
        <v>42709.4271875</v>
      </c>
      <c r="B1426" s="20" t="str">
        <f t="shared" ref="B1426:B1428" si="148">HYPERLINK("https://twitter.com/holyber","@holyber")</f>
        <v>@holyber</v>
      </c>
      <c r="C1426" s="21" t="s">
        <v>45</v>
      </c>
      <c r="D1426" s="21" t="s">
        <v>2778</v>
      </c>
      <c r="E1426" s="22" t="str">
        <f>HYPERLINK("https://twitter.com/holyber/status/805717135897071616","805717135897071616")</f>
        <v>805717135897071616</v>
      </c>
      <c r="F1426" s="23" t="s">
        <v>37</v>
      </c>
      <c r="G1426" s="24">
        <v>106410.0</v>
      </c>
      <c r="H1426" s="24">
        <v>94316.0</v>
      </c>
      <c r="I1426" s="24">
        <v>5.0</v>
      </c>
      <c r="J1426" s="24">
        <v>0.0</v>
      </c>
      <c r="K1426" s="23" t="s">
        <v>27</v>
      </c>
      <c r="L1426" s="25">
        <v>41144.80637731482</v>
      </c>
      <c r="M1426" s="26" t="s">
        <v>46</v>
      </c>
      <c r="N1426" s="26" t="s">
        <v>47</v>
      </c>
      <c r="O1426" s="22" t="str">
        <f t="shared" ref="O1426:O1428" si="149">HYPERLINK("https://pbs.twimg.com/profile_images/475644614448123904/FiCl2pX4_normal.jpeg","View")</f>
        <v>View</v>
      </c>
      <c r="P1426" s="27"/>
    </row>
    <row r="1427">
      <c r="A1427" s="19">
        <v>42709.428136574075</v>
      </c>
      <c r="B1427" s="20" t="str">
        <f t="shared" si="148"/>
        <v>@holyber</v>
      </c>
      <c r="C1427" s="21" t="s">
        <v>45</v>
      </c>
      <c r="D1427" s="21" t="s">
        <v>2807</v>
      </c>
      <c r="E1427" s="22" t="str">
        <f>HYPERLINK("https://twitter.com/holyber/status/805717481079926785","805717481079926785")</f>
        <v>805717481079926785</v>
      </c>
      <c r="F1427" s="23" t="s">
        <v>37</v>
      </c>
      <c r="G1427" s="24">
        <v>106410.0</v>
      </c>
      <c r="H1427" s="24">
        <v>94316.0</v>
      </c>
      <c r="I1427" s="24">
        <v>7.0</v>
      </c>
      <c r="J1427" s="24">
        <v>0.0</v>
      </c>
      <c r="K1427" s="23" t="s">
        <v>27</v>
      </c>
      <c r="L1427" s="25">
        <v>41144.80637731482</v>
      </c>
      <c r="M1427" s="26" t="s">
        <v>46</v>
      </c>
      <c r="N1427" s="26" t="s">
        <v>47</v>
      </c>
      <c r="O1427" s="22" t="str">
        <f t="shared" si="149"/>
        <v>View</v>
      </c>
      <c r="P1427" s="27"/>
    </row>
    <row r="1428">
      <c r="A1428" s="19">
        <v>42709.42922453704</v>
      </c>
      <c r="B1428" s="20" t="str">
        <f t="shared" si="148"/>
        <v>@holyber</v>
      </c>
      <c r="C1428" s="21" t="s">
        <v>45</v>
      </c>
      <c r="D1428" s="21" t="s">
        <v>2760</v>
      </c>
      <c r="E1428" s="22" t="str">
        <f>HYPERLINK("https://twitter.com/holyber/status/805717873947791360","805717873947791360")</f>
        <v>805717873947791360</v>
      </c>
      <c r="F1428" s="23" t="s">
        <v>37</v>
      </c>
      <c r="G1428" s="24">
        <v>106410.0</v>
      </c>
      <c r="H1428" s="24">
        <v>94316.0</v>
      </c>
      <c r="I1428" s="24">
        <v>10.0</v>
      </c>
      <c r="J1428" s="24">
        <v>0.0</v>
      </c>
      <c r="K1428" s="23" t="s">
        <v>27</v>
      </c>
      <c r="L1428" s="25">
        <v>41144.80637731482</v>
      </c>
      <c r="M1428" s="26" t="s">
        <v>46</v>
      </c>
      <c r="N1428" s="26" t="s">
        <v>47</v>
      </c>
      <c r="O1428" s="22" t="str">
        <f t="shared" si="149"/>
        <v>View</v>
      </c>
      <c r="P1428" s="27"/>
    </row>
    <row r="1429">
      <c r="A1429" s="19">
        <v>42709.42927083334</v>
      </c>
      <c r="B1429" s="20" t="str">
        <f>HYPERLINK("https://twitter.com/ArianaFreezy","@ArianaFreezy")</f>
        <v>@ArianaFreezy</v>
      </c>
      <c r="C1429" s="21" t="s">
        <v>2808</v>
      </c>
      <c r="D1429" s="21" t="s">
        <v>2809</v>
      </c>
      <c r="E1429" s="22" t="str">
        <f>HYPERLINK("https://twitter.com/ArianaFreezy/status/805717889491881984","805717889491881984")</f>
        <v>805717889491881984</v>
      </c>
      <c r="F1429" s="23" t="s">
        <v>26</v>
      </c>
      <c r="G1429" s="24">
        <v>12445.0</v>
      </c>
      <c r="H1429" s="24">
        <v>7842.0</v>
      </c>
      <c r="I1429" s="24">
        <v>0.0</v>
      </c>
      <c r="J1429" s="24">
        <v>1.0</v>
      </c>
      <c r="K1429" s="23" t="s">
        <v>27</v>
      </c>
      <c r="L1429" s="25">
        <v>41798.29247685185</v>
      </c>
      <c r="M1429" s="26" t="s">
        <v>2810</v>
      </c>
      <c r="N1429" s="26" t="s">
        <v>2811</v>
      </c>
      <c r="O1429" s="22" t="str">
        <f>HYPERLINK("https://pbs.twimg.com/profile_images/805755905849589764/bgOd4BWP_normal.jpg","View")</f>
        <v>View</v>
      </c>
      <c r="P1429" s="27"/>
    </row>
    <row r="1430">
      <c r="A1430" s="19">
        <v>42709.431481481486</v>
      </c>
      <c r="B1430" s="20" t="str">
        <f>HYPERLINK("https://twitter.com/islaspromo","@islaspromo")</f>
        <v>@islaspromo</v>
      </c>
      <c r="C1430" s="21" t="s">
        <v>215</v>
      </c>
      <c r="D1430" s="21" t="s">
        <v>2807</v>
      </c>
      <c r="E1430" s="22" t="str">
        <f>HYPERLINK("https://twitter.com/islaspromo/status/805718693791629312","805718693791629312")</f>
        <v>805718693791629312</v>
      </c>
      <c r="F1430" s="23" t="s">
        <v>37</v>
      </c>
      <c r="G1430" s="24">
        <v>785.0</v>
      </c>
      <c r="H1430" s="24">
        <v>591.0</v>
      </c>
      <c r="I1430" s="24">
        <v>7.0</v>
      </c>
      <c r="J1430" s="24">
        <v>0.0</v>
      </c>
      <c r="K1430" s="23" t="s">
        <v>27</v>
      </c>
      <c r="L1430" s="25">
        <v>42060.74221064815</v>
      </c>
      <c r="M1430" s="26" t="s">
        <v>51</v>
      </c>
      <c r="N1430" s="26" t="s">
        <v>216</v>
      </c>
      <c r="O1430" s="22" t="str">
        <f>HYPERLINK("https://pbs.twimg.com/profile_images/570644453866483712/dvbC2x8W_normal.jpeg","View")</f>
        <v>View</v>
      </c>
      <c r="P1430" s="27"/>
    </row>
    <row r="1431">
      <c r="A1431" s="19">
        <v>42709.432754629626</v>
      </c>
      <c r="B1431" s="20" t="str">
        <f>HYPERLINK("https://twitter.com/Salamanca_SSV","@Salamanca_SSV")</f>
        <v>@Salamanca_SSV</v>
      </c>
      <c r="C1431" s="21" t="s">
        <v>170</v>
      </c>
      <c r="D1431" s="21" t="s">
        <v>2807</v>
      </c>
      <c r="E1431" s="22" t="str">
        <f>HYPERLINK("https://twitter.com/Salamanca_SSV/status/805719153743106048","805719153743106048")</f>
        <v>805719153743106048</v>
      </c>
      <c r="F1431" s="23" t="s">
        <v>41</v>
      </c>
      <c r="G1431" s="24">
        <v>7240.0</v>
      </c>
      <c r="H1431" s="24">
        <v>7824.0</v>
      </c>
      <c r="I1431" s="24">
        <v>7.0</v>
      </c>
      <c r="J1431" s="24">
        <v>0.0</v>
      </c>
      <c r="K1431" s="23" t="s">
        <v>27</v>
      </c>
      <c r="L1431" s="25">
        <v>41317.78532407407</v>
      </c>
      <c r="M1431" s="26" t="s">
        <v>171</v>
      </c>
      <c r="N1431" s="26" t="s">
        <v>172</v>
      </c>
      <c r="O1431" s="22" t="str">
        <f>HYPERLINK("https://pbs.twimg.com/profile_images/3461850627/70f1c6c744e939681691ad3a09d64375_normal.png","View")</f>
        <v>View</v>
      </c>
      <c r="P1431" s="27"/>
    </row>
    <row r="1432">
      <c r="A1432" s="19">
        <v>42709.4327662037</v>
      </c>
      <c r="B1432" s="20" t="str">
        <f>HYPERLINK("https://twitter.com/PepeMaciasM","@PepeMaciasM")</f>
        <v>@PepeMaciasM</v>
      </c>
      <c r="C1432" s="21" t="s">
        <v>748</v>
      </c>
      <c r="D1432" s="21" t="s">
        <v>2778</v>
      </c>
      <c r="E1432" s="22" t="str">
        <f>HYPERLINK("https://twitter.com/PepeMaciasM/status/805719159933956096","805719159933956096")</f>
        <v>805719159933956096</v>
      </c>
      <c r="F1432" s="23" t="s">
        <v>37</v>
      </c>
      <c r="G1432" s="24">
        <v>1516.0</v>
      </c>
      <c r="H1432" s="24">
        <v>1475.0</v>
      </c>
      <c r="I1432" s="24">
        <v>5.0</v>
      </c>
      <c r="J1432" s="24">
        <v>0.0</v>
      </c>
      <c r="K1432" s="23" t="s">
        <v>27</v>
      </c>
      <c r="L1432" s="25">
        <v>41324.68319444444</v>
      </c>
      <c r="M1432" s="26" t="s">
        <v>749</v>
      </c>
      <c r="N1432" s="26" t="s">
        <v>750</v>
      </c>
      <c r="O1432" s="22" t="str">
        <f>HYPERLINK("https://pbs.twimg.com/profile_images/796058706953768960/lG2hgqk4_normal.jpg","View")</f>
        <v>View</v>
      </c>
      <c r="P1432" s="27"/>
    </row>
    <row r="1433">
      <c r="A1433" s="19">
        <v>42709.440625</v>
      </c>
      <c r="B1433" s="20" t="str">
        <f>HYPERLINK("https://twitter.com/webwanderer2","@webwanderer2")</f>
        <v>@webwanderer2</v>
      </c>
      <c r="C1433" s="21" t="s">
        <v>2812</v>
      </c>
      <c r="D1433" s="21" t="s">
        <v>2813</v>
      </c>
      <c r="E1433" s="22" t="str">
        <f>HYPERLINK("https://twitter.com/webwanderer2/status/805722006503223296","805722006503223296")</f>
        <v>805722006503223296</v>
      </c>
      <c r="F1433" s="23" t="s">
        <v>81</v>
      </c>
      <c r="G1433" s="24">
        <v>314.0</v>
      </c>
      <c r="H1433" s="24">
        <v>590.0</v>
      </c>
      <c r="I1433" s="24">
        <v>0.0</v>
      </c>
      <c r="J1433" s="24">
        <v>1.0</v>
      </c>
      <c r="K1433" s="23" t="s">
        <v>27</v>
      </c>
      <c r="L1433" s="25">
        <v>40190.33237268518</v>
      </c>
      <c r="M1433" s="26" t="s">
        <v>2814</v>
      </c>
      <c r="N1433" s="26" t="s">
        <v>2815</v>
      </c>
      <c r="O1433" s="22" t="str">
        <f>HYPERLINK("https://pbs.twimg.com/profile_images/463722183483592704/Arrz_wkR_normal.jpeg","View")</f>
        <v>View</v>
      </c>
      <c r="P1433" s="27"/>
    </row>
    <row r="1434">
      <c r="A1434" s="19">
        <v>42709.45277777778</v>
      </c>
      <c r="B1434" s="20" t="str">
        <f>HYPERLINK("https://twitter.com/Tenerife_Ocio","@Tenerife_Ocio")</f>
        <v>@Tenerife_Ocio</v>
      </c>
      <c r="C1434" s="21" t="s">
        <v>2243</v>
      </c>
      <c r="D1434" s="21" t="s">
        <v>2693</v>
      </c>
      <c r="E1434" s="22" t="str">
        <f>HYPERLINK("https://twitter.com/Tenerife_Ocio/status/805726410392346624","805726410392346624")</f>
        <v>805726410392346624</v>
      </c>
      <c r="F1434" s="23" t="s">
        <v>167</v>
      </c>
      <c r="G1434" s="24">
        <v>22228.0</v>
      </c>
      <c r="H1434" s="24">
        <v>6132.0</v>
      </c>
      <c r="I1434" s="24">
        <v>16.0</v>
      </c>
      <c r="J1434" s="24">
        <v>0.0</v>
      </c>
      <c r="K1434" s="23" t="s">
        <v>27</v>
      </c>
      <c r="L1434" s="25">
        <v>41004.85806712963</v>
      </c>
      <c r="M1434" s="26" t="s">
        <v>2244</v>
      </c>
      <c r="N1434" s="26" t="s">
        <v>2245</v>
      </c>
      <c r="O1434" s="22" t="str">
        <f>HYPERLINK("https://pbs.twimg.com/profile_images/2292101801/yvlsbgo4g2iz2p7et4mq_normal.jpeg","View")</f>
        <v>View</v>
      </c>
      <c r="P1434" s="27"/>
    </row>
    <row r="1435">
      <c r="A1435" s="19">
        <v>42709.45449074074</v>
      </c>
      <c r="B1435" s="20" t="str">
        <f>HYPERLINK("https://twitter.com/Ziggyleebop","@Ziggyleebop")</f>
        <v>@Ziggyleebop</v>
      </c>
      <c r="C1435" s="21" t="s">
        <v>2816</v>
      </c>
      <c r="D1435" s="21" t="s">
        <v>2817</v>
      </c>
      <c r="E1435" s="22" t="str">
        <f>HYPERLINK("https://twitter.com/Ziggyleebop/status/805727030738178050","805727030738178050")</f>
        <v>805727030738178050</v>
      </c>
      <c r="F1435" s="23" t="s">
        <v>26</v>
      </c>
      <c r="G1435" s="24">
        <v>186.0</v>
      </c>
      <c r="H1435" s="24">
        <v>301.0</v>
      </c>
      <c r="I1435" s="24">
        <v>22.0</v>
      </c>
      <c r="J1435" s="24">
        <v>0.0</v>
      </c>
      <c r="K1435" s="23" t="s">
        <v>27</v>
      </c>
      <c r="L1435" s="25">
        <v>42391.638344907406</v>
      </c>
      <c r="M1435" s="26" t="s">
        <v>2381</v>
      </c>
      <c r="N1435" s="28"/>
      <c r="O1435" s="22" t="str">
        <f>HYPERLINK("https://pbs.twimg.com/profile_images/801889334160814080/N-sMG3ZW_normal.jpg","View")</f>
        <v>View</v>
      </c>
      <c r="P1435" s="27"/>
    </row>
    <row r="1436">
      <c r="A1436" s="19">
        <v>42709.45891203704</v>
      </c>
      <c r="B1436" s="20" t="str">
        <f>HYPERLINK("https://twitter.com/LocationGuide","@LocationGuide")</f>
        <v>@LocationGuide</v>
      </c>
      <c r="C1436" s="21" t="s">
        <v>2818</v>
      </c>
      <c r="D1436" s="21" t="s">
        <v>2027</v>
      </c>
      <c r="E1436" s="22" t="str">
        <f>HYPERLINK("https://twitter.com/LocationGuide/status/805728633549705217","805728633549705217")</f>
        <v>805728633549705217</v>
      </c>
      <c r="F1436" s="23" t="s">
        <v>37</v>
      </c>
      <c r="G1436" s="24">
        <v>3448.0</v>
      </c>
      <c r="H1436" s="24">
        <v>1669.0</v>
      </c>
      <c r="I1436" s="24">
        <v>3.0</v>
      </c>
      <c r="J1436" s="24">
        <v>0.0</v>
      </c>
      <c r="K1436" s="23" t="s">
        <v>27</v>
      </c>
      <c r="L1436" s="25">
        <v>40059.49427083333</v>
      </c>
      <c r="M1436" s="26" t="s">
        <v>1172</v>
      </c>
      <c r="N1436" s="26" t="s">
        <v>2819</v>
      </c>
      <c r="O1436" s="22" t="str">
        <f>HYPERLINK("https://pbs.twimg.com/profile_images/1893813751/tlg_icon_normal.jpg","View")</f>
        <v>View</v>
      </c>
      <c r="P1436" s="27"/>
    </row>
    <row r="1437">
      <c r="A1437" s="19">
        <v>42709.459189814814</v>
      </c>
      <c r="B1437" s="20" t="str">
        <f>HYPERLINK("https://twitter.com/CanaryIslandsEN","@CanaryIslandsEN")</f>
        <v>@CanaryIslandsEN</v>
      </c>
      <c r="C1437" s="21" t="s">
        <v>165</v>
      </c>
      <c r="D1437" s="21" t="s">
        <v>2820</v>
      </c>
      <c r="E1437" s="22" t="str">
        <f>HYPERLINK("https://twitter.com/CanaryIslandsEN/status/805728734326231040","805728734326231040")</f>
        <v>805728734326231040</v>
      </c>
      <c r="F1437" s="23" t="s">
        <v>167</v>
      </c>
      <c r="G1437" s="24">
        <v>14287.0</v>
      </c>
      <c r="H1437" s="24">
        <v>1533.0</v>
      </c>
      <c r="I1437" s="24">
        <v>1.0</v>
      </c>
      <c r="J1437" s="24">
        <v>11.0</v>
      </c>
      <c r="K1437" s="23" t="s">
        <v>27</v>
      </c>
      <c r="L1437" s="25">
        <v>41264.365949074076</v>
      </c>
      <c r="M1437" s="26" t="s">
        <v>168</v>
      </c>
      <c r="N1437" s="26" t="s">
        <v>169</v>
      </c>
      <c r="O1437" s="22" t="str">
        <f>HYPERLINK("https://pbs.twimg.com/profile_images/754960714704584704/14dQxsF8_normal.jpg","View")</f>
        <v>View</v>
      </c>
      <c r="P1437" s="27"/>
    </row>
    <row r="1438">
      <c r="A1438" s="19">
        <v>42709.46103009259</v>
      </c>
      <c r="B1438" s="20" t="str">
        <f>HYPERLINK("https://twitter.com/6ersonDiaz","@6ersonDiaz")</f>
        <v>@6ersonDiaz</v>
      </c>
      <c r="C1438" s="21" t="s">
        <v>1719</v>
      </c>
      <c r="D1438" s="21" t="s">
        <v>2821</v>
      </c>
      <c r="E1438" s="22" t="str">
        <f>HYPERLINK("https://twitter.com/6ersonDiaz/status/805729399756718080","805729399756718080")</f>
        <v>805729399756718080</v>
      </c>
      <c r="F1438" s="23" t="s">
        <v>81</v>
      </c>
      <c r="G1438" s="24">
        <v>135.0</v>
      </c>
      <c r="H1438" s="24">
        <v>463.0</v>
      </c>
      <c r="I1438" s="24">
        <v>0.0</v>
      </c>
      <c r="J1438" s="24">
        <v>0.0</v>
      </c>
      <c r="K1438" s="23" t="s">
        <v>27</v>
      </c>
      <c r="L1438" s="25">
        <v>41573.866111111114</v>
      </c>
      <c r="M1438" s="26" t="s">
        <v>168</v>
      </c>
      <c r="N1438" s="26" t="s">
        <v>1721</v>
      </c>
      <c r="O1438" s="22" t="str">
        <f>HYPERLINK("https://pbs.twimg.com/profile_images/378800000666218595/7831c17c37763bedcc1718183f686028_normal.jpeg","View")</f>
        <v>View</v>
      </c>
      <c r="P1438" s="27"/>
    </row>
    <row r="1439">
      <c r="A1439" s="19">
        <v>42709.46208333333</v>
      </c>
      <c r="B1439" s="20" t="str">
        <f>HYPERLINK("https://twitter.com/ebook_travel","@ebook_travel")</f>
        <v>@ebook_travel</v>
      </c>
      <c r="C1439" s="21" t="s">
        <v>290</v>
      </c>
      <c r="D1439" s="21" t="s">
        <v>2822</v>
      </c>
      <c r="E1439" s="22" t="str">
        <f>HYPERLINK("https://twitter.com/ebook_travel/status/805729780805013504","805729780805013504")</f>
        <v>805729780805013504</v>
      </c>
      <c r="F1439" s="23" t="s">
        <v>59</v>
      </c>
      <c r="G1439" s="24">
        <v>10366.0</v>
      </c>
      <c r="H1439" s="24">
        <v>6407.0</v>
      </c>
      <c r="I1439" s="24">
        <v>1.0</v>
      </c>
      <c r="J1439" s="24">
        <v>1.0</v>
      </c>
      <c r="K1439" s="23" t="s">
        <v>27</v>
      </c>
      <c r="L1439" s="25">
        <v>40307.68127314815</v>
      </c>
      <c r="M1439" s="26" t="s">
        <v>292</v>
      </c>
      <c r="N1439" s="26" t="s">
        <v>293</v>
      </c>
      <c r="O1439" s="22" t="str">
        <f>HYPERLINK("https://pbs.twimg.com/profile_images/506732081079013377/VmrRkhPe_normal.jpeg","View")</f>
        <v>View</v>
      </c>
      <c r="P1439" s="27"/>
    </row>
    <row r="1440">
      <c r="A1440" s="19">
        <v>42709.46239583333</v>
      </c>
      <c r="B1440" s="20" t="str">
        <f>HYPERLINK("https://twitter.com/enduriaholidays","@enduriaholidays")</f>
        <v>@enduriaholidays</v>
      </c>
      <c r="C1440" s="21" t="s">
        <v>173</v>
      </c>
      <c r="D1440" s="21" t="s">
        <v>2823</v>
      </c>
      <c r="E1440" s="22" t="str">
        <f>HYPERLINK("https://twitter.com/enduriaholidays/status/805729895955435520","805729895955435520")</f>
        <v>805729895955435520</v>
      </c>
      <c r="F1440" s="23" t="s">
        <v>69</v>
      </c>
      <c r="G1440" s="24">
        <v>319.0</v>
      </c>
      <c r="H1440" s="24">
        <v>313.0</v>
      </c>
      <c r="I1440" s="24">
        <v>1.0</v>
      </c>
      <c r="J1440" s="24">
        <v>0.0</v>
      </c>
      <c r="K1440" s="23" t="s">
        <v>27</v>
      </c>
      <c r="L1440" s="25">
        <v>42489.5252662037</v>
      </c>
      <c r="M1440" s="28"/>
      <c r="N1440" s="28"/>
      <c r="O1440" s="22" t="str">
        <f>HYPERLINK("https://pbs.twimg.com/profile_images/726026649356128258/xCSaP1IW_normal.jpg","View")</f>
        <v>View</v>
      </c>
      <c r="P1440" s="27"/>
    </row>
    <row r="1441">
      <c r="A1441" s="19">
        <v>42709.46420138889</v>
      </c>
      <c r="B1441" s="20" t="str">
        <f>HYPERLINK("https://twitter.com/annadrozd1111","@annadrozd1111")</f>
        <v>@annadrozd1111</v>
      </c>
      <c r="C1441" s="21" t="s">
        <v>2824</v>
      </c>
      <c r="D1441" s="21" t="s">
        <v>2693</v>
      </c>
      <c r="E1441" s="22" t="str">
        <f>HYPERLINK("https://twitter.com/annadrozd1111/status/805730551097331712","805730551097331712")</f>
        <v>805730551097331712</v>
      </c>
      <c r="F1441" s="23" t="s">
        <v>90</v>
      </c>
      <c r="G1441" s="24">
        <v>505.0</v>
      </c>
      <c r="H1441" s="24">
        <v>1507.0</v>
      </c>
      <c r="I1441" s="24">
        <v>16.0</v>
      </c>
      <c r="J1441" s="24">
        <v>0.0</v>
      </c>
      <c r="K1441" s="23" t="s">
        <v>27</v>
      </c>
      <c r="L1441" s="25">
        <v>42290.44298611111</v>
      </c>
      <c r="M1441" s="26" t="s">
        <v>2825</v>
      </c>
      <c r="N1441" s="26" t="s">
        <v>2826</v>
      </c>
      <c r="O1441" s="22" t="str">
        <f>HYPERLINK("https://pbs.twimg.com/profile_images/733803166702129152/c8zIDGw4_normal.jpg","View")</f>
        <v>View</v>
      </c>
      <c r="P1441" s="27"/>
    </row>
    <row r="1442">
      <c r="A1442" s="19">
        <v>42709.466736111106</v>
      </c>
      <c r="B1442" s="20" t="str">
        <f>HYPERLINK("https://twitter.com/auto_reisen","@auto_reisen")</f>
        <v>@auto_reisen</v>
      </c>
      <c r="C1442" s="21" t="s">
        <v>479</v>
      </c>
      <c r="D1442" s="21" t="s">
        <v>2827</v>
      </c>
      <c r="E1442" s="22" t="str">
        <f>HYPERLINK("https://twitter.com/auto_reisen/status/805731469935185921","805731469935185921")</f>
        <v>805731469935185921</v>
      </c>
      <c r="F1442" s="23" t="s">
        <v>37</v>
      </c>
      <c r="G1442" s="24">
        <v>64.0</v>
      </c>
      <c r="H1442" s="24">
        <v>12.0</v>
      </c>
      <c r="I1442" s="24">
        <v>0.0</v>
      </c>
      <c r="J1442" s="24">
        <v>0.0</v>
      </c>
      <c r="K1442" s="23" t="s">
        <v>27</v>
      </c>
      <c r="L1442" s="25">
        <v>40229.94081018519</v>
      </c>
      <c r="M1442" s="26" t="s">
        <v>305</v>
      </c>
      <c r="N1442" s="26" t="s">
        <v>481</v>
      </c>
      <c r="O1442" s="22" t="str">
        <f>HYPERLINK("https://pbs.twimg.com/profile_images/753537830752845824/CAcHgdYu_normal.jpg","View")</f>
        <v>View</v>
      </c>
      <c r="P1442" s="27"/>
    </row>
    <row r="1443">
      <c r="A1443" s="19">
        <v>42709.47041666666</v>
      </c>
      <c r="B1443" s="20" t="str">
        <f>HYPERLINK("https://twitter.com/LpaVisit","@LpaVisit")</f>
        <v>@LpaVisit</v>
      </c>
      <c r="C1443" s="21" t="s">
        <v>141</v>
      </c>
      <c r="D1443" s="21" t="s">
        <v>2807</v>
      </c>
      <c r="E1443" s="22" t="str">
        <f>HYPERLINK("https://twitter.com/LpaVisit/status/805732801450573824","805732801450573824")</f>
        <v>805732801450573824</v>
      </c>
      <c r="F1443" s="23" t="s">
        <v>37</v>
      </c>
      <c r="G1443" s="24">
        <v>9640.0</v>
      </c>
      <c r="H1443" s="24">
        <v>554.0</v>
      </c>
      <c r="I1443" s="24">
        <v>7.0</v>
      </c>
      <c r="J1443" s="24">
        <v>0.0</v>
      </c>
      <c r="K1443" s="23" t="s">
        <v>27</v>
      </c>
      <c r="L1443" s="25">
        <v>40866.561064814814</v>
      </c>
      <c r="M1443" s="26" t="s">
        <v>109</v>
      </c>
      <c r="N1443" s="26" t="s">
        <v>142</v>
      </c>
      <c r="O1443" s="22" t="str">
        <f>HYPERLINK("https://pbs.twimg.com/profile_images/656385242819907584/6_e-4aUc_normal.jpg","View")</f>
        <v>View</v>
      </c>
      <c r="P1443" s="27"/>
    </row>
    <row r="1444">
      <c r="A1444" s="19">
        <v>42709.479571759264</v>
      </c>
      <c r="B1444" s="20" t="str">
        <f>HYPERLINK("https://twitter.com/847dinosaur","@847dinosaur")</f>
        <v>@847dinosaur</v>
      </c>
      <c r="C1444" s="21" t="s">
        <v>2828</v>
      </c>
      <c r="D1444" s="21" t="s">
        <v>2829</v>
      </c>
      <c r="E1444" s="22" t="str">
        <f>HYPERLINK("https://twitter.com/847dinosaur/status/805736121284038660","805736121284038660")</f>
        <v>805736121284038660</v>
      </c>
      <c r="F1444" s="23" t="s">
        <v>41</v>
      </c>
      <c r="G1444" s="24">
        <v>631.0</v>
      </c>
      <c r="H1444" s="24">
        <v>741.0</v>
      </c>
      <c r="I1444" s="24">
        <v>0.0</v>
      </c>
      <c r="J1444" s="24">
        <v>1.0</v>
      </c>
      <c r="K1444" s="23" t="s">
        <v>27</v>
      </c>
      <c r="L1444" s="25">
        <v>40261.89362268519</v>
      </c>
      <c r="M1444" s="28"/>
      <c r="N1444" s="26" t="s">
        <v>2830</v>
      </c>
      <c r="O1444" s="22" t="str">
        <f>HYPERLINK("https://pbs.twimg.com/profile_images/791548280991776768/tUgNj9ms_normal.jpg","View")</f>
        <v>View</v>
      </c>
      <c r="P1444" s="27"/>
    </row>
    <row r="1445">
      <c r="A1445" s="19">
        <v>42709.48479166666</v>
      </c>
      <c r="B1445" s="20" t="str">
        <f>HYPERLINK("https://twitter.com/pabloexcursions","@pabloexcursions")</f>
        <v>@pabloexcursions</v>
      </c>
      <c r="C1445" s="21" t="s">
        <v>744</v>
      </c>
      <c r="D1445" s="21" t="s">
        <v>2831</v>
      </c>
      <c r="E1445" s="22" t="str">
        <f>HYPERLINK("https://twitter.com/pabloexcursions/status/805738011782684673","805738011782684673")</f>
        <v>805738011782684673</v>
      </c>
      <c r="F1445" s="23" t="s">
        <v>69</v>
      </c>
      <c r="G1445" s="24">
        <v>468.0</v>
      </c>
      <c r="H1445" s="24">
        <v>2170.0</v>
      </c>
      <c r="I1445" s="24">
        <v>0.0</v>
      </c>
      <c r="J1445" s="24">
        <v>1.0</v>
      </c>
      <c r="K1445" s="23" t="s">
        <v>27</v>
      </c>
      <c r="L1445" s="25">
        <v>39977.548310185186</v>
      </c>
      <c r="M1445" s="26" t="s">
        <v>746</v>
      </c>
      <c r="N1445" s="26" t="s">
        <v>747</v>
      </c>
      <c r="O1445" s="22" t="str">
        <f>HYPERLINK("https://pbs.twimg.com/profile_images/795287889051525121/lnv-LO1p_normal.jpg","View")</f>
        <v>View</v>
      </c>
      <c r="P1445" s="27"/>
    </row>
    <row r="1446">
      <c r="A1446" s="19">
        <v>42709.487280092595</v>
      </c>
      <c r="B1446" s="20" t="str">
        <f>HYPERLINK("https://twitter.com/OmowaleBaba","@OmowaleBaba")</f>
        <v>@OmowaleBaba</v>
      </c>
      <c r="C1446" s="21" t="s">
        <v>2832</v>
      </c>
      <c r="D1446" s="21" t="s">
        <v>2833</v>
      </c>
      <c r="E1446" s="22" t="str">
        <f>HYPERLINK("https://twitter.com/OmowaleBaba/status/805738912328990720","805738912328990720")</f>
        <v>805738912328990720</v>
      </c>
      <c r="F1446" s="23" t="s">
        <v>26</v>
      </c>
      <c r="G1446" s="24">
        <v>619.0</v>
      </c>
      <c r="H1446" s="24">
        <v>1314.0</v>
      </c>
      <c r="I1446" s="24">
        <v>1.0</v>
      </c>
      <c r="J1446" s="24">
        <v>0.0</v>
      </c>
      <c r="K1446" s="23" t="s">
        <v>27</v>
      </c>
      <c r="L1446" s="25">
        <v>41195.22761574074</v>
      </c>
      <c r="M1446" s="26" t="s">
        <v>2834</v>
      </c>
      <c r="N1446" s="26" t="s">
        <v>2835</v>
      </c>
      <c r="O1446" s="22" t="str">
        <f>HYPERLINK("https://pbs.twimg.com/profile_images/618421912981471232/8brpd7fy_normal.jpg","View")</f>
        <v>View</v>
      </c>
      <c r="P1446" s="27"/>
    </row>
    <row r="1447">
      <c r="A1447" s="19">
        <v>42709.49123842592</v>
      </c>
      <c r="B1447" s="20" t="str">
        <f t="shared" ref="B1447:B1448" si="150">HYPERLINK("https://twitter.com/TenerifeBonjour","@TenerifeBonjour")</f>
        <v>@TenerifeBonjour</v>
      </c>
      <c r="C1447" s="21" t="s">
        <v>2082</v>
      </c>
      <c r="D1447" s="21" t="s">
        <v>2693</v>
      </c>
      <c r="E1447" s="22" t="str">
        <f>HYPERLINK("https://twitter.com/TenerifeBonjour/status/805740346869170176","805740346869170176")</f>
        <v>805740346869170176</v>
      </c>
      <c r="F1447" s="23" t="s">
        <v>41</v>
      </c>
      <c r="G1447" s="24">
        <v>2164.0</v>
      </c>
      <c r="H1447" s="24">
        <v>36.0</v>
      </c>
      <c r="I1447" s="24">
        <v>16.0</v>
      </c>
      <c r="J1447" s="24">
        <v>0.0</v>
      </c>
      <c r="K1447" s="23" t="s">
        <v>27</v>
      </c>
      <c r="L1447" s="25">
        <v>42059.577951388885</v>
      </c>
      <c r="M1447" s="28"/>
      <c r="N1447" s="26" t="s">
        <v>2083</v>
      </c>
      <c r="O1447" s="22" t="str">
        <f t="shared" ref="O1447:O1448" si="151">HYPERLINK("https://pbs.twimg.com/profile_images/570942627195068416/kiZSWpnz_normal.jpeg","View")</f>
        <v>View</v>
      </c>
      <c r="P1447" s="27"/>
    </row>
    <row r="1448">
      <c r="A1448" s="19">
        <v>42709.49162037037</v>
      </c>
      <c r="B1448" s="20" t="str">
        <f t="shared" si="150"/>
        <v>@TenerifeBonjour</v>
      </c>
      <c r="C1448" s="21" t="s">
        <v>2082</v>
      </c>
      <c r="D1448" s="21" t="s">
        <v>2760</v>
      </c>
      <c r="E1448" s="22" t="str">
        <f>HYPERLINK("https://twitter.com/TenerifeBonjour/status/805740485725851648","805740485725851648")</f>
        <v>805740485725851648</v>
      </c>
      <c r="F1448" s="23" t="s">
        <v>41</v>
      </c>
      <c r="G1448" s="24">
        <v>2164.0</v>
      </c>
      <c r="H1448" s="24">
        <v>36.0</v>
      </c>
      <c r="I1448" s="24">
        <v>10.0</v>
      </c>
      <c r="J1448" s="24">
        <v>0.0</v>
      </c>
      <c r="K1448" s="23" t="s">
        <v>27</v>
      </c>
      <c r="L1448" s="25">
        <v>42059.577951388885</v>
      </c>
      <c r="M1448" s="28"/>
      <c r="N1448" s="26" t="s">
        <v>2083</v>
      </c>
      <c r="O1448" s="22" t="str">
        <f t="shared" si="151"/>
        <v>View</v>
      </c>
      <c r="P1448" s="27"/>
    </row>
    <row r="1449">
      <c r="A1449" s="19">
        <v>42709.49760416667</v>
      </c>
      <c r="B1449" s="20" t="str">
        <f>HYPERLINK("https://twitter.com/Luis11surferf","@Luis11surferf")</f>
        <v>@Luis11surferf</v>
      </c>
      <c r="C1449" s="21" t="s">
        <v>2836</v>
      </c>
      <c r="D1449" s="21" t="s">
        <v>2700</v>
      </c>
      <c r="E1449" s="22" t="str">
        <f>HYPERLINK("https://twitter.com/Luis11surferf/status/805742655586136064","805742655586136064")</f>
        <v>805742655586136064</v>
      </c>
      <c r="F1449" s="23" t="s">
        <v>90</v>
      </c>
      <c r="G1449" s="24">
        <v>296.0</v>
      </c>
      <c r="H1449" s="24">
        <v>242.0</v>
      </c>
      <c r="I1449" s="24">
        <v>5.0</v>
      </c>
      <c r="J1449" s="24">
        <v>0.0</v>
      </c>
      <c r="K1449" s="23" t="s">
        <v>27</v>
      </c>
      <c r="L1449" s="25">
        <v>41156.919594907406</v>
      </c>
      <c r="M1449" s="26" t="s">
        <v>2837</v>
      </c>
      <c r="N1449" s="28"/>
      <c r="O1449" s="22" t="str">
        <f>HYPERLINK("https://pbs.twimg.com/profile_images/733261268195414016/1j_HFMtH_normal.jpg","View")</f>
        <v>View</v>
      </c>
      <c r="P1449" s="27"/>
    </row>
    <row r="1450">
      <c r="A1450" s="19">
        <v>42709.501550925925</v>
      </c>
      <c r="B1450" s="20" t="str">
        <f>HYPERLINK("https://twitter.com/carmelomayorv","@carmelomayorv")</f>
        <v>@carmelomayorv</v>
      </c>
      <c r="C1450" s="21" t="s">
        <v>2838</v>
      </c>
      <c r="D1450" s="21" t="s">
        <v>2778</v>
      </c>
      <c r="E1450" s="22" t="str">
        <f>HYPERLINK("https://twitter.com/carmelomayorv/status/805744086837764096","805744086837764096")</f>
        <v>805744086837764096</v>
      </c>
      <c r="F1450" s="23" t="s">
        <v>41</v>
      </c>
      <c r="G1450" s="24">
        <v>59.0</v>
      </c>
      <c r="H1450" s="24">
        <v>77.0</v>
      </c>
      <c r="I1450" s="24">
        <v>5.0</v>
      </c>
      <c r="J1450" s="24">
        <v>0.0</v>
      </c>
      <c r="K1450" s="23" t="s">
        <v>27</v>
      </c>
      <c r="L1450" s="25">
        <v>42683.48594907408</v>
      </c>
      <c r="M1450" s="28"/>
      <c r="N1450" s="28"/>
      <c r="O1450" s="22" t="str">
        <f>HYPERLINK("https://pbs.twimg.com/profile_images/798507492607217664/xkH7j70H_normal.jpg","View")</f>
        <v>View</v>
      </c>
      <c r="P1450" s="27"/>
    </row>
    <row r="1451">
      <c r="A1451" s="19">
        <v>42709.52390046296</v>
      </c>
      <c r="B1451" s="20" t="str">
        <f>HYPERLINK("https://twitter.com/Sunbonoo","@Sunbonoo")</f>
        <v>@Sunbonoo</v>
      </c>
      <c r="C1451" s="21" t="s">
        <v>1192</v>
      </c>
      <c r="D1451" s="21" t="s">
        <v>2839</v>
      </c>
      <c r="E1451" s="22" t="str">
        <f>HYPERLINK("https://twitter.com/Sunbonoo/status/805752185950707712","805752185950707712")</f>
        <v>805752185950707712</v>
      </c>
      <c r="F1451" s="23" t="s">
        <v>37</v>
      </c>
      <c r="G1451" s="24">
        <v>625.0</v>
      </c>
      <c r="H1451" s="24">
        <v>1109.0</v>
      </c>
      <c r="I1451" s="24">
        <v>0.0</v>
      </c>
      <c r="J1451" s="24">
        <v>2.0</v>
      </c>
      <c r="K1451" s="23" t="s">
        <v>27</v>
      </c>
      <c r="L1451" s="25">
        <v>41013.81855324074</v>
      </c>
      <c r="M1451" s="26" t="s">
        <v>1194</v>
      </c>
      <c r="N1451" s="26" t="s">
        <v>1195</v>
      </c>
      <c r="O1451" s="22" t="str">
        <f>HYPERLINK("https://pbs.twimg.com/profile_images/2120421138/logo_normal.jpg","View")</f>
        <v>View</v>
      </c>
      <c r="P1451" s="27"/>
    </row>
    <row r="1452">
      <c r="A1452" s="19">
        <v>42709.52502314815</v>
      </c>
      <c r="B1452" s="20" t="str">
        <f>HYPERLINK("https://twitter.com/misszoeshaw","@misszoeshaw")</f>
        <v>@misszoeshaw</v>
      </c>
      <c r="C1452" s="21" t="s">
        <v>1966</v>
      </c>
      <c r="D1452" s="21" t="s">
        <v>2840</v>
      </c>
      <c r="E1452" s="22" t="str">
        <f>HYPERLINK("https://twitter.com/misszoeshaw/status/805752591158099969","805752591158099969")</f>
        <v>805752591158099969</v>
      </c>
      <c r="F1452" s="23" t="s">
        <v>26</v>
      </c>
      <c r="G1452" s="24">
        <v>866.0</v>
      </c>
      <c r="H1452" s="24">
        <v>514.0</v>
      </c>
      <c r="I1452" s="24">
        <v>0.0</v>
      </c>
      <c r="J1452" s="24">
        <v>0.0</v>
      </c>
      <c r="K1452" s="23" t="s">
        <v>27</v>
      </c>
      <c r="L1452" s="25">
        <v>42085.64975694445</v>
      </c>
      <c r="M1452" s="26" t="s">
        <v>1172</v>
      </c>
      <c r="N1452" s="26" t="s">
        <v>1968</v>
      </c>
      <c r="O1452" s="22" t="str">
        <f>HYPERLINK("https://pbs.twimg.com/profile_images/633043283883786241/zwu8EWCX_normal.jpg","View")</f>
        <v>View</v>
      </c>
      <c r="P1452" s="27"/>
    </row>
    <row r="1453">
      <c r="A1453" s="19">
        <v>42709.5281712963</v>
      </c>
      <c r="B1453" s="20" t="str">
        <f>HYPERLINK("https://twitter.com/Selhso","@Selhso")</f>
        <v>@Selhso</v>
      </c>
      <c r="C1453" s="21" t="s">
        <v>194</v>
      </c>
      <c r="D1453" s="21" t="s">
        <v>2841</v>
      </c>
      <c r="E1453" s="22" t="str">
        <f>HYPERLINK("https://twitter.com/Selhso/status/805753731149131776","805753731149131776")</f>
        <v>805753731149131776</v>
      </c>
      <c r="F1453" s="23" t="s">
        <v>37</v>
      </c>
      <c r="G1453" s="24">
        <v>1615.0</v>
      </c>
      <c r="H1453" s="24">
        <v>1661.0</v>
      </c>
      <c r="I1453" s="24">
        <v>6.0</v>
      </c>
      <c r="J1453" s="24">
        <v>10.0</v>
      </c>
      <c r="K1453" s="23" t="s">
        <v>27</v>
      </c>
      <c r="L1453" s="25">
        <v>40372.68681712963</v>
      </c>
      <c r="M1453" s="26" t="s">
        <v>196</v>
      </c>
      <c r="N1453" s="26" t="s">
        <v>109</v>
      </c>
      <c r="O1453" s="22" t="str">
        <f>HYPERLINK("https://pbs.twimg.com/profile_images/800845512836579328/cKh_5hB2_normal.jpg","View")</f>
        <v>View</v>
      </c>
      <c r="P1453" s="27"/>
    </row>
    <row r="1454">
      <c r="A1454" s="19">
        <v>42709.52851851852</v>
      </c>
      <c r="B1454" s="20" t="str">
        <f>HYPERLINK("https://twitter.com/paisajecanario","@paisajecanario")</f>
        <v>@paisajecanario</v>
      </c>
      <c r="C1454" s="21" t="s">
        <v>70</v>
      </c>
      <c r="D1454" s="21" t="s">
        <v>2842</v>
      </c>
      <c r="E1454" s="22" t="str">
        <f>HYPERLINK("https://twitter.com/paisajecanario/status/805753857288577024","805753857288577024")</f>
        <v>805753857288577024</v>
      </c>
      <c r="F1454" s="23" t="s">
        <v>26</v>
      </c>
      <c r="G1454" s="24">
        <v>13324.0</v>
      </c>
      <c r="H1454" s="24">
        <v>434.0</v>
      </c>
      <c r="I1454" s="24">
        <v>6.0</v>
      </c>
      <c r="J1454" s="24">
        <v>0.0</v>
      </c>
      <c r="K1454" s="23" t="s">
        <v>27</v>
      </c>
      <c r="L1454" s="25">
        <v>41815.714641203704</v>
      </c>
      <c r="M1454" s="26" t="s">
        <v>71</v>
      </c>
      <c r="N1454" s="26" t="s">
        <v>72</v>
      </c>
      <c r="O1454" s="22" t="str">
        <f>HYPERLINK("https://pbs.twimg.com/profile_images/789364630850240512/Mw90qAlM_normal.jpg","View")</f>
        <v>View</v>
      </c>
      <c r="P1454" s="27"/>
    </row>
    <row r="1455">
      <c r="A1455" s="19">
        <v>42709.52967592592</v>
      </c>
      <c r="B1455" s="20" t="str">
        <f>HYPERLINK("https://twitter.com/islaspromo","@islaspromo")</f>
        <v>@islaspromo</v>
      </c>
      <c r="C1455" s="21" t="s">
        <v>215</v>
      </c>
      <c r="D1455" s="21" t="s">
        <v>2842</v>
      </c>
      <c r="E1455" s="22" t="str">
        <f>HYPERLINK("https://twitter.com/islaspromo/status/805754276878450688","805754276878450688")</f>
        <v>805754276878450688</v>
      </c>
      <c r="F1455" s="23" t="s">
        <v>37</v>
      </c>
      <c r="G1455" s="24">
        <v>785.0</v>
      </c>
      <c r="H1455" s="24">
        <v>591.0</v>
      </c>
      <c r="I1455" s="24">
        <v>6.0</v>
      </c>
      <c r="J1455" s="24">
        <v>0.0</v>
      </c>
      <c r="K1455" s="23" t="s">
        <v>27</v>
      </c>
      <c r="L1455" s="25">
        <v>42060.74221064815</v>
      </c>
      <c r="M1455" s="26" t="s">
        <v>51</v>
      </c>
      <c r="N1455" s="26" t="s">
        <v>216</v>
      </c>
      <c r="O1455" s="22" t="str">
        <f>HYPERLINK("https://pbs.twimg.com/profile_images/570644453866483712/dvbC2x8W_normal.jpeg","View")</f>
        <v>View</v>
      </c>
      <c r="P1455" s="27"/>
    </row>
    <row r="1456">
      <c r="A1456" s="19">
        <v>42709.52988425926</v>
      </c>
      <c r="B1456" s="20" t="str">
        <f>HYPERLINK("https://twitter.com/holyber","@holyber")</f>
        <v>@holyber</v>
      </c>
      <c r="C1456" s="21" t="s">
        <v>45</v>
      </c>
      <c r="D1456" s="21" t="s">
        <v>2842</v>
      </c>
      <c r="E1456" s="22" t="str">
        <f>HYPERLINK("https://twitter.com/holyber/status/805754352518524928","805754352518524928")</f>
        <v>805754352518524928</v>
      </c>
      <c r="F1456" s="23" t="s">
        <v>37</v>
      </c>
      <c r="G1456" s="24">
        <v>106410.0</v>
      </c>
      <c r="H1456" s="24">
        <v>94316.0</v>
      </c>
      <c r="I1456" s="24">
        <v>6.0</v>
      </c>
      <c r="J1456" s="24">
        <v>0.0</v>
      </c>
      <c r="K1456" s="23" t="s">
        <v>27</v>
      </c>
      <c r="L1456" s="25">
        <v>41144.80637731482</v>
      </c>
      <c r="M1456" s="26" t="s">
        <v>46</v>
      </c>
      <c r="N1456" s="26" t="s">
        <v>47</v>
      </c>
      <c r="O1456" s="22" t="str">
        <f>HYPERLINK("https://pbs.twimg.com/profile_images/475644614448123904/FiCl2pX4_normal.jpeg","View")</f>
        <v>View</v>
      </c>
      <c r="P1456" s="27"/>
    </row>
    <row r="1457">
      <c r="A1457" s="19">
        <v>42709.53039351852</v>
      </c>
      <c r="B1457" s="20" t="str">
        <f>HYPERLINK("https://twitter.com/RakheeV","@RakheeV")</f>
        <v>@RakheeV</v>
      </c>
      <c r="C1457" s="21" t="s">
        <v>1240</v>
      </c>
      <c r="D1457" s="21" t="s">
        <v>2843</v>
      </c>
      <c r="E1457" s="22" t="str">
        <f>HYPERLINK("https://twitter.com/RakheeV/status/805754536774094849","805754536774094849")</f>
        <v>805754536774094849</v>
      </c>
      <c r="F1457" s="23" t="s">
        <v>81</v>
      </c>
      <c r="G1457" s="24">
        <v>1489.0</v>
      </c>
      <c r="H1457" s="24">
        <v>2605.0</v>
      </c>
      <c r="I1457" s="24">
        <v>0.0</v>
      </c>
      <c r="J1457" s="24">
        <v>0.0</v>
      </c>
      <c r="K1457" s="23" t="s">
        <v>27</v>
      </c>
      <c r="L1457" s="25">
        <v>40921.93</v>
      </c>
      <c r="M1457" s="26" t="s">
        <v>1172</v>
      </c>
      <c r="N1457" s="26" t="s">
        <v>1242</v>
      </c>
      <c r="O1457" s="22" t="str">
        <f>HYPERLINK("https://pbs.twimg.com/profile_images/742026136801161217/evJgSUlG_normal.jpg","View")</f>
        <v>View</v>
      </c>
      <c r="P1457" s="27" t="str">
        <f>HYPERLINK("https://ctrlq.org/maps/address/#28.05276595,-16.70916533","Map")</f>
        <v>#ERROR!</v>
      </c>
    </row>
    <row r="1458">
      <c r="A1458" s="19">
        <v>42709.54263888889</v>
      </c>
      <c r="B1458" s="20" t="str">
        <f>HYPERLINK("https://twitter.com/CoJanet26","@CoJanet26")</f>
        <v>@CoJanet26</v>
      </c>
      <c r="C1458" s="21" t="s">
        <v>2844</v>
      </c>
      <c r="D1458" s="21" t="s">
        <v>2782</v>
      </c>
      <c r="E1458" s="22" t="str">
        <f>HYPERLINK("https://twitter.com/CoJanet26/status/805758973068591104","805758973068591104")</f>
        <v>805758973068591104</v>
      </c>
      <c r="F1458" s="23" t="s">
        <v>90</v>
      </c>
      <c r="G1458" s="24">
        <v>49.0</v>
      </c>
      <c r="H1458" s="24">
        <v>203.0</v>
      </c>
      <c r="I1458" s="24">
        <v>7.0</v>
      </c>
      <c r="J1458" s="24">
        <v>0.0</v>
      </c>
      <c r="K1458" s="23" t="s">
        <v>27</v>
      </c>
      <c r="L1458" s="25">
        <v>40889.98488425926</v>
      </c>
      <c r="M1458" s="26" t="s">
        <v>2845</v>
      </c>
      <c r="N1458" s="28"/>
      <c r="O1458" s="22" t="str">
        <f>HYPERLINK("https://pbs.twimg.com/profile_images/651892044152090625/DhTOaukp_normal.jpg","View")</f>
        <v>View</v>
      </c>
      <c r="P1458" s="27"/>
    </row>
    <row r="1459">
      <c r="A1459" s="19">
        <v>42709.54372685185</v>
      </c>
      <c r="B1459" s="20" t="str">
        <f>HYPERLINK("https://twitter.com/MaciakNikiforv","@MaciakNikiforv")</f>
        <v>@MaciakNikiforv</v>
      </c>
      <c r="C1459" s="21" t="s">
        <v>2846</v>
      </c>
      <c r="D1459" s="21" t="s">
        <v>2693</v>
      </c>
      <c r="E1459" s="22" t="str">
        <f>HYPERLINK("https://twitter.com/MaciakNikiforv/status/805759368725667840","805759368725667840")</f>
        <v>805759368725667840</v>
      </c>
      <c r="F1459" s="23" t="s">
        <v>37</v>
      </c>
      <c r="G1459" s="24">
        <v>195.0</v>
      </c>
      <c r="H1459" s="24">
        <v>520.0</v>
      </c>
      <c r="I1459" s="24">
        <v>16.0</v>
      </c>
      <c r="J1459" s="24">
        <v>0.0</v>
      </c>
      <c r="K1459" s="23" t="s">
        <v>27</v>
      </c>
      <c r="L1459" s="25">
        <v>42350.64616898148</v>
      </c>
      <c r="M1459" s="28"/>
      <c r="N1459" s="28"/>
      <c r="O1459" s="22" t="str">
        <f>HYPERLINK("https://abs.twimg.com/sticky/default_profile_images/default_profile_3_normal.png","View")</f>
        <v>View</v>
      </c>
      <c r="P1459" s="27"/>
    </row>
    <row r="1460">
      <c r="A1460" s="19">
        <v>42709.55023148148</v>
      </c>
      <c r="B1460" s="20" t="str">
        <f>HYPERLINK("https://twitter.com/Salamanca_SSV","@Salamanca_SSV")</f>
        <v>@Salamanca_SSV</v>
      </c>
      <c r="C1460" s="21" t="s">
        <v>170</v>
      </c>
      <c r="D1460" s="21" t="s">
        <v>2842</v>
      </c>
      <c r="E1460" s="22" t="str">
        <f>HYPERLINK("https://twitter.com/Salamanca_SSV/status/805761725085650945","805761725085650945")</f>
        <v>805761725085650945</v>
      </c>
      <c r="F1460" s="23" t="s">
        <v>41</v>
      </c>
      <c r="G1460" s="24">
        <v>7240.0</v>
      </c>
      <c r="H1460" s="24">
        <v>7824.0</v>
      </c>
      <c r="I1460" s="24">
        <v>6.0</v>
      </c>
      <c r="J1460" s="24">
        <v>0.0</v>
      </c>
      <c r="K1460" s="23" t="s">
        <v>27</v>
      </c>
      <c r="L1460" s="25">
        <v>41317.78532407407</v>
      </c>
      <c r="M1460" s="26" t="s">
        <v>171</v>
      </c>
      <c r="N1460" s="26" t="s">
        <v>172</v>
      </c>
      <c r="O1460" s="22" t="str">
        <f>HYPERLINK("https://pbs.twimg.com/profile_images/3461850627/70f1c6c744e939681691ad3a09d64375_normal.png","View")</f>
        <v>View</v>
      </c>
      <c r="P1460" s="27"/>
    </row>
    <row r="1461">
      <c r="A1461" s="19">
        <v>42709.55186342592</v>
      </c>
      <c r="B1461" s="20" t="str">
        <f t="shared" ref="B1461:B1462" si="152">HYPERLINK("https://twitter.com/javier_e_br","@javier_e_br")</f>
        <v>@javier_e_br</v>
      </c>
      <c r="C1461" s="21" t="s">
        <v>334</v>
      </c>
      <c r="D1461" s="21" t="s">
        <v>2842</v>
      </c>
      <c r="E1461" s="22" t="str">
        <f>HYPERLINK("https://twitter.com/javier_e_br/status/805762317132713984","805762317132713984")</f>
        <v>805762317132713984</v>
      </c>
      <c r="F1461" s="23" t="s">
        <v>37</v>
      </c>
      <c r="G1461" s="24">
        <v>23398.0</v>
      </c>
      <c r="H1461" s="24">
        <v>19910.0</v>
      </c>
      <c r="I1461" s="24">
        <v>6.0</v>
      </c>
      <c r="J1461" s="24">
        <v>0.0</v>
      </c>
      <c r="K1461" s="23" t="s">
        <v>27</v>
      </c>
      <c r="L1461" s="25">
        <v>41214.94907407407</v>
      </c>
      <c r="M1461" s="26" t="s">
        <v>335</v>
      </c>
      <c r="N1461" s="26" t="s">
        <v>336</v>
      </c>
      <c r="O1461" s="22" t="str">
        <f t="shared" ref="O1461:O1462" si="153">HYPERLINK("https://pbs.twimg.com/profile_images/782870651996692480/6jjashki_normal.jpg","View")</f>
        <v>View</v>
      </c>
      <c r="P1461" s="27"/>
    </row>
    <row r="1462">
      <c r="A1462" s="19">
        <v>42709.554247685184</v>
      </c>
      <c r="B1462" s="20" t="str">
        <f t="shared" si="152"/>
        <v>@javier_e_br</v>
      </c>
      <c r="C1462" s="21" t="s">
        <v>334</v>
      </c>
      <c r="D1462" s="21" t="s">
        <v>2807</v>
      </c>
      <c r="E1462" s="22" t="str">
        <f>HYPERLINK("https://twitter.com/javier_e_br/status/805763180400177152","805763180400177152")</f>
        <v>805763180400177152</v>
      </c>
      <c r="F1462" s="23" t="s">
        <v>37</v>
      </c>
      <c r="G1462" s="24">
        <v>23398.0</v>
      </c>
      <c r="H1462" s="24">
        <v>19910.0</v>
      </c>
      <c r="I1462" s="24">
        <v>7.0</v>
      </c>
      <c r="J1462" s="24">
        <v>0.0</v>
      </c>
      <c r="K1462" s="23" t="s">
        <v>27</v>
      </c>
      <c r="L1462" s="25">
        <v>41214.94907407407</v>
      </c>
      <c r="M1462" s="26" t="s">
        <v>335</v>
      </c>
      <c r="N1462" s="26" t="s">
        <v>336</v>
      </c>
      <c r="O1462" s="22" t="str">
        <f t="shared" si="153"/>
        <v>View</v>
      </c>
      <c r="P1462" s="27"/>
    </row>
    <row r="1463">
      <c r="A1463" s="19">
        <v>42709.56699074074</v>
      </c>
      <c r="B1463" s="20" t="str">
        <f>HYPERLINK("https://twitter.com/Sink_or_Swim_","@Sink_or_Swim_")</f>
        <v>@Sink_or_Swim_</v>
      </c>
      <c r="C1463" s="21" t="s">
        <v>930</v>
      </c>
      <c r="D1463" s="21" t="s">
        <v>2847</v>
      </c>
      <c r="E1463" s="22" t="str">
        <f>HYPERLINK("https://twitter.com/Sink_or_Swim_/status/805767799385690112","805767799385690112")</f>
        <v>805767799385690112</v>
      </c>
      <c r="F1463" s="23" t="s">
        <v>81</v>
      </c>
      <c r="G1463" s="24">
        <v>24.0</v>
      </c>
      <c r="H1463" s="24">
        <v>91.0</v>
      </c>
      <c r="I1463" s="24">
        <v>0.0</v>
      </c>
      <c r="J1463" s="24">
        <v>0.0</v>
      </c>
      <c r="K1463" s="23" t="s">
        <v>27</v>
      </c>
      <c r="L1463" s="25">
        <v>41320.493159722224</v>
      </c>
      <c r="M1463" s="26" t="s">
        <v>932</v>
      </c>
      <c r="N1463" s="26" t="s">
        <v>933</v>
      </c>
      <c r="O1463" s="22" t="str">
        <f>HYPERLINK("https://pbs.twimg.com/profile_images/730687096550268928/J-Ee_sln_normal.jpg","View")</f>
        <v>View</v>
      </c>
      <c r="P1463" s="27"/>
    </row>
    <row r="1464">
      <c r="A1464" s="19">
        <v>42709.56984953704</v>
      </c>
      <c r="B1464" s="20" t="str">
        <f>HYPERLINK("https://twitter.com/ebook_travel","@ebook_travel")</f>
        <v>@ebook_travel</v>
      </c>
      <c r="C1464" s="21" t="s">
        <v>290</v>
      </c>
      <c r="D1464" s="21" t="s">
        <v>2848</v>
      </c>
      <c r="E1464" s="22" t="str">
        <f>HYPERLINK("https://twitter.com/ebook_travel/status/805768835840274432","805768835840274432")</f>
        <v>805768835840274432</v>
      </c>
      <c r="F1464" s="23" t="s">
        <v>59</v>
      </c>
      <c r="G1464" s="24">
        <v>10366.0</v>
      </c>
      <c r="H1464" s="24">
        <v>6407.0</v>
      </c>
      <c r="I1464" s="24">
        <v>0.0</v>
      </c>
      <c r="J1464" s="24">
        <v>0.0</v>
      </c>
      <c r="K1464" s="23" t="s">
        <v>27</v>
      </c>
      <c r="L1464" s="25">
        <v>40307.68127314815</v>
      </c>
      <c r="M1464" s="26" t="s">
        <v>292</v>
      </c>
      <c r="N1464" s="26" t="s">
        <v>293</v>
      </c>
      <c r="O1464" s="22" t="str">
        <f>HYPERLINK("https://pbs.twimg.com/profile_images/506732081079013377/VmrRkhPe_normal.jpeg","View")</f>
        <v>View</v>
      </c>
      <c r="P1464" s="27"/>
    </row>
    <row r="1465">
      <c r="A1465" s="19">
        <v>42709.579409722224</v>
      </c>
      <c r="B1465" s="20" t="str">
        <f>HYPERLINK("https://twitter.com/sellmytshare","@sellmytshare")</f>
        <v>@sellmytshare</v>
      </c>
      <c r="C1465" s="21" t="s">
        <v>591</v>
      </c>
      <c r="D1465" s="21" t="s">
        <v>2849</v>
      </c>
      <c r="E1465" s="22" t="str">
        <f>HYPERLINK("https://twitter.com/sellmytshare/status/805772300381487104","805772300381487104")</f>
        <v>805772300381487104</v>
      </c>
      <c r="F1465" s="23" t="s">
        <v>167</v>
      </c>
      <c r="G1465" s="24">
        <v>1255.0</v>
      </c>
      <c r="H1465" s="24">
        <v>908.0</v>
      </c>
      <c r="I1465" s="24">
        <v>0.0</v>
      </c>
      <c r="J1465" s="24">
        <v>1.0</v>
      </c>
      <c r="K1465" s="23" t="s">
        <v>27</v>
      </c>
      <c r="L1465" s="25">
        <v>41474.641331018516</v>
      </c>
      <c r="M1465" s="28"/>
      <c r="N1465" s="26" t="s">
        <v>593</v>
      </c>
      <c r="O1465" s="22" t="str">
        <f>HYPERLINK("https://pbs.twimg.com/profile_images/661939380370726912/YsXXMKwm_normal.png","View")</f>
        <v>View</v>
      </c>
      <c r="P1465" s="27"/>
    </row>
    <row r="1466">
      <c r="A1466" s="19">
        <v>42709.585277777776</v>
      </c>
      <c r="B1466" s="20" t="str">
        <f>HYPERLINK("https://twitter.com/ELEYTECLOTHING","@ELEYTECLOTHING")</f>
        <v>@ELEYTECLOTHING</v>
      </c>
      <c r="C1466" s="21" t="s">
        <v>2850</v>
      </c>
      <c r="D1466" s="21" t="s">
        <v>2851</v>
      </c>
      <c r="E1466" s="22" t="str">
        <f>HYPERLINK("https://twitter.com/ELEYTECLOTHING/status/805774426058813440","805774426058813440")</f>
        <v>805774426058813440</v>
      </c>
      <c r="F1466" s="23" t="s">
        <v>81</v>
      </c>
      <c r="G1466" s="24">
        <v>154.0</v>
      </c>
      <c r="H1466" s="24">
        <v>277.0</v>
      </c>
      <c r="I1466" s="24">
        <v>1.0</v>
      </c>
      <c r="J1466" s="24">
        <v>1.0</v>
      </c>
      <c r="K1466" s="23" t="s">
        <v>27</v>
      </c>
      <c r="L1466" s="25">
        <v>41306.73390046296</v>
      </c>
      <c r="M1466" s="28"/>
      <c r="N1466" s="26" t="s">
        <v>2852</v>
      </c>
      <c r="O1466" s="22" t="str">
        <f>HYPERLINK("https://pbs.twimg.com/profile_images/721138964753682432/4yAZoXsU_normal.jpg","View")</f>
        <v>View</v>
      </c>
      <c r="P1466" s="27"/>
    </row>
    <row r="1467">
      <c r="A1467" s="19">
        <v>42709.59034722223</v>
      </c>
      <c r="B1467" s="20" t="str">
        <f>HYPERLINK("https://twitter.com/CanaryIslandsEN","@CanaryIslandsEN")</f>
        <v>@CanaryIslandsEN</v>
      </c>
      <c r="C1467" s="21" t="s">
        <v>165</v>
      </c>
      <c r="D1467" s="21" t="s">
        <v>2853</v>
      </c>
      <c r="E1467" s="22" t="str">
        <f>HYPERLINK("https://twitter.com/CanaryIslandsEN/status/805776263684177920","805776263684177920")</f>
        <v>805776263684177920</v>
      </c>
      <c r="F1467" s="23" t="s">
        <v>167</v>
      </c>
      <c r="G1467" s="24">
        <v>14287.0</v>
      </c>
      <c r="H1467" s="24">
        <v>1533.0</v>
      </c>
      <c r="I1467" s="24">
        <v>5.0</v>
      </c>
      <c r="J1467" s="24">
        <v>13.0</v>
      </c>
      <c r="K1467" s="23" t="s">
        <v>27</v>
      </c>
      <c r="L1467" s="25">
        <v>41264.365949074076</v>
      </c>
      <c r="M1467" s="26" t="s">
        <v>168</v>
      </c>
      <c r="N1467" s="26" t="s">
        <v>169</v>
      </c>
      <c r="O1467" s="22" t="str">
        <f>HYPERLINK("https://pbs.twimg.com/profile_images/754960714704584704/14dQxsF8_normal.jpg","View")</f>
        <v>View</v>
      </c>
      <c r="P1467" s="27"/>
    </row>
    <row r="1468">
      <c r="A1468" s="19">
        <v>42709.591828703706</v>
      </c>
      <c r="B1468" s="20" t="str">
        <f>HYPERLINK("https://twitter.com/Lost_in_laPalma","@Lost_in_laPalma")</f>
        <v>@Lost_in_laPalma</v>
      </c>
      <c r="C1468" s="21" t="s">
        <v>2854</v>
      </c>
      <c r="D1468" s="21" t="s">
        <v>2855</v>
      </c>
      <c r="E1468" s="22" t="str">
        <f>HYPERLINK("https://twitter.com/Lost_in_laPalma/status/805776801377189888","805776801377189888")</f>
        <v>805776801377189888</v>
      </c>
      <c r="F1468" s="23" t="s">
        <v>26</v>
      </c>
      <c r="G1468" s="24">
        <v>5556.0</v>
      </c>
      <c r="H1468" s="24">
        <v>2921.0</v>
      </c>
      <c r="I1468" s="24">
        <v>5.0</v>
      </c>
      <c r="J1468" s="24">
        <v>0.0</v>
      </c>
      <c r="K1468" s="23" t="s">
        <v>27</v>
      </c>
      <c r="L1468" s="25">
        <v>40564.65427083333</v>
      </c>
      <c r="M1468" s="26" t="s">
        <v>2856</v>
      </c>
      <c r="N1468" s="26" t="s">
        <v>2857</v>
      </c>
      <c r="O1468" s="22" t="str">
        <f>HYPERLINK("https://pbs.twimg.com/profile_images/475567832349310976/GD24ZWpB_normal.jpeg","View")</f>
        <v>View</v>
      </c>
      <c r="P1468" s="27"/>
    </row>
    <row r="1469">
      <c r="A1469" s="19">
        <v>42709.5934837963</v>
      </c>
      <c r="B1469" s="20" t="str">
        <f>HYPERLINK("https://twitter.com/enduriaholidays","@enduriaholidays")</f>
        <v>@enduriaholidays</v>
      </c>
      <c r="C1469" s="21" t="s">
        <v>173</v>
      </c>
      <c r="D1469" s="21" t="s">
        <v>2858</v>
      </c>
      <c r="E1469" s="22" t="str">
        <f>HYPERLINK("https://twitter.com/enduriaholidays/status/805777399157755904","805777399157755904")</f>
        <v>805777399157755904</v>
      </c>
      <c r="F1469" s="23" t="s">
        <v>69</v>
      </c>
      <c r="G1469" s="24">
        <v>319.0</v>
      </c>
      <c r="H1469" s="24">
        <v>313.0</v>
      </c>
      <c r="I1469" s="24">
        <v>1.0</v>
      </c>
      <c r="J1469" s="24">
        <v>1.0</v>
      </c>
      <c r="K1469" s="23" t="s">
        <v>27</v>
      </c>
      <c r="L1469" s="25">
        <v>42489.5252662037</v>
      </c>
      <c r="M1469" s="28"/>
      <c r="N1469" s="28"/>
      <c r="O1469" s="22" t="str">
        <f>HYPERLINK("https://pbs.twimg.com/profile_images/726026649356128258/xCSaP1IW_normal.jpg","View")</f>
        <v>View</v>
      </c>
      <c r="P1469" s="27"/>
    </row>
    <row r="1470">
      <c r="A1470" s="19">
        <v>42709.59560185185</v>
      </c>
      <c r="B1470" s="20" t="str">
        <f>HYPERLINK("https://twitter.com/Lost_in_laPalma","@Lost_in_laPalma")</f>
        <v>@Lost_in_laPalma</v>
      </c>
      <c r="C1470" s="21" t="s">
        <v>2854</v>
      </c>
      <c r="D1470" s="21" t="s">
        <v>2859</v>
      </c>
      <c r="E1470" s="22" t="str">
        <f>HYPERLINK("https://twitter.com/Lost_in_laPalma/status/805778168955211776","805778168955211776")</f>
        <v>805778168955211776</v>
      </c>
      <c r="F1470" s="23" t="s">
        <v>26</v>
      </c>
      <c r="G1470" s="24">
        <v>5556.0</v>
      </c>
      <c r="H1470" s="24">
        <v>2921.0</v>
      </c>
      <c r="I1470" s="24">
        <v>1.0</v>
      </c>
      <c r="J1470" s="24">
        <v>0.0</v>
      </c>
      <c r="K1470" s="23" t="s">
        <v>27</v>
      </c>
      <c r="L1470" s="25">
        <v>40564.65427083333</v>
      </c>
      <c r="M1470" s="26" t="s">
        <v>2856</v>
      </c>
      <c r="N1470" s="26" t="s">
        <v>2857</v>
      </c>
      <c r="O1470" s="22" t="str">
        <f>HYPERLINK("https://pbs.twimg.com/profile_images/475567832349310976/GD24ZWpB_normal.jpeg","View")</f>
        <v>View</v>
      </c>
      <c r="P1470" s="27"/>
    </row>
    <row r="1471">
      <c r="A1471" s="19">
        <v>42709.6000462963</v>
      </c>
      <c r="B1471" s="20" t="str">
        <f t="shared" ref="B1471:B1472" si="154">HYPERLINK("https://twitter.com/JulioAl18175505","@JulioAl18175505")</f>
        <v>@JulioAl18175505</v>
      </c>
      <c r="C1471" s="21" t="s">
        <v>248</v>
      </c>
      <c r="D1471" s="21" t="s">
        <v>2760</v>
      </c>
      <c r="E1471" s="22" t="str">
        <f>HYPERLINK("https://twitter.com/JulioAl18175505/status/805779779001679872","805779779001679872")</f>
        <v>805779779001679872</v>
      </c>
      <c r="F1471" s="23" t="s">
        <v>41</v>
      </c>
      <c r="G1471" s="24">
        <v>3883.0</v>
      </c>
      <c r="H1471" s="24">
        <v>3761.0</v>
      </c>
      <c r="I1471" s="24">
        <v>10.0</v>
      </c>
      <c r="J1471" s="24">
        <v>0.0</v>
      </c>
      <c r="K1471" s="23" t="s">
        <v>27</v>
      </c>
      <c r="L1471" s="25">
        <v>41713.45993055555</v>
      </c>
      <c r="M1471" s="26" t="s">
        <v>250</v>
      </c>
      <c r="N1471" s="26" t="s">
        <v>251</v>
      </c>
      <c r="O1471" s="22" t="str">
        <f t="shared" ref="O1471:O1472" si="155">HYPERLINK("https://pbs.twimg.com/profile_images/706839494851436544/7igsf91D_normal.jpg","View")</f>
        <v>View</v>
      </c>
      <c r="P1471" s="27"/>
    </row>
    <row r="1472">
      <c r="A1472" s="19">
        <v>42709.60010416667</v>
      </c>
      <c r="B1472" s="20" t="str">
        <f t="shared" si="154"/>
        <v>@JulioAl18175505</v>
      </c>
      <c r="C1472" s="21" t="s">
        <v>248</v>
      </c>
      <c r="D1472" s="21" t="s">
        <v>2693</v>
      </c>
      <c r="E1472" s="22" t="str">
        <f>HYPERLINK("https://twitter.com/JulioAl18175505/status/805779797733478401","805779797733478401")</f>
        <v>805779797733478401</v>
      </c>
      <c r="F1472" s="23" t="s">
        <v>41</v>
      </c>
      <c r="G1472" s="24">
        <v>3883.0</v>
      </c>
      <c r="H1472" s="24">
        <v>3761.0</v>
      </c>
      <c r="I1472" s="24">
        <v>16.0</v>
      </c>
      <c r="J1472" s="24">
        <v>0.0</v>
      </c>
      <c r="K1472" s="23" t="s">
        <v>27</v>
      </c>
      <c r="L1472" s="25">
        <v>41713.45993055555</v>
      </c>
      <c r="M1472" s="26" t="s">
        <v>250</v>
      </c>
      <c r="N1472" s="26" t="s">
        <v>251</v>
      </c>
      <c r="O1472" s="22" t="str">
        <f t="shared" si="155"/>
        <v>View</v>
      </c>
      <c r="P1472" s="27"/>
    </row>
    <row r="1473">
      <c r="A1473" s="19">
        <v>42709.61888888889</v>
      </c>
      <c r="B1473" s="20" t="str">
        <f>HYPERLINK("https://twitter.com/webwolf50","@webwolf50")</f>
        <v>@webwolf50</v>
      </c>
      <c r="C1473" s="21" t="s">
        <v>2860</v>
      </c>
      <c r="D1473" s="21" t="s">
        <v>1874</v>
      </c>
      <c r="E1473" s="22" t="str">
        <f>HYPERLINK("https://twitter.com/webwolf50/status/805786606602948608","805786606602948608")</f>
        <v>805786606602948608</v>
      </c>
      <c r="F1473" s="23" t="s">
        <v>41</v>
      </c>
      <c r="G1473" s="24">
        <v>167.0</v>
      </c>
      <c r="H1473" s="24">
        <v>107.0</v>
      </c>
      <c r="I1473" s="24">
        <v>92.0</v>
      </c>
      <c r="J1473" s="24">
        <v>0.0</v>
      </c>
      <c r="K1473" s="23" t="s">
        <v>27</v>
      </c>
      <c r="L1473" s="25">
        <v>40800.54850694444</v>
      </c>
      <c r="M1473" s="28"/>
      <c r="N1473" s="28"/>
      <c r="O1473" s="22" t="str">
        <f>HYPERLINK("https://pbs.twimg.com/profile_images/675938548655112192/R9sMoJd8_normal.jpg","View")</f>
        <v>View</v>
      </c>
      <c r="P1473" s="27"/>
    </row>
    <row r="1474">
      <c r="A1474" s="19">
        <v>42709.62121527777</v>
      </c>
      <c r="B1474" s="20" t="str">
        <f>HYPERLINK("https://twitter.com/bermaxo09","@bermaxo09")</f>
        <v>@bermaxo09</v>
      </c>
      <c r="C1474" s="21" t="s">
        <v>284</v>
      </c>
      <c r="D1474" s="21" t="s">
        <v>2861</v>
      </c>
      <c r="E1474" s="22" t="str">
        <f>HYPERLINK("https://twitter.com/bermaxo09/status/805787451293896705","805787451293896705")</f>
        <v>805787451293896705</v>
      </c>
      <c r="F1474" s="23" t="s">
        <v>37</v>
      </c>
      <c r="G1474" s="24">
        <v>193.0</v>
      </c>
      <c r="H1474" s="24">
        <v>196.0</v>
      </c>
      <c r="I1474" s="24">
        <v>0.0</v>
      </c>
      <c r="J1474" s="24">
        <v>1.0</v>
      </c>
      <c r="K1474" s="23" t="s">
        <v>27</v>
      </c>
      <c r="L1474" s="25">
        <v>42689.441516203704</v>
      </c>
      <c r="M1474" s="26" t="s">
        <v>109</v>
      </c>
      <c r="N1474" s="26" t="s">
        <v>286</v>
      </c>
      <c r="O1474" s="22" t="str">
        <f>HYPERLINK("https://pbs.twimg.com/profile_images/798476790478073856/iOD0HIRa_normal.jpg","View")</f>
        <v>View</v>
      </c>
      <c r="P1474" s="27"/>
    </row>
    <row r="1475">
      <c r="A1475" s="19">
        <v>42709.62622685185</v>
      </c>
      <c r="B1475" s="20" t="str">
        <f>HYPERLINK("https://twitter.com/SpainInRussia","@SpainInRussia")</f>
        <v>@SpainInRussia</v>
      </c>
      <c r="C1475" s="21" t="s">
        <v>557</v>
      </c>
      <c r="D1475" s="21" t="s">
        <v>2405</v>
      </c>
      <c r="E1475" s="22" t="str">
        <f>HYPERLINK("https://twitter.com/SpainInRussia/status/805789264722231296","805789264722231296")</f>
        <v>805789264722231296</v>
      </c>
      <c r="F1475" s="23" t="s">
        <v>37</v>
      </c>
      <c r="G1475" s="24">
        <v>1253.0</v>
      </c>
      <c r="H1475" s="24">
        <v>794.0</v>
      </c>
      <c r="I1475" s="24">
        <v>40.0</v>
      </c>
      <c r="J1475" s="24">
        <v>0.0</v>
      </c>
      <c r="K1475" s="23" t="s">
        <v>27</v>
      </c>
      <c r="L1475" s="25">
        <v>40639.543715277774</v>
      </c>
      <c r="M1475" s="28"/>
      <c r="N1475" s="26" t="s">
        <v>559</v>
      </c>
      <c r="O1475" s="22" t="str">
        <f>HYPERLINK("https://pbs.twimg.com/profile_images/553463244602351616/oby3GHkM_normal.jpeg","View")</f>
        <v>View</v>
      </c>
      <c r="P1475" s="27"/>
    </row>
    <row r="1476">
      <c r="A1476" s="19">
        <v>42709.63748842593</v>
      </c>
      <c r="B1476" s="20" t="str">
        <f>HYPERLINK("https://twitter.com/_TenerifeHotels","@_TenerifeHotels")</f>
        <v>@_TenerifeHotels</v>
      </c>
      <c r="C1476" s="21" t="s">
        <v>2862</v>
      </c>
      <c r="D1476" s="21" t="s">
        <v>2782</v>
      </c>
      <c r="E1476" s="22" t="str">
        <f>HYPERLINK("https://twitter.com/_TenerifeHotels/status/805793345272299521","805793345272299521")</f>
        <v>805793345272299521</v>
      </c>
      <c r="F1476" s="23" t="s">
        <v>2444</v>
      </c>
      <c r="G1476" s="24">
        <v>4.0</v>
      </c>
      <c r="H1476" s="24">
        <v>87.0</v>
      </c>
      <c r="I1476" s="24">
        <v>7.0</v>
      </c>
      <c r="J1476" s="24">
        <v>0.0</v>
      </c>
      <c r="K1476" s="23" t="s">
        <v>27</v>
      </c>
      <c r="L1476" s="25">
        <v>42705.76862268518</v>
      </c>
      <c r="M1476" s="26" t="s">
        <v>282</v>
      </c>
      <c r="N1476" s="26" t="s">
        <v>2863</v>
      </c>
      <c r="O1476" s="22" t="str">
        <f>HYPERLINK("https://pbs.twimg.com/profile_images/805959585702014976/CAXKep8E_normal.jpg","View")</f>
        <v>View</v>
      </c>
      <c r="P1476" s="27"/>
    </row>
    <row r="1477">
      <c r="A1477" s="19">
        <v>42709.637824074074</v>
      </c>
      <c r="B1477" s="20" t="str">
        <f>HYPERLINK("https://twitter.com/VictorSanGar","@VictorSanGar")</f>
        <v>@VictorSanGar</v>
      </c>
      <c r="C1477" s="21" t="s">
        <v>2864</v>
      </c>
      <c r="D1477" s="21" t="s">
        <v>2693</v>
      </c>
      <c r="E1477" s="22" t="str">
        <f>HYPERLINK("https://twitter.com/VictorSanGar/status/805793468090028034","805793468090028034")</f>
        <v>805793468090028034</v>
      </c>
      <c r="F1477" s="23" t="s">
        <v>41</v>
      </c>
      <c r="G1477" s="24">
        <v>2951.0</v>
      </c>
      <c r="H1477" s="24">
        <v>3242.0</v>
      </c>
      <c r="I1477" s="24">
        <v>16.0</v>
      </c>
      <c r="J1477" s="24">
        <v>0.0</v>
      </c>
      <c r="K1477" s="23" t="s">
        <v>27</v>
      </c>
      <c r="L1477" s="25">
        <v>40264.831400462965</v>
      </c>
      <c r="M1477" s="26" t="s">
        <v>2865</v>
      </c>
      <c r="N1477" s="26" t="s">
        <v>2866</v>
      </c>
      <c r="O1477" s="22" t="str">
        <f>HYPERLINK("https://pbs.twimg.com/profile_images/3605123843/cf3c79e28055298406011129943a7ada_normal.jpeg","View")</f>
        <v>View</v>
      </c>
      <c r="P1477" s="27"/>
    </row>
    <row r="1478">
      <c r="A1478" s="19">
        <v>42709.645370370374</v>
      </c>
      <c r="B1478" s="20" t="str">
        <f>HYPERLINK("https://twitter.com/decarlo_alfonso","@decarlo_alfonso")</f>
        <v>@decarlo_alfonso</v>
      </c>
      <c r="C1478" s="21" t="s">
        <v>707</v>
      </c>
      <c r="D1478" s="21" t="s">
        <v>2782</v>
      </c>
      <c r="E1478" s="22" t="str">
        <f>HYPERLINK("https://twitter.com/decarlo_alfonso/status/805796204814577664","805796204814577664")</f>
        <v>805796204814577664</v>
      </c>
      <c r="F1478" s="23" t="s">
        <v>90</v>
      </c>
      <c r="G1478" s="24">
        <v>13.0</v>
      </c>
      <c r="H1478" s="24">
        <v>104.0</v>
      </c>
      <c r="I1478" s="24">
        <v>7.0</v>
      </c>
      <c r="J1478" s="24">
        <v>0.0</v>
      </c>
      <c r="K1478" s="23" t="s">
        <v>27</v>
      </c>
      <c r="L1478" s="25">
        <v>41352.13466435185</v>
      </c>
      <c r="M1478" s="26" t="s">
        <v>709</v>
      </c>
      <c r="N1478" s="26" t="s">
        <v>710</v>
      </c>
      <c r="O1478" s="22" t="str">
        <f>HYPERLINK("https://pbs.twimg.com/profile_images/3612684335/955ff04779fc6c18e4bd6a8b11748a86_normal.jpeg","View")</f>
        <v>View</v>
      </c>
      <c r="P1478" s="27"/>
    </row>
    <row r="1479">
      <c r="A1479" s="19">
        <v>42709.651342592595</v>
      </c>
      <c r="B1479" s="20" t="str">
        <f>HYPERLINK("https://twitter.com/bermaxo09","@bermaxo09")</f>
        <v>@bermaxo09</v>
      </c>
      <c r="C1479" s="21" t="s">
        <v>284</v>
      </c>
      <c r="D1479" s="21" t="s">
        <v>2867</v>
      </c>
      <c r="E1479" s="22" t="str">
        <f>HYPERLINK("https://twitter.com/bermaxo09/status/805798365774643201","805798365774643201")</f>
        <v>805798365774643201</v>
      </c>
      <c r="F1479" s="23" t="s">
        <v>37</v>
      </c>
      <c r="G1479" s="24">
        <v>193.0</v>
      </c>
      <c r="H1479" s="24">
        <v>196.0</v>
      </c>
      <c r="I1479" s="24">
        <v>0.0</v>
      </c>
      <c r="J1479" s="24">
        <v>1.0</v>
      </c>
      <c r="K1479" s="23" t="s">
        <v>27</v>
      </c>
      <c r="L1479" s="25">
        <v>42689.441516203704</v>
      </c>
      <c r="M1479" s="26" t="s">
        <v>109</v>
      </c>
      <c r="N1479" s="26" t="s">
        <v>286</v>
      </c>
      <c r="O1479" s="22" t="str">
        <f>HYPERLINK("https://pbs.twimg.com/profile_images/798476790478073856/iOD0HIRa_normal.jpg","View")</f>
        <v>View</v>
      </c>
      <c r="P1479" s="27"/>
    </row>
    <row r="1480">
      <c r="A1480" s="19">
        <v>42709.65252314815</v>
      </c>
      <c r="B1480" s="20" t="str">
        <f>HYPERLINK("https://twitter.com/MarcelJ28","@MarcelJ28")</f>
        <v>@MarcelJ28</v>
      </c>
      <c r="C1480" s="21" t="s">
        <v>2868</v>
      </c>
      <c r="D1480" s="21" t="s">
        <v>2855</v>
      </c>
      <c r="E1480" s="22" t="str">
        <f>HYPERLINK("https://twitter.com/MarcelJ28/status/805798793715261440","805798793715261440")</f>
        <v>805798793715261440</v>
      </c>
      <c r="F1480" s="23" t="s">
        <v>2869</v>
      </c>
      <c r="G1480" s="24">
        <v>154.0</v>
      </c>
      <c r="H1480" s="24">
        <v>218.0</v>
      </c>
      <c r="I1480" s="24">
        <v>5.0</v>
      </c>
      <c r="J1480" s="24">
        <v>0.0</v>
      </c>
      <c r="K1480" s="23" t="s">
        <v>27</v>
      </c>
      <c r="L1480" s="25">
        <v>39920.78565972222</v>
      </c>
      <c r="M1480" s="26" t="s">
        <v>2870</v>
      </c>
      <c r="N1480" s="26" t="s">
        <v>2871</v>
      </c>
      <c r="O1480" s="22" t="str">
        <f>HYPERLINK("https://pbs.twimg.com/profile_images/724132846168883200/dnk_ZA69_normal.jpg","View")</f>
        <v>View</v>
      </c>
      <c r="P1480" s="27"/>
    </row>
    <row r="1481">
      <c r="A1481" s="19">
        <v>42709.670219907406</v>
      </c>
      <c r="B1481" s="20" t="str">
        <f>HYPERLINK("https://twitter.com/CositasCanarias","@CositasCanarias")</f>
        <v>@CositasCanarias</v>
      </c>
      <c r="C1481" s="21" t="s">
        <v>1108</v>
      </c>
      <c r="D1481" s="21" t="s">
        <v>2700</v>
      </c>
      <c r="E1481" s="22" t="str">
        <f>HYPERLINK("https://twitter.com/CositasCanarias/status/805805207472979968","805805207472979968")</f>
        <v>805805207472979968</v>
      </c>
      <c r="F1481" s="23" t="s">
        <v>41</v>
      </c>
      <c r="G1481" s="24">
        <v>3919.0</v>
      </c>
      <c r="H1481" s="24">
        <v>3618.0</v>
      </c>
      <c r="I1481" s="24">
        <v>5.0</v>
      </c>
      <c r="J1481" s="24">
        <v>0.0</v>
      </c>
      <c r="K1481" s="23" t="s">
        <v>27</v>
      </c>
      <c r="L1481" s="25">
        <v>42379.54635416667</v>
      </c>
      <c r="M1481" s="26" t="s">
        <v>1109</v>
      </c>
      <c r="N1481" s="26" t="s">
        <v>1110</v>
      </c>
      <c r="O1481" s="22" t="str">
        <f>HYPERLINK("https://pbs.twimg.com/profile_images/722353442321260544/juVRAeF1_normal.jpg","View")</f>
        <v>View</v>
      </c>
      <c r="P1481" s="27"/>
    </row>
    <row r="1482">
      <c r="A1482" s="19">
        <v>42709.67668981482</v>
      </c>
      <c r="B1482" s="20" t="str">
        <f>HYPERLINK("https://twitter.com/heymummytv","@heymummytv")</f>
        <v>@heymummytv</v>
      </c>
      <c r="C1482" s="21" t="s">
        <v>2872</v>
      </c>
      <c r="D1482" s="21" t="s">
        <v>2873</v>
      </c>
      <c r="E1482" s="22" t="str">
        <f>HYPERLINK("https://twitter.com/heymummytv/status/805807552151908352","805807552151908352")</f>
        <v>805807552151908352</v>
      </c>
      <c r="F1482" s="23" t="s">
        <v>26</v>
      </c>
      <c r="G1482" s="24">
        <v>4634.0</v>
      </c>
      <c r="H1482" s="24">
        <v>5015.0</v>
      </c>
      <c r="I1482" s="24">
        <v>0.0</v>
      </c>
      <c r="J1482" s="24">
        <v>1.0</v>
      </c>
      <c r="K1482" s="23" t="s">
        <v>27</v>
      </c>
      <c r="L1482" s="25">
        <v>41713.448645833334</v>
      </c>
      <c r="M1482" s="26" t="s">
        <v>2874</v>
      </c>
      <c r="N1482" s="26" t="s">
        <v>2875</v>
      </c>
      <c r="O1482" s="22" t="str">
        <f>HYPERLINK("https://pbs.twimg.com/profile_images/799558216682270720/6_tnUZhV_normal.jpg","View")</f>
        <v>View</v>
      </c>
      <c r="P1482" s="27"/>
    </row>
    <row r="1483">
      <c r="A1483" s="19">
        <v>42709.683067129634</v>
      </c>
      <c r="B1483" s="20" t="str">
        <f>HYPERLINK("https://twitter.com/SpringMood1","@SpringMood1")</f>
        <v>@SpringMood1</v>
      </c>
      <c r="C1483" s="21" t="s">
        <v>2876</v>
      </c>
      <c r="D1483" s="21" t="s">
        <v>2877</v>
      </c>
      <c r="E1483" s="22" t="str">
        <f>HYPERLINK("https://twitter.com/SpringMood1/status/805809864744243200","805809864744243200")</f>
        <v>805809864744243200</v>
      </c>
      <c r="F1483" s="23" t="s">
        <v>37</v>
      </c>
      <c r="G1483" s="24">
        <v>2.0</v>
      </c>
      <c r="H1483" s="24">
        <v>21.0</v>
      </c>
      <c r="I1483" s="24">
        <v>1.0</v>
      </c>
      <c r="J1483" s="24">
        <v>1.0</v>
      </c>
      <c r="K1483" s="23" t="s">
        <v>27</v>
      </c>
      <c r="L1483" s="25">
        <v>41845.82351851852</v>
      </c>
      <c r="M1483" s="28"/>
      <c r="N1483" s="28"/>
      <c r="O1483" s="22" t="str">
        <f>HYPERLINK("https://pbs.twimg.com/profile_images/804077960835768320/hok3V_ii_normal.jpg","View")</f>
        <v>View</v>
      </c>
      <c r="P1483" s="27"/>
    </row>
    <row r="1484">
      <c r="A1484" s="19">
        <v>42709.68342592593</v>
      </c>
      <c r="B1484" s="20" t="str">
        <f>HYPERLINK("https://twitter.com/canariashub","@canariashub")</f>
        <v>@canariashub</v>
      </c>
      <c r="C1484" s="21" t="s">
        <v>2023</v>
      </c>
      <c r="D1484" s="21" t="s">
        <v>2878</v>
      </c>
      <c r="E1484" s="22" t="str">
        <f>HYPERLINK("https://twitter.com/canariashub/status/805809994587324418","805809994587324418")</f>
        <v>805809994587324418</v>
      </c>
      <c r="F1484" s="23" t="s">
        <v>37</v>
      </c>
      <c r="G1484" s="24">
        <v>1151.0</v>
      </c>
      <c r="H1484" s="24">
        <v>1897.0</v>
      </c>
      <c r="I1484" s="24">
        <v>3.0</v>
      </c>
      <c r="J1484" s="24">
        <v>3.0</v>
      </c>
      <c r="K1484" s="23" t="s">
        <v>27</v>
      </c>
      <c r="L1484" s="25">
        <v>41950.58988425926</v>
      </c>
      <c r="M1484" s="26" t="s">
        <v>168</v>
      </c>
      <c r="N1484" s="26" t="s">
        <v>2025</v>
      </c>
      <c r="O1484" s="22" t="str">
        <f>HYPERLINK("https://pbs.twimg.com/profile_images/530724422085132288/a6DCavsq_normal.png","View")</f>
        <v>View</v>
      </c>
      <c r="P1484" s="27"/>
    </row>
    <row r="1485">
      <c r="A1485" s="19">
        <v>42709.684375</v>
      </c>
      <c r="B1485" s="20" t="str">
        <f>HYPERLINK("https://twitter.com/topVISE","@topVISE")</f>
        <v>@topVISE</v>
      </c>
      <c r="C1485" s="21" t="s">
        <v>1007</v>
      </c>
      <c r="D1485" s="21" t="s">
        <v>2879</v>
      </c>
      <c r="E1485" s="22" t="str">
        <f>HYPERLINK("https://twitter.com/topVISE/status/805810337278808064","805810337278808064")</f>
        <v>805810337278808064</v>
      </c>
      <c r="F1485" s="23" t="s">
        <v>37</v>
      </c>
      <c r="G1485" s="24">
        <v>739.0</v>
      </c>
      <c r="H1485" s="24">
        <v>1085.0</v>
      </c>
      <c r="I1485" s="24">
        <v>0.0</v>
      </c>
      <c r="J1485" s="24">
        <v>0.0</v>
      </c>
      <c r="K1485" s="23" t="s">
        <v>27</v>
      </c>
      <c r="L1485" s="25">
        <v>41580.631944444445</v>
      </c>
      <c r="M1485" s="28"/>
      <c r="N1485" s="26" t="s">
        <v>1008</v>
      </c>
      <c r="O1485" s="22" t="str">
        <f>HYPERLINK("https://pbs.twimg.com/profile_images/378800000683567982/600990dc1da1acde4f9aaf7241cc97aa_normal.jpeg","View")</f>
        <v>View</v>
      </c>
      <c r="P1485" s="27"/>
    </row>
    <row r="1486">
      <c r="A1486" s="19">
        <v>42709.69199074074</v>
      </c>
      <c r="B1486" s="20" t="str">
        <f>HYPERLINK("https://twitter.com/MilaLuisBrito","@MilaLuisBrito")</f>
        <v>@MilaLuisBrito</v>
      </c>
      <c r="C1486" s="21" t="s">
        <v>2880</v>
      </c>
      <c r="D1486" s="21" t="s">
        <v>2881</v>
      </c>
      <c r="E1486" s="22" t="str">
        <f>HYPERLINK("https://twitter.com/MilaLuisBrito/status/805813098443665410","805813098443665410")</f>
        <v>805813098443665410</v>
      </c>
      <c r="F1486" s="23" t="s">
        <v>37</v>
      </c>
      <c r="G1486" s="24">
        <v>1726.0</v>
      </c>
      <c r="H1486" s="24">
        <v>383.0</v>
      </c>
      <c r="I1486" s="24">
        <v>3.0</v>
      </c>
      <c r="J1486" s="24">
        <v>0.0</v>
      </c>
      <c r="K1486" s="23" t="s">
        <v>27</v>
      </c>
      <c r="L1486" s="25">
        <v>41216.828993055555</v>
      </c>
      <c r="M1486" s="26" t="s">
        <v>2882</v>
      </c>
      <c r="N1486" s="26" t="s">
        <v>2883</v>
      </c>
      <c r="O1486" s="22" t="str">
        <f>HYPERLINK("https://pbs.twimg.com/profile_images/672535771614703616/GLm7NtlW_normal.jpg","View")</f>
        <v>View</v>
      </c>
      <c r="P1486" s="27"/>
    </row>
    <row r="1487">
      <c r="A1487" s="19">
        <v>42709.692025462966</v>
      </c>
      <c r="B1487" s="20" t="str">
        <f>HYPERLINK("https://twitter.com/dolce_vita_prod","@dolce_vita_prod")</f>
        <v>@dolce_vita_prod</v>
      </c>
      <c r="C1487" s="21" t="s">
        <v>2884</v>
      </c>
      <c r="D1487" s="21" t="s">
        <v>2885</v>
      </c>
      <c r="E1487" s="22" t="str">
        <f>HYPERLINK("https://twitter.com/dolce_vita_prod/status/805813112536322052","805813112536322052")</f>
        <v>805813112536322052</v>
      </c>
      <c r="F1487" s="23" t="s">
        <v>81</v>
      </c>
      <c r="G1487" s="24">
        <v>20.0</v>
      </c>
      <c r="H1487" s="24">
        <v>21.0</v>
      </c>
      <c r="I1487" s="24">
        <v>0.0</v>
      </c>
      <c r="J1487" s="24">
        <v>2.0</v>
      </c>
      <c r="K1487" s="23" t="s">
        <v>27</v>
      </c>
      <c r="L1487" s="25">
        <v>42314.615000000005</v>
      </c>
      <c r="M1487" s="26" t="s">
        <v>2886</v>
      </c>
      <c r="N1487" s="26" t="s">
        <v>2887</v>
      </c>
      <c r="O1487" s="22" t="str">
        <f>HYPERLINK("https://pbs.twimg.com/profile_images/662643328698159105/FT1dWO7Z_normal.jpg","View")</f>
        <v>View</v>
      </c>
      <c r="P1487" s="27"/>
    </row>
    <row r="1488">
      <c r="A1488" s="19">
        <v>42709.70162037037</v>
      </c>
      <c r="B1488" s="20" t="str">
        <f>HYPERLINK("https://twitter.com/clubsofaorg","@clubsofaorg")</f>
        <v>@clubsofaorg</v>
      </c>
      <c r="C1488" s="21" t="s">
        <v>2888</v>
      </c>
      <c r="D1488" s="21" t="s">
        <v>2889</v>
      </c>
      <c r="E1488" s="22" t="str">
        <f>HYPERLINK("https://twitter.com/clubsofaorg/status/805816589215858688","805816589215858688")</f>
        <v>805816589215858688</v>
      </c>
      <c r="F1488" s="23" t="s">
        <v>2890</v>
      </c>
      <c r="G1488" s="24">
        <v>924.0</v>
      </c>
      <c r="H1488" s="24">
        <v>5001.0</v>
      </c>
      <c r="I1488" s="24">
        <v>1.0</v>
      </c>
      <c r="J1488" s="24">
        <v>0.0</v>
      </c>
      <c r="K1488" s="23" t="s">
        <v>27</v>
      </c>
      <c r="L1488" s="25">
        <v>42644.133831018524</v>
      </c>
      <c r="M1488" s="28"/>
      <c r="N1488" s="26" t="s">
        <v>2891</v>
      </c>
      <c r="O1488" s="22" t="str">
        <f>HYPERLINK("https://pbs.twimg.com/profile_images/782041189428006912/MHgXEqUW_normal.jpg","View")</f>
        <v>View</v>
      </c>
      <c r="P1488" s="27"/>
    </row>
    <row r="1489">
      <c r="A1489" s="19">
        <v>42709.70560185185</v>
      </c>
      <c r="B1489" s="20" t="str">
        <f>HYPERLINK("https://twitter.com/tlgfocus","@tlgfocus")</f>
        <v>@tlgfocus</v>
      </c>
      <c r="C1489" s="21" t="s">
        <v>2101</v>
      </c>
      <c r="D1489" s="21" t="s">
        <v>2881</v>
      </c>
      <c r="E1489" s="22" t="str">
        <f>HYPERLINK("https://twitter.com/tlgfocus/status/805818029355438081","805818029355438081")</f>
        <v>805818029355438081</v>
      </c>
      <c r="F1489" s="23" t="s">
        <v>41</v>
      </c>
      <c r="G1489" s="24">
        <v>639.0</v>
      </c>
      <c r="H1489" s="24">
        <v>1035.0</v>
      </c>
      <c r="I1489" s="24">
        <v>3.0</v>
      </c>
      <c r="J1489" s="24">
        <v>0.0</v>
      </c>
      <c r="K1489" s="23" t="s">
        <v>27</v>
      </c>
      <c r="L1489" s="25">
        <v>42136.56789351851</v>
      </c>
      <c r="M1489" s="26" t="s">
        <v>130</v>
      </c>
      <c r="N1489" s="26" t="s">
        <v>2102</v>
      </c>
      <c r="O1489" s="22" t="str">
        <f>HYPERLINK("https://pbs.twimg.com/profile_images/598112763890823168/Lfk5ONzs_normal.jpg","View")</f>
        <v>View</v>
      </c>
      <c r="P1489" s="27"/>
    </row>
    <row r="1490">
      <c r="A1490" s="19">
        <v>42709.706284722226</v>
      </c>
      <c r="B1490" s="20" t="str">
        <f>HYPERLINK("https://twitter.com/LesRandosdeCaco","@LesRandosdeCaco")</f>
        <v>@LesRandosdeCaco</v>
      </c>
      <c r="C1490" s="21" t="s">
        <v>186</v>
      </c>
      <c r="D1490" s="21" t="s">
        <v>2892</v>
      </c>
      <c r="E1490" s="22" t="str">
        <f>HYPERLINK("https://twitter.com/LesRandosdeCaco/status/805818279386345473","805818279386345473")</f>
        <v>805818279386345473</v>
      </c>
      <c r="F1490" s="23" t="s">
        <v>41</v>
      </c>
      <c r="G1490" s="24">
        <v>7.0</v>
      </c>
      <c r="H1490" s="24">
        <v>57.0</v>
      </c>
      <c r="I1490" s="24">
        <v>0.0</v>
      </c>
      <c r="J1490" s="24">
        <v>0.0</v>
      </c>
      <c r="K1490" s="23" t="s">
        <v>27</v>
      </c>
      <c r="L1490" s="25">
        <v>41643.68407407407</v>
      </c>
      <c r="M1490" s="26" t="s">
        <v>188</v>
      </c>
      <c r="N1490" s="26" t="s">
        <v>189</v>
      </c>
      <c r="O1490" s="22" t="str">
        <f>HYPERLINK("https://pbs.twimg.com/profile_images/802073872866705408/wMHnHYch_normal.jpg","View")</f>
        <v>View</v>
      </c>
      <c r="P1490" s="27"/>
    </row>
    <row r="1491">
      <c r="A1491" s="19">
        <v>42709.70652777777</v>
      </c>
      <c r="B1491" s="20" t="str">
        <f>HYPERLINK("https://twitter.com/SimonTurkas","@SimonTurkas")</f>
        <v>@SimonTurkas</v>
      </c>
      <c r="C1491" s="21" t="s">
        <v>326</v>
      </c>
      <c r="D1491" s="21" t="s">
        <v>2893</v>
      </c>
      <c r="E1491" s="22" t="str">
        <f>HYPERLINK("https://twitter.com/SimonTurkas/status/805818367982665728","805818367982665728")</f>
        <v>805818367982665728</v>
      </c>
      <c r="F1491" s="23" t="s">
        <v>37</v>
      </c>
      <c r="G1491" s="24">
        <v>14915.0</v>
      </c>
      <c r="H1491" s="24">
        <v>10736.0</v>
      </c>
      <c r="I1491" s="24">
        <v>16.0</v>
      </c>
      <c r="J1491" s="24">
        <v>0.0</v>
      </c>
      <c r="K1491" s="23" t="s">
        <v>27</v>
      </c>
      <c r="L1491" s="25">
        <v>41019.515069444446</v>
      </c>
      <c r="M1491" s="26" t="s">
        <v>328</v>
      </c>
      <c r="N1491" s="26" t="s">
        <v>329</v>
      </c>
      <c r="O1491" s="22" t="str">
        <f>HYPERLINK("https://pbs.twimg.com/profile_images/800292908008144896/TiECGUpd_normal.jpg","View")</f>
        <v>View</v>
      </c>
      <c r="P1491" s="27"/>
    </row>
    <row r="1492">
      <c r="A1492" s="19">
        <v>42709.72956018518</v>
      </c>
      <c r="B1492" s="20" t="str">
        <f t="shared" ref="B1492:B1493" si="156">HYPERLINK("https://twitter.com/87Donate","@87Donate")</f>
        <v>@87Donate</v>
      </c>
      <c r="C1492" s="21" t="s">
        <v>2894</v>
      </c>
      <c r="D1492" s="21" t="s">
        <v>2760</v>
      </c>
      <c r="E1492" s="22" t="str">
        <f>HYPERLINK("https://twitter.com/87Donate/status/805826710717558784","805826710717558784")</f>
        <v>805826710717558784</v>
      </c>
      <c r="F1492" s="23" t="s">
        <v>41</v>
      </c>
      <c r="G1492" s="24">
        <v>73.0</v>
      </c>
      <c r="H1492" s="24">
        <v>61.0</v>
      </c>
      <c r="I1492" s="24">
        <v>10.0</v>
      </c>
      <c r="J1492" s="24">
        <v>0.0</v>
      </c>
      <c r="K1492" s="23" t="s">
        <v>27</v>
      </c>
      <c r="L1492" s="25">
        <v>41037.47282407407</v>
      </c>
      <c r="M1492" s="28"/>
      <c r="N1492" s="28"/>
      <c r="O1492" s="22" t="str">
        <f t="shared" ref="O1492:O1493" si="157">HYPERLINK("https://pbs.twimg.com/profile_images/750059130644209664/pj0lp30Q_normal.jpg","View")</f>
        <v>View</v>
      </c>
      <c r="P1492" s="27"/>
    </row>
    <row r="1493">
      <c r="A1493" s="19">
        <v>42709.72965277778</v>
      </c>
      <c r="B1493" s="20" t="str">
        <f t="shared" si="156"/>
        <v>@87Donate</v>
      </c>
      <c r="C1493" s="21" t="s">
        <v>2894</v>
      </c>
      <c r="D1493" s="21" t="s">
        <v>2693</v>
      </c>
      <c r="E1493" s="22" t="str">
        <f>HYPERLINK("https://twitter.com/87Donate/status/805826744250957824","805826744250957824")</f>
        <v>805826744250957824</v>
      </c>
      <c r="F1493" s="23" t="s">
        <v>41</v>
      </c>
      <c r="G1493" s="24">
        <v>73.0</v>
      </c>
      <c r="H1493" s="24">
        <v>61.0</v>
      </c>
      <c r="I1493" s="24">
        <v>16.0</v>
      </c>
      <c r="J1493" s="24">
        <v>0.0</v>
      </c>
      <c r="K1493" s="23" t="s">
        <v>27</v>
      </c>
      <c r="L1493" s="25">
        <v>41037.47282407407</v>
      </c>
      <c r="M1493" s="28"/>
      <c r="N1493" s="28"/>
      <c r="O1493" s="22" t="str">
        <f t="shared" si="157"/>
        <v>View</v>
      </c>
      <c r="P1493" s="27"/>
    </row>
    <row r="1494">
      <c r="A1494" s="19">
        <v>42709.7397800926</v>
      </c>
      <c r="B1494" s="20" t="str">
        <f>HYPERLINK("https://twitter.com/abananasocial","@abananasocial")</f>
        <v>@abananasocial</v>
      </c>
      <c r="C1494" s="21" t="s">
        <v>2895</v>
      </c>
      <c r="D1494" s="21" t="s">
        <v>2896</v>
      </c>
      <c r="E1494" s="22" t="str">
        <f>HYPERLINK("https://twitter.com/abananasocial/status/805830417593016320","805830417593016320")</f>
        <v>805830417593016320</v>
      </c>
      <c r="F1494" s="23" t="s">
        <v>26</v>
      </c>
      <c r="G1494" s="24">
        <v>4.0</v>
      </c>
      <c r="H1494" s="24">
        <v>33.0</v>
      </c>
      <c r="I1494" s="24">
        <v>0.0</v>
      </c>
      <c r="J1494" s="24">
        <v>0.0</v>
      </c>
      <c r="K1494" s="23" t="s">
        <v>27</v>
      </c>
      <c r="L1494" s="25">
        <v>42676.234872685185</v>
      </c>
      <c r="M1494" s="26" t="s">
        <v>2897</v>
      </c>
      <c r="N1494" s="26" t="s">
        <v>2898</v>
      </c>
      <c r="O1494" s="22" t="str">
        <f>HYPERLINK("https://pbs.twimg.com/profile_images/793692090697916416/tPLA_oyK_normal.jpg","View")</f>
        <v>View</v>
      </c>
      <c r="P1494" s="27"/>
    </row>
    <row r="1495">
      <c r="A1495" s="19">
        <v>42709.74103009259</v>
      </c>
      <c r="B1495" s="20" t="str">
        <f>HYPERLINK("https://twitter.com/Emma_3072","@Emma_3072")</f>
        <v>@Emma_3072</v>
      </c>
      <c r="C1495" s="21" t="s">
        <v>2899</v>
      </c>
      <c r="D1495" s="21" t="s">
        <v>2900</v>
      </c>
      <c r="E1495" s="22" t="str">
        <f>HYPERLINK("https://twitter.com/Emma_3072/status/805830869441282048","805830869441282048")</f>
        <v>805830869441282048</v>
      </c>
      <c r="F1495" s="23" t="s">
        <v>26</v>
      </c>
      <c r="G1495" s="24">
        <v>924.0</v>
      </c>
      <c r="H1495" s="24">
        <v>634.0</v>
      </c>
      <c r="I1495" s="24">
        <v>7.0</v>
      </c>
      <c r="J1495" s="24">
        <v>0.0</v>
      </c>
      <c r="K1495" s="23" t="s">
        <v>27</v>
      </c>
      <c r="L1495" s="25">
        <v>41582.802615740744</v>
      </c>
      <c r="M1495" s="26" t="s">
        <v>2901</v>
      </c>
      <c r="N1495" s="26" t="s">
        <v>2902</v>
      </c>
      <c r="O1495" s="22" t="str">
        <f>HYPERLINK("https://pbs.twimg.com/profile_images/803685475009654791/j3VyCY47_normal.jpg","View")</f>
        <v>View</v>
      </c>
      <c r="P1495" s="27"/>
    </row>
    <row r="1496">
      <c r="A1496" s="19">
        <v>42709.75519675926</v>
      </c>
      <c r="B1496" s="20" t="str">
        <f>HYPERLINK("https://twitter.com/RToval1611","@RToval1611")</f>
        <v>@RToval1611</v>
      </c>
      <c r="C1496" s="21" t="s">
        <v>2903</v>
      </c>
      <c r="D1496" s="21" t="s">
        <v>2904</v>
      </c>
      <c r="E1496" s="22" t="str">
        <f>HYPERLINK("https://twitter.com/RToval1611/status/805836004770902017","805836004770902017")</f>
        <v>805836004770902017</v>
      </c>
      <c r="F1496" s="23" t="s">
        <v>41</v>
      </c>
      <c r="G1496" s="24">
        <v>260.0</v>
      </c>
      <c r="H1496" s="24">
        <v>484.0</v>
      </c>
      <c r="I1496" s="24">
        <v>1.0</v>
      </c>
      <c r="J1496" s="24">
        <v>1.0</v>
      </c>
      <c r="K1496" s="23" t="s">
        <v>27</v>
      </c>
      <c r="L1496" s="25">
        <v>42491.410254629634</v>
      </c>
      <c r="M1496" s="28"/>
      <c r="N1496" s="28"/>
      <c r="O1496" s="22" t="str">
        <f>HYPERLINK("https://pbs.twimg.com/profile_images/726742269185933312/JY4JFhPO_normal.jpg","View")</f>
        <v>View</v>
      </c>
      <c r="P1496" s="27"/>
    </row>
    <row r="1497">
      <c r="A1497" s="19">
        <v>42709.76929398148</v>
      </c>
      <c r="B1497" s="20" t="str">
        <f>HYPERLINK("https://twitter.com/iBydaute","@iBydaute")</f>
        <v>@iBydaute</v>
      </c>
      <c r="C1497" s="21" t="s">
        <v>209</v>
      </c>
      <c r="D1497" s="21" t="s">
        <v>2905</v>
      </c>
      <c r="E1497" s="22" t="str">
        <f>HYPERLINK("https://twitter.com/iBydaute/status/805841113143595008","805841113143595008")</f>
        <v>805841113143595008</v>
      </c>
      <c r="F1497" s="23" t="s">
        <v>81</v>
      </c>
      <c r="G1497" s="24">
        <v>581.0</v>
      </c>
      <c r="H1497" s="24">
        <v>2037.0</v>
      </c>
      <c r="I1497" s="24">
        <v>0.0</v>
      </c>
      <c r="J1497" s="24">
        <v>1.0</v>
      </c>
      <c r="K1497" s="23" t="s">
        <v>27</v>
      </c>
      <c r="L1497" s="25">
        <v>39919.48771990741</v>
      </c>
      <c r="M1497" s="26" t="s">
        <v>211</v>
      </c>
      <c r="N1497" s="26" t="s">
        <v>212</v>
      </c>
      <c r="O1497" s="22" t="str">
        <f>HYPERLINK("https://pbs.twimg.com/profile_images/703743884745187328/qEMih7VE_normal.jpg","View")</f>
        <v>View</v>
      </c>
      <c r="P1497" s="27" t="str">
        <f t="shared" ref="P1497:P1498" si="158">HYPERLINK("https://ctrlq.org/maps/address/#28.243889,-16.840278","Map")</f>
        <v>#ERROR!</v>
      </c>
    </row>
    <row r="1498">
      <c r="A1498" s="19">
        <v>42709.77506944444</v>
      </c>
      <c r="B1498" s="20" t="str">
        <f t="shared" ref="B1498:B1499" si="159">HYPERLINK("https://twitter.com/NelsonTeixeira","@NelsonTeixeira")</f>
        <v>@NelsonTeixeira</v>
      </c>
      <c r="C1498" s="21" t="s">
        <v>2334</v>
      </c>
      <c r="D1498" s="21" t="s">
        <v>2906</v>
      </c>
      <c r="E1498" s="22" t="str">
        <f>HYPERLINK("https://twitter.com/NelsonTeixeira/status/805843203819708416","805843203819708416")</f>
        <v>805843203819708416</v>
      </c>
      <c r="F1498" s="23" t="s">
        <v>81</v>
      </c>
      <c r="G1498" s="24">
        <v>202.0</v>
      </c>
      <c r="H1498" s="24">
        <v>427.0</v>
      </c>
      <c r="I1498" s="24">
        <v>0.0</v>
      </c>
      <c r="J1498" s="24">
        <v>1.0</v>
      </c>
      <c r="K1498" s="23" t="s">
        <v>27</v>
      </c>
      <c r="L1498" s="25">
        <v>39842.5300462963</v>
      </c>
      <c r="M1498" s="26" t="s">
        <v>2336</v>
      </c>
      <c r="N1498" s="26" t="s">
        <v>2337</v>
      </c>
      <c r="O1498" s="22" t="str">
        <f t="shared" ref="O1498:O1499" si="160">HYPERLINK("https://pbs.twimg.com/profile_images/1287142423/_MG_8906_normal.jpg","View")</f>
        <v>View</v>
      </c>
      <c r="P1498" s="27" t="str">
        <f t="shared" si="158"/>
        <v>#ERROR!</v>
      </c>
    </row>
    <row r="1499">
      <c r="A1499" s="19">
        <v>42709.77511574074</v>
      </c>
      <c r="B1499" s="20" t="str">
        <f t="shared" si="159"/>
        <v>@NelsonTeixeira</v>
      </c>
      <c r="C1499" s="21" t="s">
        <v>2334</v>
      </c>
      <c r="D1499" s="21" t="s">
        <v>2907</v>
      </c>
      <c r="E1499" s="22" t="str">
        <f>HYPERLINK("https://twitter.com/NelsonTeixeira/status/805843222002077696","805843222002077696")</f>
        <v>805843222002077696</v>
      </c>
      <c r="F1499" s="23" t="s">
        <v>59</v>
      </c>
      <c r="G1499" s="24">
        <v>202.0</v>
      </c>
      <c r="H1499" s="24">
        <v>427.0</v>
      </c>
      <c r="I1499" s="24">
        <v>0.0</v>
      </c>
      <c r="J1499" s="24">
        <v>1.0</v>
      </c>
      <c r="K1499" s="23" t="s">
        <v>27</v>
      </c>
      <c r="L1499" s="25">
        <v>39842.5300462963</v>
      </c>
      <c r="M1499" s="26" t="s">
        <v>2336</v>
      </c>
      <c r="N1499" s="26" t="s">
        <v>2337</v>
      </c>
      <c r="O1499" s="22" t="str">
        <f t="shared" si="160"/>
        <v>View</v>
      </c>
      <c r="P1499" s="27"/>
    </row>
    <row r="1500">
      <c r="A1500" s="19">
        <v>42709.776967592596</v>
      </c>
      <c r="B1500" s="20" t="str">
        <f>HYPERLINK("https://twitter.com/RakheeV","@RakheeV")</f>
        <v>@RakheeV</v>
      </c>
      <c r="C1500" s="21" t="s">
        <v>1240</v>
      </c>
      <c r="D1500" s="21" t="s">
        <v>2908</v>
      </c>
      <c r="E1500" s="22" t="str">
        <f>HYPERLINK("https://twitter.com/RakheeV/status/805843891056308224","805843891056308224")</f>
        <v>805843891056308224</v>
      </c>
      <c r="F1500" s="23" t="s">
        <v>81</v>
      </c>
      <c r="G1500" s="24">
        <v>1489.0</v>
      </c>
      <c r="H1500" s="24">
        <v>2605.0</v>
      </c>
      <c r="I1500" s="24">
        <v>0.0</v>
      </c>
      <c r="J1500" s="24">
        <v>0.0</v>
      </c>
      <c r="K1500" s="23" t="s">
        <v>27</v>
      </c>
      <c r="L1500" s="25">
        <v>40921.93</v>
      </c>
      <c r="M1500" s="26" t="s">
        <v>1172</v>
      </c>
      <c r="N1500" s="26" t="s">
        <v>1242</v>
      </c>
      <c r="O1500" s="22" t="str">
        <f>HYPERLINK("https://pbs.twimg.com/profile_images/742026136801161217/evJgSUlG_normal.jpg","View")</f>
        <v>View</v>
      </c>
      <c r="P1500" s="27" t="str">
        <f>HYPERLINK("https://ctrlq.org/maps/address/#28.02374891,-16.69831738","Map")</f>
        <v>#ERROR!</v>
      </c>
    </row>
    <row r="1501">
      <c r="A1501" s="19">
        <v>42709.77826388889</v>
      </c>
      <c r="B1501" s="20" t="str">
        <f>HYPERLINK("https://twitter.com/SheikaReeves","@SheikaReeves")</f>
        <v>@SheikaReeves</v>
      </c>
      <c r="C1501" s="21" t="s">
        <v>2909</v>
      </c>
      <c r="D1501" s="21" t="s">
        <v>924</v>
      </c>
      <c r="E1501" s="22" t="str">
        <f>HYPERLINK("https://twitter.com/SheikaReeves/status/805844361388949504","805844361388949504")</f>
        <v>805844361388949504</v>
      </c>
      <c r="F1501" s="23" t="s">
        <v>41</v>
      </c>
      <c r="G1501" s="24">
        <v>3976.0</v>
      </c>
      <c r="H1501" s="24">
        <v>4980.0</v>
      </c>
      <c r="I1501" s="24">
        <v>3.0</v>
      </c>
      <c r="J1501" s="24">
        <v>0.0</v>
      </c>
      <c r="K1501" s="23" t="s">
        <v>27</v>
      </c>
      <c r="L1501" s="25">
        <v>41643.9546412037</v>
      </c>
      <c r="M1501" s="26" t="s">
        <v>2910</v>
      </c>
      <c r="N1501" s="26" t="s">
        <v>2911</v>
      </c>
      <c r="O1501" s="22" t="str">
        <f>HYPERLINK("https://pbs.twimg.com/profile_images/769384116286590977/4hzJKz4W_normal.jpg","View")</f>
        <v>View</v>
      </c>
      <c r="P1501" s="27"/>
    </row>
    <row r="1502">
      <c r="A1502" s="19">
        <v>42709.78601851852</v>
      </c>
      <c r="B1502" s="20" t="str">
        <f>HYPERLINK("https://twitter.com/mhall55nine","@mhall55nine")</f>
        <v>@mhall55nine</v>
      </c>
      <c r="C1502" s="21" t="s">
        <v>753</v>
      </c>
      <c r="D1502" s="21" t="s">
        <v>1840</v>
      </c>
      <c r="E1502" s="22" t="str">
        <f>HYPERLINK("https://twitter.com/mhall55nine/status/805847171677372416","805847171677372416")</f>
        <v>805847171677372416</v>
      </c>
      <c r="F1502" s="23" t="s">
        <v>37</v>
      </c>
      <c r="G1502" s="24">
        <v>14420.0</v>
      </c>
      <c r="H1502" s="24">
        <v>11930.0</v>
      </c>
      <c r="I1502" s="24">
        <v>13.0</v>
      </c>
      <c r="J1502" s="24">
        <v>0.0</v>
      </c>
      <c r="K1502" s="23" t="s">
        <v>27</v>
      </c>
      <c r="L1502" s="25">
        <v>41978.94167824074</v>
      </c>
      <c r="M1502" s="26" t="s">
        <v>755</v>
      </c>
      <c r="N1502" s="26" t="s">
        <v>756</v>
      </c>
      <c r="O1502" s="22" t="str">
        <f>HYPERLINK("https://pbs.twimg.com/profile_images/542516716161355776/jVb28Etr_normal.jpeg","View")</f>
        <v>View</v>
      </c>
      <c r="P1502" s="27"/>
    </row>
    <row r="1503">
      <c r="A1503" s="19">
        <v>42709.78946759259</v>
      </c>
      <c r="B1503" s="20" t="str">
        <f>HYPERLINK("https://twitter.com/Beatrizxy","@Beatrizxy")</f>
        <v>@Beatrizxy</v>
      </c>
      <c r="C1503" s="21" t="s">
        <v>2912</v>
      </c>
      <c r="D1503" s="21" t="s">
        <v>2913</v>
      </c>
      <c r="E1503" s="22" t="str">
        <f>HYPERLINK("https://twitter.com/Beatrizxy/status/805848424306315265","805848424306315265")</f>
        <v>805848424306315265</v>
      </c>
      <c r="F1503" s="23" t="s">
        <v>90</v>
      </c>
      <c r="G1503" s="24">
        <v>2751.0</v>
      </c>
      <c r="H1503" s="24">
        <v>1931.0</v>
      </c>
      <c r="I1503" s="24">
        <v>1.0</v>
      </c>
      <c r="J1503" s="24">
        <v>0.0</v>
      </c>
      <c r="K1503" s="23" t="s">
        <v>27</v>
      </c>
      <c r="L1503" s="25">
        <v>40806.55646990741</v>
      </c>
      <c r="M1503" s="26" t="s">
        <v>55</v>
      </c>
      <c r="N1503" s="26" t="s">
        <v>2914</v>
      </c>
      <c r="O1503" s="22" t="str">
        <f>HYPERLINK("https://pbs.twimg.com/profile_images/804568470008504320/jGRM4Vsv_normal.jpg","View")</f>
        <v>View</v>
      </c>
      <c r="P1503" s="27"/>
    </row>
    <row r="1504">
      <c r="A1504" s="19">
        <v>42709.79178240741</v>
      </c>
      <c r="B1504" s="20" t="str">
        <f>HYPERLINK("https://twitter.com/AcecCanarias","@AcecCanarias")</f>
        <v>@AcecCanarias</v>
      </c>
      <c r="C1504" s="21" t="s">
        <v>2915</v>
      </c>
      <c r="D1504" s="21" t="s">
        <v>2700</v>
      </c>
      <c r="E1504" s="22" t="str">
        <f>HYPERLINK("https://twitter.com/AcecCanarias/status/805849262672216064","805849262672216064")</f>
        <v>805849262672216064</v>
      </c>
      <c r="F1504" s="23" t="s">
        <v>41</v>
      </c>
      <c r="G1504" s="24">
        <v>175.0</v>
      </c>
      <c r="H1504" s="24">
        <v>243.0</v>
      </c>
      <c r="I1504" s="24">
        <v>5.0</v>
      </c>
      <c r="J1504" s="24">
        <v>0.0</v>
      </c>
      <c r="K1504" s="23" t="s">
        <v>27</v>
      </c>
      <c r="L1504" s="25">
        <v>41364.54119212963</v>
      </c>
      <c r="M1504" s="26" t="s">
        <v>101</v>
      </c>
      <c r="N1504" s="28"/>
      <c r="O1504" s="22" t="str">
        <f>HYPERLINK("https://pbs.twimg.com/profile_images/3472097132/7b190879fd704276699381c7ce21d0ea_normal.jpeg","View")</f>
        <v>View</v>
      </c>
      <c r="P1504" s="27"/>
    </row>
    <row r="1505">
      <c r="A1505" s="19">
        <v>42709.802777777775</v>
      </c>
      <c r="B1505" s="20" t="str">
        <f>HYPERLINK("https://twitter.com/Rkobarov","@Rkobarov")</f>
        <v>@Rkobarov</v>
      </c>
      <c r="C1505" s="21" t="s">
        <v>2916</v>
      </c>
      <c r="D1505" s="21" t="s">
        <v>2917</v>
      </c>
      <c r="E1505" s="22" t="str">
        <f>HYPERLINK("https://twitter.com/Rkobarov/status/805853246518534145","805853246518534145")</f>
        <v>805853246518534145</v>
      </c>
      <c r="F1505" s="23" t="s">
        <v>81</v>
      </c>
      <c r="G1505" s="24">
        <v>245.0</v>
      </c>
      <c r="H1505" s="24">
        <v>449.0</v>
      </c>
      <c r="I1505" s="24">
        <v>0.0</v>
      </c>
      <c r="J1505" s="24">
        <v>1.0</v>
      </c>
      <c r="K1505" s="23" t="s">
        <v>27</v>
      </c>
      <c r="L1505" s="25">
        <v>40251.398310185185</v>
      </c>
      <c r="M1505" s="26" t="s">
        <v>2918</v>
      </c>
      <c r="N1505" s="26" t="s">
        <v>2919</v>
      </c>
      <c r="O1505" s="22" t="str">
        <f>HYPERLINK("https://pbs.twimg.com/profile_images/481727434710986752/S4qAT1s__normal.jpeg","View")</f>
        <v>View</v>
      </c>
      <c r="P1505" s="27" t="str">
        <f>HYPERLINK("https://ctrlq.org/maps/address/#28.13574,-15.43289","Map")</f>
        <v>#ERROR!</v>
      </c>
    </row>
    <row r="1506">
      <c r="A1506" s="19">
        <v>42709.814050925925</v>
      </c>
      <c r="B1506" s="20" t="str">
        <f>HYPERLINK("https://twitter.com/MutisAlejandro","@MutisAlejandro")</f>
        <v>@MutisAlejandro</v>
      </c>
      <c r="C1506" s="21" t="s">
        <v>2920</v>
      </c>
      <c r="D1506" s="21" t="s">
        <v>2921</v>
      </c>
      <c r="E1506" s="22" t="str">
        <f>HYPERLINK("https://twitter.com/MutisAlejandro/status/805857329820405760","805857329820405760")</f>
        <v>805857329820405760</v>
      </c>
      <c r="F1506" s="23" t="s">
        <v>37</v>
      </c>
      <c r="G1506" s="24">
        <v>515.0</v>
      </c>
      <c r="H1506" s="24">
        <v>406.0</v>
      </c>
      <c r="I1506" s="24">
        <v>0.0</v>
      </c>
      <c r="J1506" s="24">
        <v>1.0</v>
      </c>
      <c r="K1506" s="23" t="s">
        <v>27</v>
      </c>
      <c r="L1506" s="25">
        <v>40845.517696759256</v>
      </c>
      <c r="M1506" s="26" t="s">
        <v>65</v>
      </c>
      <c r="N1506" s="26" t="s">
        <v>2922</v>
      </c>
      <c r="O1506" s="22" t="str">
        <f>HYPERLINK("https://pbs.twimg.com/profile_images/486798114611671041/Y_tpeNuy_normal.jpeg","View")</f>
        <v>View</v>
      </c>
      <c r="P1506" s="27"/>
    </row>
    <row r="1507">
      <c r="A1507" s="19">
        <v>42709.81679398148</v>
      </c>
      <c r="B1507" s="20" t="str">
        <f>HYPERLINK("https://twitter.com/eine_Minute","@eine_Minute")</f>
        <v>@eine_Minute</v>
      </c>
      <c r="C1507" s="21" t="s">
        <v>2923</v>
      </c>
      <c r="D1507" s="21" t="s">
        <v>2924</v>
      </c>
      <c r="E1507" s="22" t="str">
        <f>HYPERLINK("https://twitter.com/eine_Minute/status/805858323962728449","805858323962728449")</f>
        <v>805858323962728449</v>
      </c>
      <c r="F1507" s="23" t="s">
        <v>37</v>
      </c>
      <c r="G1507" s="24">
        <v>778.0</v>
      </c>
      <c r="H1507" s="24">
        <v>668.0</v>
      </c>
      <c r="I1507" s="24">
        <v>0.0</v>
      </c>
      <c r="J1507" s="24">
        <v>1.0</v>
      </c>
      <c r="K1507" s="23" t="s">
        <v>27</v>
      </c>
      <c r="L1507" s="25">
        <v>42469.09204861111</v>
      </c>
      <c r="M1507" s="26" t="s">
        <v>2925</v>
      </c>
      <c r="N1507" s="26" t="s">
        <v>2926</v>
      </c>
      <c r="O1507" s="22" t="str">
        <f>HYPERLINK("https://pbs.twimg.com/profile_images/727214883985563648/UfB0VjCN_normal.jpg","View")</f>
        <v>View</v>
      </c>
      <c r="P1507" s="27"/>
    </row>
    <row r="1508">
      <c r="A1508" s="19">
        <v>42709.819756944446</v>
      </c>
      <c r="B1508" s="20" t="str">
        <f>HYPERLINK("https://twitter.com/RLGieling","@RLGieling")</f>
        <v>@RLGieling</v>
      </c>
      <c r="C1508" s="21" t="s">
        <v>2303</v>
      </c>
      <c r="D1508" s="21" t="s">
        <v>2927</v>
      </c>
      <c r="E1508" s="22" t="str">
        <f>HYPERLINK("https://twitter.com/RLGieling/status/805859398530854912","805859398530854912")</f>
        <v>805859398530854912</v>
      </c>
      <c r="F1508" s="23" t="s">
        <v>81</v>
      </c>
      <c r="G1508" s="24">
        <v>1478.0</v>
      </c>
      <c r="H1508" s="24">
        <v>1183.0</v>
      </c>
      <c r="I1508" s="24">
        <v>0.0</v>
      </c>
      <c r="J1508" s="24">
        <v>0.0</v>
      </c>
      <c r="K1508" s="23" t="s">
        <v>27</v>
      </c>
      <c r="L1508" s="25">
        <v>40574.452731481484</v>
      </c>
      <c r="M1508" s="26" t="s">
        <v>2305</v>
      </c>
      <c r="N1508" s="26" t="s">
        <v>2306</v>
      </c>
      <c r="O1508" s="22" t="str">
        <f>HYPERLINK("https://pbs.twimg.com/profile_images/739040004022935556/1zrwUw2h_normal.jpg","View")</f>
        <v>View</v>
      </c>
      <c r="P1508" s="27" t="str">
        <f>HYPERLINK("https://ctrlq.org/maps/address/#28.12722222,-15.43138889","Map")</f>
        <v>#ERROR!</v>
      </c>
    </row>
    <row r="1509">
      <c r="A1509" s="19">
        <v>42709.824270833335</v>
      </c>
      <c r="B1509" s="20" t="str">
        <f>HYPERLINK("https://twitter.com/vhoff","@vhoff")</f>
        <v>@vhoff</v>
      </c>
      <c r="C1509" s="21" t="s">
        <v>2928</v>
      </c>
      <c r="D1509" s="21" t="s">
        <v>2929</v>
      </c>
      <c r="E1509" s="22" t="str">
        <f>HYPERLINK("https://twitter.com/vhoff/status/805861032929411072","805861032929411072")</f>
        <v>805861032929411072</v>
      </c>
      <c r="F1509" s="23" t="s">
        <v>41</v>
      </c>
      <c r="G1509" s="24">
        <v>897.0</v>
      </c>
      <c r="H1509" s="24">
        <v>2097.0</v>
      </c>
      <c r="I1509" s="24">
        <v>0.0</v>
      </c>
      <c r="J1509" s="24">
        <v>0.0</v>
      </c>
      <c r="K1509" s="23" t="s">
        <v>27</v>
      </c>
      <c r="L1509" s="25">
        <v>39997.917083333334</v>
      </c>
      <c r="M1509" s="26" t="s">
        <v>2930</v>
      </c>
      <c r="N1509" s="26" t="s">
        <v>2931</v>
      </c>
      <c r="O1509" s="22" t="str">
        <f>HYPERLINK("https://pbs.twimg.com/profile_images/1140754146/PICT1124_normal.jpg","View")</f>
        <v>View</v>
      </c>
      <c r="P1509" s="27"/>
    </row>
    <row r="1510">
      <c r="A1510" s="19">
        <v>42709.833773148144</v>
      </c>
      <c r="B1510" s="20" t="str">
        <f>HYPERLINK("https://twitter.com/NeptunoSea","@NeptunoSea")</f>
        <v>@NeptunoSea</v>
      </c>
      <c r="C1510" s="21" t="s">
        <v>2932</v>
      </c>
      <c r="D1510" s="21" t="s">
        <v>2760</v>
      </c>
      <c r="E1510" s="22" t="str">
        <f>HYPERLINK("https://twitter.com/NeptunoSea/status/805864477942050816","805864477942050816")</f>
        <v>805864477942050816</v>
      </c>
      <c r="F1510" s="23" t="s">
        <v>37</v>
      </c>
      <c r="G1510" s="24">
        <v>854.0</v>
      </c>
      <c r="H1510" s="24">
        <v>979.0</v>
      </c>
      <c r="I1510" s="24">
        <v>10.0</v>
      </c>
      <c r="J1510" s="24">
        <v>0.0</v>
      </c>
      <c r="K1510" s="23" t="s">
        <v>27</v>
      </c>
      <c r="L1510" s="25">
        <v>40681.781377314815</v>
      </c>
      <c r="M1510" s="26" t="s">
        <v>282</v>
      </c>
      <c r="N1510" s="26" t="s">
        <v>2933</v>
      </c>
      <c r="O1510" s="22" t="str">
        <f>HYPERLINK("https://pbs.twimg.com/profile_images/1359875292/shogun_nsc_normal.jpg","View")</f>
        <v>View</v>
      </c>
      <c r="P1510" s="27"/>
    </row>
    <row r="1511">
      <c r="A1511" s="19">
        <v>42709.83704861111</v>
      </c>
      <c r="B1511" s="20" t="str">
        <f>HYPERLINK("https://twitter.com/RenaValatka","@RenaValatka")</f>
        <v>@RenaValatka</v>
      </c>
      <c r="C1511" s="21" t="s">
        <v>2934</v>
      </c>
      <c r="D1511" s="21" t="s">
        <v>2935</v>
      </c>
      <c r="E1511" s="22" t="str">
        <f>HYPERLINK("https://twitter.com/RenaValatka/status/805865663617265668","805865663617265668")</f>
        <v>805865663617265668</v>
      </c>
      <c r="F1511" s="23" t="s">
        <v>41</v>
      </c>
      <c r="G1511" s="24">
        <v>415.0</v>
      </c>
      <c r="H1511" s="24">
        <v>1027.0</v>
      </c>
      <c r="I1511" s="24">
        <v>0.0</v>
      </c>
      <c r="J1511" s="24">
        <v>3.0</v>
      </c>
      <c r="K1511" s="23" t="s">
        <v>27</v>
      </c>
      <c r="L1511" s="25">
        <v>41414.38328703704</v>
      </c>
      <c r="M1511" s="26" t="s">
        <v>2393</v>
      </c>
      <c r="N1511" s="26" t="s">
        <v>2936</v>
      </c>
      <c r="O1511" s="22" t="str">
        <f>HYPERLINK("https://pbs.twimg.com/profile_images/801447079793033216/4cR77OGA_normal.jpg","View")</f>
        <v>View</v>
      </c>
      <c r="P1511" s="27"/>
    </row>
    <row r="1512">
      <c r="A1512" s="19">
        <v>42709.846087962964</v>
      </c>
      <c r="B1512" s="20" t="str">
        <f>HYPERLINK("https://twitter.com/EmocionesCan","@EmocionesCan")</f>
        <v>@EmocionesCan</v>
      </c>
      <c r="C1512" s="21" t="s">
        <v>39</v>
      </c>
      <c r="D1512" s="21" t="s">
        <v>1055</v>
      </c>
      <c r="E1512" s="22" t="str">
        <f>HYPERLINK("https://twitter.com/EmocionesCan/status/805868940022910976","805868940022910976")</f>
        <v>805868940022910976</v>
      </c>
      <c r="F1512" s="23" t="s">
        <v>41</v>
      </c>
      <c r="G1512" s="24">
        <v>61321.0</v>
      </c>
      <c r="H1512" s="24">
        <v>3424.0</v>
      </c>
      <c r="I1512" s="24">
        <v>9.0</v>
      </c>
      <c r="J1512" s="24">
        <v>0.0</v>
      </c>
      <c r="K1512" s="23" t="s">
        <v>27</v>
      </c>
      <c r="L1512" s="25">
        <v>40776.91810185185</v>
      </c>
      <c r="M1512" s="26" t="s">
        <v>42</v>
      </c>
      <c r="N1512" s="26" t="s">
        <v>43</v>
      </c>
      <c r="O1512" s="22" t="str">
        <f>HYPERLINK("https://pbs.twimg.com/profile_images/1508754713/Logos_Perfiles_EECC_-_Sin_borde_y_sin_texto_normal.jpg","View")</f>
        <v>View</v>
      </c>
      <c r="P1512" s="27"/>
    </row>
    <row r="1513">
      <c r="A1513" s="19">
        <v>42709.86315972223</v>
      </c>
      <c r="B1513" s="20" t="str">
        <f>HYPERLINK("https://twitter.com/moiraLadd","@moiraLadd")</f>
        <v>@moiraLadd</v>
      </c>
      <c r="C1513" s="21" t="s">
        <v>2937</v>
      </c>
      <c r="D1513" s="21" t="s">
        <v>2938</v>
      </c>
      <c r="E1513" s="22" t="str">
        <f>HYPERLINK("https://twitter.com/moiraLadd/status/805875128810749952","805875128810749952")</f>
        <v>805875128810749952</v>
      </c>
      <c r="F1513" s="23" t="s">
        <v>81</v>
      </c>
      <c r="G1513" s="24">
        <v>834.0</v>
      </c>
      <c r="H1513" s="24">
        <v>1327.0</v>
      </c>
      <c r="I1513" s="24">
        <v>0.0</v>
      </c>
      <c r="J1513" s="24">
        <v>0.0</v>
      </c>
      <c r="K1513" s="23" t="s">
        <v>27</v>
      </c>
      <c r="L1513" s="25">
        <v>41340.8578587963</v>
      </c>
      <c r="M1513" s="26" t="s">
        <v>2939</v>
      </c>
      <c r="N1513" s="26" t="s">
        <v>2940</v>
      </c>
      <c r="O1513" s="22" t="str">
        <f>HYPERLINK("https://pbs.twimg.com/profile_images/610862618270633985/_mJZ1ifa_normal.jpg","View")</f>
        <v>View</v>
      </c>
      <c r="P1513" s="27"/>
    </row>
    <row r="1514">
      <c r="A1514" s="19">
        <v>42709.86509259259</v>
      </c>
      <c r="B1514" s="20" t="str">
        <f>HYPERLINK("https://twitter.com/MedCruiseGuide","@MedCruiseGuide")</f>
        <v>@MedCruiseGuide</v>
      </c>
      <c r="C1514" s="21" t="s">
        <v>75</v>
      </c>
      <c r="D1514" s="21" t="s">
        <v>2941</v>
      </c>
      <c r="E1514" s="22" t="str">
        <f>HYPERLINK("https://twitter.com/MedCruiseGuide/status/805875829536329733","805875829536329733")</f>
        <v>805875829536329733</v>
      </c>
      <c r="F1514" s="23" t="s">
        <v>77</v>
      </c>
      <c r="G1514" s="24">
        <v>20863.0</v>
      </c>
      <c r="H1514" s="24">
        <v>19280.0</v>
      </c>
      <c r="I1514" s="24">
        <v>0.0</v>
      </c>
      <c r="J1514" s="24">
        <v>0.0</v>
      </c>
      <c r="K1514" s="23" t="s">
        <v>27</v>
      </c>
      <c r="L1514" s="25">
        <v>40592.49048611111</v>
      </c>
      <c r="M1514" s="28"/>
      <c r="N1514" s="26" t="s">
        <v>78</v>
      </c>
      <c r="O1514" s="22" t="str">
        <f>HYPERLINK("https://pbs.twimg.com/profile_images/805484536301780992/2tho24Rf_normal.jpg","View")</f>
        <v>View</v>
      </c>
      <c r="P1514" s="27"/>
    </row>
    <row r="1515">
      <c r="A1515" s="19">
        <v>42709.865324074075</v>
      </c>
      <c r="B1515" s="20" t="str">
        <f>HYPERLINK("https://twitter.com/moiraLadd","@moiraLadd")</f>
        <v>@moiraLadd</v>
      </c>
      <c r="C1515" s="21" t="s">
        <v>2937</v>
      </c>
      <c r="D1515" s="21" t="s">
        <v>2942</v>
      </c>
      <c r="E1515" s="22" t="str">
        <f>HYPERLINK("https://twitter.com/moiraLadd/status/805875913355304960","805875913355304960")</f>
        <v>805875913355304960</v>
      </c>
      <c r="F1515" s="23" t="s">
        <v>81</v>
      </c>
      <c r="G1515" s="24">
        <v>834.0</v>
      </c>
      <c r="H1515" s="24">
        <v>1327.0</v>
      </c>
      <c r="I1515" s="24">
        <v>0.0</v>
      </c>
      <c r="J1515" s="24">
        <v>0.0</v>
      </c>
      <c r="K1515" s="23" t="s">
        <v>27</v>
      </c>
      <c r="L1515" s="25">
        <v>41340.8578587963</v>
      </c>
      <c r="M1515" s="26" t="s">
        <v>2939</v>
      </c>
      <c r="N1515" s="26" t="s">
        <v>2940</v>
      </c>
      <c r="O1515" s="22" t="str">
        <f>HYPERLINK("https://pbs.twimg.com/profile_images/610862618270633985/_mJZ1ifa_normal.jpg","View")</f>
        <v>View</v>
      </c>
      <c r="P1515" s="27"/>
    </row>
    <row r="1516">
      <c r="A1516" s="19">
        <v>42709.87017361111</v>
      </c>
      <c r="B1516" s="20" t="str">
        <f>HYPERLINK("https://twitter.com/HtJardinTecina","@HtJardinTecina")</f>
        <v>@HtJardinTecina</v>
      </c>
      <c r="C1516" s="21" t="s">
        <v>736</v>
      </c>
      <c r="D1516" s="21" t="s">
        <v>2943</v>
      </c>
      <c r="E1516" s="22" t="str">
        <f>HYPERLINK("https://twitter.com/HtJardinTecina/status/805877670584139779","805877670584139779")</f>
        <v>805877670584139779</v>
      </c>
      <c r="F1516" s="23" t="s">
        <v>81</v>
      </c>
      <c r="G1516" s="24">
        <v>3095.0</v>
      </c>
      <c r="H1516" s="24">
        <v>1329.0</v>
      </c>
      <c r="I1516" s="24">
        <v>0.0</v>
      </c>
      <c r="J1516" s="24">
        <v>1.0</v>
      </c>
      <c r="K1516" s="23" t="s">
        <v>27</v>
      </c>
      <c r="L1516" s="25">
        <v>39701.516539351855</v>
      </c>
      <c r="M1516" s="26" t="s">
        <v>2944</v>
      </c>
      <c r="N1516" s="26" t="s">
        <v>2945</v>
      </c>
      <c r="O1516" s="22" t="str">
        <f>HYPERLINK("https://pbs.twimg.com/profile_images/798611432258543616/Rt1RcXm8_normal.jpg","View")</f>
        <v>View</v>
      </c>
      <c r="P1516" s="27"/>
    </row>
    <row r="1517">
      <c r="A1517" s="19">
        <v>42709.8753125</v>
      </c>
      <c r="B1517" s="20" t="str">
        <f>HYPERLINK("https://twitter.com/manuelcyetano","@manuelcyetano")</f>
        <v>@manuelcyetano</v>
      </c>
      <c r="C1517" s="21" t="s">
        <v>2946</v>
      </c>
      <c r="D1517" s="21" t="s">
        <v>2760</v>
      </c>
      <c r="E1517" s="22" t="str">
        <f>HYPERLINK("https://twitter.com/manuelcyetano/status/805879532355985409","805879532355985409")</f>
        <v>805879532355985409</v>
      </c>
      <c r="F1517" s="23" t="s">
        <v>37</v>
      </c>
      <c r="G1517" s="24">
        <v>1980.0</v>
      </c>
      <c r="H1517" s="24">
        <v>4993.0</v>
      </c>
      <c r="I1517" s="24">
        <v>10.0</v>
      </c>
      <c r="J1517" s="24">
        <v>0.0</v>
      </c>
      <c r="K1517" s="23" t="s">
        <v>27</v>
      </c>
      <c r="L1517" s="25">
        <v>40551.78802083334</v>
      </c>
      <c r="M1517" s="26" t="s">
        <v>42</v>
      </c>
      <c r="N1517" s="26" t="s">
        <v>2947</v>
      </c>
      <c r="O1517" s="22" t="str">
        <f>HYPERLINK("https://pbs.twimg.com/profile_images/702573401706205184/xPBj9N8W_normal.jpg","View")</f>
        <v>View</v>
      </c>
      <c r="P1517" s="27"/>
    </row>
    <row r="1518">
      <c r="A1518" s="19">
        <v>42709.88408564815</v>
      </c>
      <c r="B1518" s="20" t="str">
        <f>HYPERLINK("https://twitter.com/jmlpyt","@jmlpyt")</f>
        <v>@jmlpyt</v>
      </c>
      <c r="C1518" s="21" t="s">
        <v>2948</v>
      </c>
      <c r="D1518" s="21" t="s">
        <v>2693</v>
      </c>
      <c r="E1518" s="22" t="str">
        <f>HYPERLINK("https://twitter.com/jmlpyt/status/805882709755252738","805882709755252738")</f>
        <v>805882709755252738</v>
      </c>
      <c r="F1518" s="23" t="s">
        <v>90</v>
      </c>
      <c r="G1518" s="24">
        <v>15999.0</v>
      </c>
      <c r="H1518" s="24">
        <v>11375.0</v>
      </c>
      <c r="I1518" s="24">
        <v>16.0</v>
      </c>
      <c r="J1518" s="24">
        <v>0.0</v>
      </c>
      <c r="K1518" s="23" t="s">
        <v>27</v>
      </c>
      <c r="L1518" s="25">
        <v>42119.299155092594</v>
      </c>
      <c r="M1518" s="26" t="s">
        <v>2949</v>
      </c>
      <c r="N1518" s="26" t="s">
        <v>2950</v>
      </c>
      <c r="O1518" s="22" t="str">
        <f>HYPERLINK("https://pbs.twimg.com/profile_images/591858611900514305/6cYOyb2N_normal.jpg","View")</f>
        <v>View</v>
      </c>
      <c r="P1518" s="27"/>
    </row>
    <row r="1519">
      <c r="A1519" s="19">
        <v>42709.88457175926</v>
      </c>
      <c r="B1519" s="20" t="str">
        <f>HYPERLINK("https://twitter.com/MokaGonzalez_","@MokaGonzalez_")</f>
        <v>@MokaGonzalez_</v>
      </c>
      <c r="C1519" s="21" t="s">
        <v>967</v>
      </c>
      <c r="D1519" s="21" t="s">
        <v>2951</v>
      </c>
      <c r="E1519" s="22" t="str">
        <f>HYPERLINK("https://twitter.com/MokaGonzalez_/status/805882885710422016","805882885710422016")</f>
        <v>805882885710422016</v>
      </c>
      <c r="F1519" s="23" t="s">
        <v>41</v>
      </c>
      <c r="G1519" s="24">
        <v>167.0</v>
      </c>
      <c r="H1519" s="24">
        <v>115.0</v>
      </c>
      <c r="I1519" s="24">
        <v>6.0</v>
      </c>
      <c r="J1519" s="24">
        <v>25.0</v>
      </c>
      <c r="K1519" s="23" t="s">
        <v>27</v>
      </c>
      <c r="L1519" s="25">
        <v>42601.60578703704</v>
      </c>
      <c r="M1519" s="26" t="s">
        <v>969</v>
      </c>
      <c r="N1519" s="26" t="s">
        <v>970</v>
      </c>
      <c r="O1519" s="22" t="str">
        <f>HYPERLINK("https://pbs.twimg.com/profile_images/805759744292122624/GVNyopcr_normal.jpg","View")</f>
        <v>View</v>
      </c>
      <c r="P1519" s="27"/>
    </row>
    <row r="1520">
      <c r="A1520" s="19">
        <v>42709.8853125</v>
      </c>
      <c r="B1520" s="20" t="str">
        <f>HYPERLINK("https://twitter.com/holyber","@holyber")</f>
        <v>@holyber</v>
      </c>
      <c r="C1520" s="21" t="s">
        <v>45</v>
      </c>
      <c r="D1520" s="21" t="s">
        <v>2952</v>
      </c>
      <c r="E1520" s="22" t="str">
        <f>HYPERLINK("https://twitter.com/holyber/status/805883155471278081","805883155471278081")</f>
        <v>805883155471278081</v>
      </c>
      <c r="F1520" s="23" t="s">
        <v>37</v>
      </c>
      <c r="G1520" s="24">
        <v>106410.0</v>
      </c>
      <c r="H1520" s="24">
        <v>94316.0</v>
      </c>
      <c r="I1520" s="24">
        <v>6.0</v>
      </c>
      <c r="J1520" s="24">
        <v>0.0</v>
      </c>
      <c r="K1520" s="23" t="s">
        <v>27</v>
      </c>
      <c r="L1520" s="25">
        <v>41144.80637731482</v>
      </c>
      <c r="M1520" s="26" t="s">
        <v>46</v>
      </c>
      <c r="N1520" s="26" t="s">
        <v>47</v>
      </c>
      <c r="O1520" s="22" t="str">
        <f>HYPERLINK("https://pbs.twimg.com/profile_images/475644614448123904/FiCl2pX4_normal.jpeg","View")</f>
        <v>View</v>
      </c>
      <c r="P1520" s="27"/>
    </row>
    <row r="1521">
      <c r="A1521" s="19">
        <v>42709.88626157407</v>
      </c>
      <c r="B1521" s="20" t="str">
        <f>HYPERLINK("https://twitter.com/Selhso","@Selhso")</f>
        <v>@Selhso</v>
      </c>
      <c r="C1521" s="21" t="s">
        <v>194</v>
      </c>
      <c r="D1521" s="21" t="s">
        <v>2953</v>
      </c>
      <c r="E1521" s="22" t="str">
        <f>HYPERLINK("https://twitter.com/Selhso/status/805883498083090434","805883498083090434")</f>
        <v>805883498083090434</v>
      </c>
      <c r="F1521" s="23" t="s">
        <v>37</v>
      </c>
      <c r="G1521" s="24">
        <v>1615.0</v>
      </c>
      <c r="H1521" s="24">
        <v>1661.0</v>
      </c>
      <c r="I1521" s="24">
        <v>18.0</v>
      </c>
      <c r="J1521" s="24">
        <v>23.0</v>
      </c>
      <c r="K1521" s="23" t="s">
        <v>27</v>
      </c>
      <c r="L1521" s="25">
        <v>40372.68681712963</v>
      </c>
      <c r="M1521" s="26" t="s">
        <v>196</v>
      </c>
      <c r="N1521" s="26" t="s">
        <v>109</v>
      </c>
      <c r="O1521" s="22" t="str">
        <f>HYPERLINK("https://pbs.twimg.com/profile_images/800845512836579328/cKh_5hB2_normal.jpg","View")</f>
        <v>View</v>
      </c>
      <c r="P1521" s="27"/>
    </row>
    <row r="1522">
      <c r="A1522" s="19">
        <v>42709.88700231482</v>
      </c>
      <c r="B1522" s="20" t="str">
        <f>HYPERLINK("https://twitter.com/SmokinHot_Babes","@SmokinHot_Babes")</f>
        <v>@SmokinHot_Babes</v>
      </c>
      <c r="C1522" s="21" t="s">
        <v>2954</v>
      </c>
      <c r="D1522" s="21" t="s">
        <v>1734</v>
      </c>
      <c r="E1522" s="22" t="str">
        <f>HYPERLINK("https://twitter.com/SmokinHot_Babes/status/805883767508336640","805883767508336640")</f>
        <v>805883767508336640</v>
      </c>
      <c r="F1522" s="23" t="s">
        <v>37</v>
      </c>
      <c r="G1522" s="24">
        <v>351614.0</v>
      </c>
      <c r="H1522" s="24">
        <v>326.0</v>
      </c>
      <c r="I1522" s="24">
        <v>38.0</v>
      </c>
      <c r="J1522" s="24">
        <v>0.0</v>
      </c>
      <c r="K1522" s="23" t="s">
        <v>27</v>
      </c>
      <c r="L1522" s="25">
        <v>41058.76155092593</v>
      </c>
      <c r="M1522" s="26" t="s">
        <v>2955</v>
      </c>
      <c r="N1522" s="26" t="s">
        <v>2956</v>
      </c>
      <c r="O1522" s="22" t="str">
        <f>HYPERLINK("https://pbs.twimg.com/profile_images/792881154277908484/KrNww4af_normal.jpg","View")</f>
        <v>View</v>
      </c>
      <c r="P1522" s="27"/>
    </row>
    <row r="1523">
      <c r="A1523" s="19">
        <v>42709.891076388885</v>
      </c>
      <c r="B1523" s="20" t="str">
        <f>HYPERLINK("https://twitter.com/EmocionesCan","@EmocionesCan")</f>
        <v>@EmocionesCan</v>
      </c>
      <c r="C1523" s="21" t="s">
        <v>39</v>
      </c>
      <c r="D1523" s="21" t="s">
        <v>1055</v>
      </c>
      <c r="E1523" s="22" t="str">
        <f>HYPERLINK("https://twitter.com/EmocionesCan/status/805885243597144065","805885243597144065")</f>
        <v>805885243597144065</v>
      </c>
      <c r="F1523" s="23" t="s">
        <v>41</v>
      </c>
      <c r="G1523" s="24">
        <v>61321.0</v>
      </c>
      <c r="H1523" s="24">
        <v>3424.0</v>
      </c>
      <c r="I1523" s="24">
        <v>18.0</v>
      </c>
      <c r="J1523" s="24">
        <v>0.0</v>
      </c>
      <c r="K1523" s="23" t="s">
        <v>27</v>
      </c>
      <c r="L1523" s="25">
        <v>40776.91810185185</v>
      </c>
      <c r="M1523" s="26" t="s">
        <v>42</v>
      </c>
      <c r="N1523" s="26" t="s">
        <v>43</v>
      </c>
      <c r="O1523" s="22" t="str">
        <f>HYPERLINK("https://pbs.twimg.com/profile_images/1508754713/Logos_Perfiles_EECC_-_Sin_borde_y_sin_texto_normal.jpg","View")</f>
        <v>View</v>
      </c>
      <c r="P1523" s="27"/>
    </row>
    <row r="1524">
      <c r="A1524" s="19">
        <v>42709.89454861111</v>
      </c>
      <c r="B1524" s="20" t="str">
        <f>HYPERLINK("https://twitter.com/holyber","@holyber")</f>
        <v>@holyber</v>
      </c>
      <c r="C1524" s="21" t="s">
        <v>45</v>
      </c>
      <c r="D1524" s="21" t="s">
        <v>1055</v>
      </c>
      <c r="E1524" s="22" t="str">
        <f>HYPERLINK("https://twitter.com/holyber/status/805886502345568256","805886502345568256")</f>
        <v>805886502345568256</v>
      </c>
      <c r="F1524" s="23" t="s">
        <v>37</v>
      </c>
      <c r="G1524" s="24">
        <v>106410.0</v>
      </c>
      <c r="H1524" s="24">
        <v>94316.0</v>
      </c>
      <c r="I1524" s="24">
        <v>18.0</v>
      </c>
      <c r="J1524" s="24">
        <v>0.0</v>
      </c>
      <c r="K1524" s="23" t="s">
        <v>27</v>
      </c>
      <c r="L1524" s="25">
        <v>41144.80637731482</v>
      </c>
      <c r="M1524" s="26" t="s">
        <v>46</v>
      </c>
      <c r="N1524" s="26" t="s">
        <v>47</v>
      </c>
      <c r="O1524" s="22" t="str">
        <f>HYPERLINK("https://pbs.twimg.com/profile_images/475644614448123904/FiCl2pX4_normal.jpeg","View")</f>
        <v>View</v>
      </c>
      <c r="P1524" s="27"/>
    </row>
    <row r="1525">
      <c r="A1525" s="19">
        <v>42709.896898148145</v>
      </c>
      <c r="B1525" s="20" t="str">
        <f>HYPERLINK("https://twitter.com/DMinternship","@DMinternship")</f>
        <v>@DMinternship</v>
      </c>
      <c r="C1525" s="21" t="s">
        <v>935</v>
      </c>
      <c r="D1525" s="21" t="s">
        <v>2957</v>
      </c>
      <c r="E1525" s="22" t="str">
        <f>HYPERLINK("https://twitter.com/DMinternship/status/805887354607173632","805887354607173632")</f>
        <v>805887354607173632</v>
      </c>
      <c r="F1525" s="23" t="s">
        <v>401</v>
      </c>
      <c r="G1525" s="24">
        <v>1781.0</v>
      </c>
      <c r="H1525" s="24">
        <v>1393.0</v>
      </c>
      <c r="I1525" s="24">
        <v>0.0</v>
      </c>
      <c r="J1525" s="24">
        <v>0.0</v>
      </c>
      <c r="K1525" s="23" t="s">
        <v>27</v>
      </c>
      <c r="L1525" s="25">
        <v>41984.83335648148</v>
      </c>
      <c r="M1525" s="26" t="s">
        <v>301</v>
      </c>
      <c r="N1525" s="26" t="s">
        <v>937</v>
      </c>
      <c r="O1525" s="22" t="str">
        <f>HYPERLINK("https://pbs.twimg.com/profile_images/543134167836282882/TU0k9eE6_normal.jpeg","View")</f>
        <v>View</v>
      </c>
      <c r="P1525" s="27"/>
    </row>
    <row r="1526">
      <c r="A1526" s="19">
        <v>42709.89690972222</v>
      </c>
      <c r="B1526" s="20" t="str">
        <f t="shared" ref="B1526:B1527" si="161">HYPERLINK("https://twitter.com/DiveInternship","@DiveInternship")</f>
        <v>@DiveInternship</v>
      </c>
      <c r="C1526" s="21" t="s">
        <v>938</v>
      </c>
      <c r="D1526" s="21" t="s">
        <v>2958</v>
      </c>
      <c r="E1526" s="22" t="str">
        <f>HYPERLINK("https://twitter.com/DiveInternship/status/805887357346021381","805887357346021381")</f>
        <v>805887357346021381</v>
      </c>
      <c r="F1526" s="23" t="s">
        <v>401</v>
      </c>
      <c r="G1526" s="24">
        <v>1763.0</v>
      </c>
      <c r="H1526" s="24">
        <v>1286.0</v>
      </c>
      <c r="I1526" s="24">
        <v>0.0</v>
      </c>
      <c r="J1526" s="24">
        <v>0.0</v>
      </c>
      <c r="K1526" s="23" t="s">
        <v>27</v>
      </c>
      <c r="L1526" s="25">
        <v>42016.521990740745</v>
      </c>
      <c r="M1526" s="26" t="s">
        <v>301</v>
      </c>
      <c r="N1526" s="26" t="s">
        <v>940</v>
      </c>
      <c r="O1526" s="22" t="str">
        <f t="shared" ref="O1526:O1527" si="162">HYPERLINK("https://pbs.twimg.com/profile_images/555773820082987008/gVpHLsE4_normal.jpeg","View")</f>
        <v>View</v>
      </c>
      <c r="P1526" s="27"/>
    </row>
    <row r="1527">
      <c r="A1527" s="19">
        <v>42709.899606481486</v>
      </c>
      <c r="B1527" s="20" t="str">
        <f t="shared" si="161"/>
        <v>@DiveInternship</v>
      </c>
      <c r="C1527" s="21" t="s">
        <v>938</v>
      </c>
      <c r="D1527" s="21" t="s">
        <v>2959</v>
      </c>
      <c r="E1527" s="22" t="str">
        <f>HYPERLINK("https://twitter.com/DiveInternship/status/805888334702768129","805888334702768129")</f>
        <v>805888334702768129</v>
      </c>
      <c r="F1527" s="23" t="s">
        <v>401</v>
      </c>
      <c r="G1527" s="24">
        <v>1763.0</v>
      </c>
      <c r="H1527" s="24">
        <v>1286.0</v>
      </c>
      <c r="I1527" s="24">
        <v>0.0</v>
      </c>
      <c r="J1527" s="24">
        <v>0.0</v>
      </c>
      <c r="K1527" s="23" t="s">
        <v>27</v>
      </c>
      <c r="L1527" s="25">
        <v>42016.521990740745</v>
      </c>
      <c r="M1527" s="26" t="s">
        <v>301</v>
      </c>
      <c r="N1527" s="26" t="s">
        <v>940</v>
      </c>
      <c r="O1527" s="22" t="str">
        <f t="shared" si="162"/>
        <v>View</v>
      </c>
      <c r="P1527" s="27"/>
    </row>
    <row r="1528">
      <c r="A1528" s="19">
        <v>42709.899606481486</v>
      </c>
      <c r="B1528" s="20" t="str">
        <f>HYPERLINK("https://twitter.com/DMinternship","@DMinternship")</f>
        <v>@DMinternship</v>
      </c>
      <c r="C1528" s="21" t="s">
        <v>935</v>
      </c>
      <c r="D1528" s="21" t="s">
        <v>2960</v>
      </c>
      <c r="E1528" s="22" t="str">
        <f>HYPERLINK("https://twitter.com/DMinternship/status/805888334895710213","805888334895710213")</f>
        <v>805888334895710213</v>
      </c>
      <c r="F1528" s="23" t="s">
        <v>401</v>
      </c>
      <c r="G1528" s="24">
        <v>1781.0</v>
      </c>
      <c r="H1528" s="24">
        <v>1393.0</v>
      </c>
      <c r="I1528" s="24">
        <v>0.0</v>
      </c>
      <c r="J1528" s="24">
        <v>0.0</v>
      </c>
      <c r="K1528" s="23" t="s">
        <v>27</v>
      </c>
      <c r="L1528" s="25">
        <v>41984.83335648148</v>
      </c>
      <c r="M1528" s="26" t="s">
        <v>301</v>
      </c>
      <c r="N1528" s="26" t="s">
        <v>937</v>
      </c>
      <c r="O1528" s="22" t="str">
        <f>HYPERLINK("https://pbs.twimg.com/profile_images/543134167836282882/TU0k9eE6_normal.jpeg","View")</f>
        <v>View</v>
      </c>
      <c r="P1528" s="27"/>
    </row>
    <row r="1529">
      <c r="A1529" s="19">
        <v>42709.90090277778</v>
      </c>
      <c r="B1529" s="20" t="str">
        <f>HYPERLINK("https://twitter.com/Eddie_Lover","@Eddie_Lover")</f>
        <v>@Eddie_Lover</v>
      </c>
      <c r="C1529" s="21" t="s">
        <v>2961</v>
      </c>
      <c r="D1529" s="21" t="s">
        <v>2962</v>
      </c>
      <c r="E1529" s="22" t="str">
        <f>HYPERLINK("https://twitter.com/Eddie_Lover/status/805888805702107137","805888805702107137")</f>
        <v>805888805702107137</v>
      </c>
      <c r="F1529" s="23" t="s">
        <v>37</v>
      </c>
      <c r="G1529" s="24">
        <v>1285.0</v>
      </c>
      <c r="H1529" s="24">
        <v>29.0</v>
      </c>
      <c r="I1529" s="24">
        <v>0.0</v>
      </c>
      <c r="J1529" s="24">
        <v>0.0</v>
      </c>
      <c r="K1529" s="23" t="s">
        <v>27</v>
      </c>
      <c r="L1529" s="25">
        <v>40242.97431712963</v>
      </c>
      <c r="M1529" s="26" t="s">
        <v>2963</v>
      </c>
      <c r="N1529" s="26" t="s">
        <v>2964</v>
      </c>
      <c r="O1529" s="22" t="str">
        <f>HYPERLINK("https://pbs.twimg.com/profile_images/769142043746660352/Tq79hhjf_normal.jpg","View")</f>
        <v>View</v>
      </c>
      <c r="P1529" s="27"/>
    </row>
    <row r="1530">
      <c r="A1530" s="19">
        <v>42709.902719907404</v>
      </c>
      <c r="B1530" s="20" t="str">
        <f>HYPERLINK("https://twitter.com/Andres5112","@Andres5112")</f>
        <v>@Andres5112</v>
      </c>
      <c r="C1530" s="21" t="s">
        <v>2965</v>
      </c>
      <c r="D1530" s="21" t="s">
        <v>1055</v>
      </c>
      <c r="E1530" s="22" t="str">
        <f>HYPERLINK("https://twitter.com/Andres5112/status/805889464430133248","805889464430133248")</f>
        <v>805889464430133248</v>
      </c>
      <c r="F1530" s="23" t="s">
        <v>26</v>
      </c>
      <c r="G1530" s="24">
        <v>1146.0</v>
      </c>
      <c r="H1530" s="24">
        <v>1085.0</v>
      </c>
      <c r="I1530" s="24">
        <v>18.0</v>
      </c>
      <c r="J1530" s="24">
        <v>0.0</v>
      </c>
      <c r="K1530" s="23" t="s">
        <v>27</v>
      </c>
      <c r="L1530" s="25">
        <v>40960.76304398148</v>
      </c>
      <c r="M1530" s="26" t="s">
        <v>2966</v>
      </c>
      <c r="N1530" s="26" t="s">
        <v>2967</v>
      </c>
      <c r="O1530" s="22" t="str">
        <f>HYPERLINK("https://pbs.twimg.com/profile_images/786417939352317956/izliNCoM_normal.jpg","View")</f>
        <v>View</v>
      </c>
      <c r="P1530" s="27"/>
    </row>
    <row r="1531">
      <c r="A1531" s="19">
        <v>42709.90409722222</v>
      </c>
      <c r="B1531" s="20" t="str">
        <f>HYPERLINK("https://twitter.com/islaspromo","@islaspromo")</f>
        <v>@islaspromo</v>
      </c>
      <c r="C1531" s="21" t="s">
        <v>215</v>
      </c>
      <c r="D1531" s="21" t="s">
        <v>1055</v>
      </c>
      <c r="E1531" s="22" t="str">
        <f>HYPERLINK("https://twitter.com/islaspromo/status/805889964726751234","805889964726751234")</f>
        <v>805889964726751234</v>
      </c>
      <c r="F1531" s="23" t="s">
        <v>41</v>
      </c>
      <c r="G1531" s="24">
        <v>785.0</v>
      </c>
      <c r="H1531" s="24">
        <v>591.0</v>
      </c>
      <c r="I1531" s="24">
        <v>18.0</v>
      </c>
      <c r="J1531" s="24">
        <v>0.0</v>
      </c>
      <c r="K1531" s="23" t="s">
        <v>27</v>
      </c>
      <c r="L1531" s="25">
        <v>42060.74221064815</v>
      </c>
      <c r="M1531" s="26" t="s">
        <v>51</v>
      </c>
      <c r="N1531" s="26" t="s">
        <v>216</v>
      </c>
      <c r="O1531" s="22" t="str">
        <f>HYPERLINK("https://pbs.twimg.com/profile_images/570644453866483712/dvbC2x8W_normal.jpeg","View")</f>
        <v>View</v>
      </c>
      <c r="P1531" s="27"/>
    </row>
    <row r="1532">
      <c r="A1532" s="19">
        <v>42709.90486111111</v>
      </c>
      <c r="B1532" s="20" t="str">
        <f>HYPERLINK("https://twitter.com/MokaGonzalez_","@MokaGonzalez_")</f>
        <v>@MokaGonzalez_</v>
      </c>
      <c r="C1532" s="21" t="s">
        <v>967</v>
      </c>
      <c r="D1532" s="21" t="s">
        <v>2968</v>
      </c>
      <c r="E1532" s="22" t="str">
        <f>HYPERLINK("https://twitter.com/MokaGonzalez_/status/805890238019227648","805890238019227648")</f>
        <v>805890238019227648</v>
      </c>
      <c r="F1532" s="23" t="s">
        <v>41</v>
      </c>
      <c r="G1532" s="24">
        <v>167.0</v>
      </c>
      <c r="H1532" s="24">
        <v>115.0</v>
      </c>
      <c r="I1532" s="24">
        <v>8.0</v>
      </c>
      <c r="J1532" s="24">
        <v>26.0</v>
      </c>
      <c r="K1532" s="23" t="s">
        <v>27</v>
      </c>
      <c r="L1532" s="25">
        <v>42601.60578703704</v>
      </c>
      <c r="M1532" s="26" t="s">
        <v>969</v>
      </c>
      <c r="N1532" s="26" t="s">
        <v>970</v>
      </c>
      <c r="O1532" s="22" t="str">
        <f>HYPERLINK("https://pbs.twimg.com/profile_images/805759744292122624/GVNyopcr_normal.jpg","View")</f>
        <v>View</v>
      </c>
      <c r="P1532" s="27"/>
    </row>
    <row r="1533">
      <c r="A1533" s="19">
        <v>42709.9058912037</v>
      </c>
      <c r="B1533" s="20" t="str">
        <f>HYPERLINK("https://twitter.com/holyber","@holyber")</f>
        <v>@holyber</v>
      </c>
      <c r="C1533" s="21" t="s">
        <v>45</v>
      </c>
      <c r="D1533" s="21" t="s">
        <v>2969</v>
      </c>
      <c r="E1533" s="22" t="str">
        <f>HYPERLINK("https://twitter.com/holyber/status/805890611337371652","805890611337371652")</f>
        <v>805890611337371652</v>
      </c>
      <c r="F1533" s="23" t="s">
        <v>37</v>
      </c>
      <c r="G1533" s="24">
        <v>106410.0</v>
      </c>
      <c r="H1533" s="24">
        <v>94316.0</v>
      </c>
      <c r="I1533" s="24">
        <v>8.0</v>
      </c>
      <c r="J1533" s="24">
        <v>0.0</v>
      </c>
      <c r="K1533" s="23" t="s">
        <v>27</v>
      </c>
      <c r="L1533" s="25">
        <v>41144.80637731482</v>
      </c>
      <c r="M1533" s="26" t="s">
        <v>46</v>
      </c>
      <c r="N1533" s="26" t="s">
        <v>47</v>
      </c>
      <c r="O1533" s="22" t="str">
        <f>HYPERLINK("https://pbs.twimg.com/profile_images/475644614448123904/FiCl2pX4_normal.jpeg","View")</f>
        <v>View</v>
      </c>
      <c r="P1533" s="27"/>
    </row>
    <row r="1534">
      <c r="A1534" s="19">
        <v>42709.90614583333</v>
      </c>
      <c r="B1534" s="20" t="str">
        <f>HYPERLINK("https://twitter.com/Selhso","@Selhso")</f>
        <v>@Selhso</v>
      </c>
      <c r="C1534" s="21" t="s">
        <v>194</v>
      </c>
      <c r="D1534" s="21" t="s">
        <v>2969</v>
      </c>
      <c r="E1534" s="22" t="str">
        <f>HYPERLINK("https://twitter.com/Selhso/status/805890704765554692","805890704765554692")</f>
        <v>805890704765554692</v>
      </c>
      <c r="F1534" s="23" t="s">
        <v>37</v>
      </c>
      <c r="G1534" s="24">
        <v>1615.0</v>
      </c>
      <c r="H1534" s="24">
        <v>1661.0</v>
      </c>
      <c r="I1534" s="24">
        <v>8.0</v>
      </c>
      <c r="J1534" s="24">
        <v>0.0</v>
      </c>
      <c r="K1534" s="23" t="s">
        <v>27</v>
      </c>
      <c r="L1534" s="25">
        <v>40372.68681712963</v>
      </c>
      <c r="M1534" s="26" t="s">
        <v>196</v>
      </c>
      <c r="N1534" s="26" t="s">
        <v>109</v>
      </c>
      <c r="O1534" s="22" t="str">
        <f>HYPERLINK("https://pbs.twimg.com/profile_images/800845512836579328/cKh_5hB2_normal.jpg","View")</f>
        <v>View</v>
      </c>
      <c r="P1534" s="27"/>
    </row>
    <row r="1535">
      <c r="A1535" s="19">
        <v>42709.90782407408</v>
      </c>
      <c r="B1535" s="20" t="str">
        <f t="shared" ref="B1535:B1539" si="163">HYPERLINK("https://twitter.com/JulioAl18175505","@JulioAl18175505")</f>
        <v>@JulioAl18175505</v>
      </c>
      <c r="C1535" s="21" t="s">
        <v>248</v>
      </c>
      <c r="D1535" s="21" t="s">
        <v>1055</v>
      </c>
      <c r="E1535" s="22" t="str">
        <f>HYPERLINK("https://twitter.com/JulioAl18175505/status/805891314806063104","805891314806063104")</f>
        <v>805891314806063104</v>
      </c>
      <c r="F1535" s="23" t="s">
        <v>41</v>
      </c>
      <c r="G1535" s="24">
        <v>3883.0</v>
      </c>
      <c r="H1535" s="24">
        <v>3761.0</v>
      </c>
      <c r="I1535" s="24">
        <v>18.0</v>
      </c>
      <c r="J1535" s="24">
        <v>0.0</v>
      </c>
      <c r="K1535" s="23" t="s">
        <v>27</v>
      </c>
      <c r="L1535" s="25">
        <v>41713.45993055555</v>
      </c>
      <c r="M1535" s="26" t="s">
        <v>250</v>
      </c>
      <c r="N1535" s="26" t="s">
        <v>251</v>
      </c>
      <c r="O1535" s="22" t="str">
        <f t="shared" ref="O1535:O1539" si="164">HYPERLINK("https://pbs.twimg.com/profile_images/706839494851436544/7igsf91D_normal.jpg","View")</f>
        <v>View</v>
      </c>
      <c r="P1535" s="27"/>
    </row>
    <row r="1536">
      <c r="A1536" s="19">
        <v>42709.90792824074</v>
      </c>
      <c r="B1536" s="20" t="str">
        <f t="shared" si="163"/>
        <v>@JulioAl18175505</v>
      </c>
      <c r="C1536" s="21" t="s">
        <v>248</v>
      </c>
      <c r="D1536" s="21" t="s">
        <v>2952</v>
      </c>
      <c r="E1536" s="22" t="str">
        <f>HYPERLINK("https://twitter.com/JulioAl18175505/status/805891351510392833","805891351510392833")</f>
        <v>805891351510392833</v>
      </c>
      <c r="F1536" s="23" t="s">
        <v>41</v>
      </c>
      <c r="G1536" s="24">
        <v>3883.0</v>
      </c>
      <c r="H1536" s="24">
        <v>3761.0</v>
      </c>
      <c r="I1536" s="24">
        <v>6.0</v>
      </c>
      <c r="J1536" s="24">
        <v>0.0</v>
      </c>
      <c r="K1536" s="23" t="s">
        <v>27</v>
      </c>
      <c r="L1536" s="25">
        <v>41713.45993055555</v>
      </c>
      <c r="M1536" s="26" t="s">
        <v>250</v>
      </c>
      <c r="N1536" s="26" t="s">
        <v>251</v>
      </c>
      <c r="O1536" s="22" t="str">
        <f t="shared" si="164"/>
        <v>View</v>
      </c>
      <c r="P1536" s="27"/>
    </row>
    <row r="1537">
      <c r="A1537" s="19">
        <v>42709.91107638889</v>
      </c>
      <c r="B1537" s="20" t="str">
        <f t="shared" si="163"/>
        <v>@JulioAl18175505</v>
      </c>
      <c r="C1537" s="21" t="s">
        <v>248</v>
      </c>
      <c r="D1537" s="21" t="s">
        <v>2842</v>
      </c>
      <c r="E1537" s="22" t="str">
        <f>HYPERLINK("https://twitter.com/JulioAl18175505/status/805892490230427651","805892490230427651")</f>
        <v>805892490230427651</v>
      </c>
      <c r="F1537" s="23" t="s">
        <v>41</v>
      </c>
      <c r="G1537" s="24">
        <v>3883.0</v>
      </c>
      <c r="H1537" s="24">
        <v>3761.0</v>
      </c>
      <c r="I1537" s="24">
        <v>6.0</v>
      </c>
      <c r="J1537" s="24">
        <v>0.0</v>
      </c>
      <c r="K1537" s="23" t="s">
        <v>27</v>
      </c>
      <c r="L1537" s="25">
        <v>41713.45993055555</v>
      </c>
      <c r="M1537" s="26" t="s">
        <v>250</v>
      </c>
      <c r="N1537" s="26" t="s">
        <v>251</v>
      </c>
      <c r="O1537" s="22" t="str">
        <f t="shared" si="164"/>
        <v>View</v>
      </c>
      <c r="P1537" s="27"/>
    </row>
    <row r="1538">
      <c r="A1538" s="19">
        <v>42709.91137731481</v>
      </c>
      <c r="B1538" s="20" t="str">
        <f t="shared" si="163"/>
        <v>@JulioAl18175505</v>
      </c>
      <c r="C1538" s="21" t="s">
        <v>248</v>
      </c>
      <c r="D1538" s="21" t="s">
        <v>2807</v>
      </c>
      <c r="E1538" s="22" t="str">
        <f>HYPERLINK("https://twitter.com/JulioAl18175505/status/805892600863588352","805892600863588352")</f>
        <v>805892600863588352</v>
      </c>
      <c r="F1538" s="23" t="s">
        <v>41</v>
      </c>
      <c r="G1538" s="24">
        <v>3883.0</v>
      </c>
      <c r="H1538" s="24">
        <v>3761.0</v>
      </c>
      <c r="I1538" s="24">
        <v>7.0</v>
      </c>
      <c r="J1538" s="24">
        <v>0.0</v>
      </c>
      <c r="K1538" s="23" t="s">
        <v>27</v>
      </c>
      <c r="L1538" s="25">
        <v>41713.45993055555</v>
      </c>
      <c r="M1538" s="26" t="s">
        <v>250</v>
      </c>
      <c r="N1538" s="26" t="s">
        <v>251</v>
      </c>
      <c r="O1538" s="22" t="str">
        <f t="shared" si="164"/>
        <v>View</v>
      </c>
      <c r="P1538" s="27"/>
    </row>
    <row r="1539">
      <c r="A1539" s="19">
        <v>42709.91171296296</v>
      </c>
      <c r="B1539" s="20" t="str">
        <f t="shared" si="163"/>
        <v>@JulioAl18175505</v>
      </c>
      <c r="C1539" s="21" t="s">
        <v>248</v>
      </c>
      <c r="D1539" s="21" t="s">
        <v>1055</v>
      </c>
      <c r="E1539" s="22" t="str">
        <f>HYPERLINK("https://twitter.com/JulioAl18175505/status/805892721198198784","805892721198198784")</f>
        <v>805892721198198784</v>
      </c>
      <c r="F1539" s="23" t="s">
        <v>41</v>
      </c>
      <c r="G1539" s="24">
        <v>3883.0</v>
      </c>
      <c r="H1539" s="24">
        <v>3761.0</v>
      </c>
      <c r="I1539" s="24">
        <v>9.0</v>
      </c>
      <c r="J1539" s="24">
        <v>0.0</v>
      </c>
      <c r="K1539" s="23" t="s">
        <v>27</v>
      </c>
      <c r="L1539" s="25">
        <v>41713.45993055555</v>
      </c>
      <c r="M1539" s="26" t="s">
        <v>250</v>
      </c>
      <c r="N1539" s="26" t="s">
        <v>251</v>
      </c>
      <c r="O1539" s="22" t="str">
        <f t="shared" si="164"/>
        <v>View</v>
      </c>
      <c r="P1539" s="27"/>
    </row>
    <row r="1540">
      <c r="A1540" s="19">
        <v>42709.912615740745</v>
      </c>
      <c r="B1540" s="20" t="str">
        <f>HYPERLINK("https://twitter.com/cardin_merche","@cardin_merche")</f>
        <v>@cardin_merche</v>
      </c>
      <c r="C1540" s="21" t="s">
        <v>2970</v>
      </c>
      <c r="D1540" s="21" t="s">
        <v>1055</v>
      </c>
      <c r="E1540" s="22" t="str">
        <f>HYPERLINK("https://twitter.com/cardin_merche/status/805893050505498624","805893050505498624")</f>
        <v>805893050505498624</v>
      </c>
      <c r="F1540" s="23" t="s">
        <v>780</v>
      </c>
      <c r="G1540" s="24">
        <v>367.0</v>
      </c>
      <c r="H1540" s="24">
        <v>1287.0</v>
      </c>
      <c r="I1540" s="24">
        <v>18.0</v>
      </c>
      <c r="J1540" s="24">
        <v>0.0</v>
      </c>
      <c r="K1540" s="23" t="s">
        <v>27</v>
      </c>
      <c r="L1540" s="25">
        <v>42300.899097222224</v>
      </c>
      <c r="M1540" s="28"/>
      <c r="N1540" s="28"/>
      <c r="O1540" s="22" t="str">
        <f>HYPERLINK("https://abs.twimg.com/sticky/default_profile_images/default_profile_0_normal.png","View")</f>
        <v>View</v>
      </c>
      <c r="P1540" s="27"/>
    </row>
    <row r="1541">
      <c r="A1541" s="19">
        <v>42709.914259259254</v>
      </c>
      <c r="B1541" s="20" t="str">
        <f>HYPERLINK("https://twitter.com/guusstaaavooo","@guusstaaavooo")</f>
        <v>@guusstaaavooo</v>
      </c>
      <c r="C1541" s="21" t="s">
        <v>2971</v>
      </c>
      <c r="D1541" s="21" t="s">
        <v>1055</v>
      </c>
      <c r="E1541" s="22" t="str">
        <f>HYPERLINK("https://twitter.com/guusstaaavooo/status/805893643798200320","805893643798200320")</f>
        <v>805893643798200320</v>
      </c>
      <c r="F1541" s="23" t="s">
        <v>26</v>
      </c>
      <c r="G1541" s="24">
        <v>255.0</v>
      </c>
      <c r="H1541" s="24">
        <v>531.0</v>
      </c>
      <c r="I1541" s="24">
        <v>18.0</v>
      </c>
      <c r="J1541" s="24">
        <v>0.0</v>
      </c>
      <c r="K1541" s="23" t="s">
        <v>27</v>
      </c>
      <c r="L1541" s="25">
        <v>41703.59422453704</v>
      </c>
      <c r="M1541" s="26" t="s">
        <v>2972</v>
      </c>
      <c r="N1541" s="26" t="s">
        <v>2973</v>
      </c>
      <c r="O1541" s="22" t="str">
        <f>HYPERLINK("https://pbs.twimg.com/profile_images/542739397100445696/NVjopu_P_normal.jpeg","View")</f>
        <v>View</v>
      </c>
      <c r="P1541" s="27"/>
    </row>
    <row r="1542">
      <c r="A1542" s="19">
        <v>42709.91814814815</v>
      </c>
      <c r="B1542" s="20" t="str">
        <f>HYPERLINK("https://twitter.com/swisshop4uEs","@swisshop4uEs")</f>
        <v>@swisshop4uEs</v>
      </c>
      <c r="C1542" s="21" t="s">
        <v>48</v>
      </c>
      <c r="D1542" s="21" t="s">
        <v>2974</v>
      </c>
      <c r="E1542" s="22" t="str">
        <f>HYPERLINK("https://twitter.com/swisshop4uEs/status/805895055177371648","805895055177371648")</f>
        <v>805895055177371648</v>
      </c>
      <c r="F1542" s="23" t="s">
        <v>50</v>
      </c>
      <c r="G1542" s="24">
        <v>455.0</v>
      </c>
      <c r="H1542" s="24">
        <v>424.0</v>
      </c>
      <c r="I1542" s="24">
        <v>0.0</v>
      </c>
      <c r="J1542" s="24">
        <v>0.0</v>
      </c>
      <c r="K1542" s="23" t="s">
        <v>27</v>
      </c>
      <c r="L1542" s="25">
        <v>41468.93072916666</v>
      </c>
      <c r="M1542" s="26" t="s">
        <v>51</v>
      </c>
      <c r="N1542" s="26" t="s">
        <v>52</v>
      </c>
      <c r="O1542" s="22" t="str">
        <f>HYPERLINK("https://pbs.twimg.com/profile_images/378800000213382003/4f562b59f92995b884d2d440f71fc5ce_normal.png","View")</f>
        <v>View</v>
      </c>
      <c r="P1542" s="27"/>
    </row>
    <row r="1543">
      <c r="A1543" s="19">
        <v>42709.92869212963</v>
      </c>
      <c r="B1543" s="20" t="str">
        <f>HYPERLINK("https://twitter.com/paisajecanario","@paisajecanario")</f>
        <v>@paisajecanario</v>
      </c>
      <c r="C1543" s="21" t="s">
        <v>70</v>
      </c>
      <c r="D1543" s="21" t="s">
        <v>1055</v>
      </c>
      <c r="E1543" s="22" t="str">
        <f>HYPERLINK("https://twitter.com/paisajecanario/status/805898875064250369","805898875064250369")</f>
        <v>805898875064250369</v>
      </c>
      <c r="F1543" s="23" t="s">
        <v>26</v>
      </c>
      <c r="G1543" s="24">
        <v>13324.0</v>
      </c>
      <c r="H1543" s="24">
        <v>434.0</v>
      </c>
      <c r="I1543" s="24">
        <v>18.0</v>
      </c>
      <c r="J1543" s="24">
        <v>0.0</v>
      </c>
      <c r="K1543" s="23" t="s">
        <v>27</v>
      </c>
      <c r="L1543" s="25">
        <v>41815.714641203704</v>
      </c>
      <c r="M1543" s="26" t="s">
        <v>71</v>
      </c>
      <c r="N1543" s="26" t="s">
        <v>72</v>
      </c>
      <c r="O1543" s="22" t="str">
        <f>HYPERLINK("https://pbs.twimg.com/profile_images/789364630850240512/Mw90qAlM_normal.jpg","View")</f>
        <v>View</v>
      </c>
      <c r="P1543" s="27"/>
    </row>
    <row r="1544">
      <c r="A1544" s="19">
        <v>42709.928865740745</v>
      </c>
      <c r="B1544" s="20" t="str">
        <f>HYPERLINK("https://twitter.com/luisma_92","@luisma_92")</f>
        <v>@luisma_92</v>
      </c>
      <c r="C1544" s="21" t="s">
        <v>2975</v>
      </c>
      <c r="D1544" s="21" t="s">
        <v>1055</v>
      </c>
      <c r="E1544" s="22" t="str">
        <f>HYPERLINK("https://twitter.com/luisma_92/status/805898938222084096","805898938222084096")</f>
        <v>805898938222084096</v>
      </c>
      <c r="F1544" s="23" t="s">
        <v>26</v>
      </c>
      <c r="G1544" s="24">
        <v>1125.0</v>
      </c>
      <c r="H1544" s="24">
        <v>1107.0</v>
      </c>
      <c r="I1544" s="24">
        <v>18.0</v>
      </c>
      <c r="J1544" s="24">
        <v>0.0</v>
      </c>
      <c r="K1544" s="23" t="s">
        <v>27</v>
      </c>
      <c r="L1544" s="25">
        <v>40626.90056712963</v>
      </c>
      <c r="M1544" s="26" t="s">
        <v>2976</v>
      </c>
      <c r="N1544" s="26" t="s">
        <v>2977</v>
      </c>
      <c r="O1544" s="22" t="str">
        <f>HYPERLINK("https://pbs.twimg.com/profile_images/788036315493392384/8VV01kYT_normal.jpg","View")</f>
        <v>View</v>
      </c>
      <c r="P1544" s="27"/>
    </row>
    <row r="1545">
      <c r="A1545" s="19">
        <v>42709.928865740745</v>
      </c>
      <c r="B1545" s="20" t="str">
        <f>HYPERLINK("https://twitter.com/Maraguasan","@Maraguasan")</f>
        <v>@Maraguasan</v>
      </c>
      <c r="C1545" s="21" t="s">
        <v>2978</v>
      </c>
      <c r="D1545" s="21" t="s">
        <v>1055</v>
      </c>
      <c r="E1545" s="22" t="str">
        <f>HYPERLINK("https://twitter.com/Maraguasan/status/805898939308371968","805898939308371968")</f>
        <v>805898939308371968</v>
      </c>
      <c r="F1545" s="23" t="s">
        <v>780</v>
      </c>
      <c r="G1545" s="24">
        <v>1135.0</v>
      </c>
      <c r="H1545" s="24">
        <v>1375.0</v>
      </c>
      <c r="I1545" s="24">
        <v>18.0</v>
      </c>
      <c r="J1545" s="24">
        <v>0.0</v>
      </c>
      <c r="K1545" s="23" t="s">
        <v>27</v>
      </c>
      <c r="L1545" s="25">
        <v>41975.6703587963</v>
      </c>
      <c r="M1545" s="28"/>
      <c r="N1545" s="26" t="s">
        <v>2979</v>
      </c>
      <c r="O1545" s="22" t="str">
        <f>HYPERLINK("https://pbs.twimg.com/profile_images/712302333007425536/7DFqcsZO_normal.jpg","View")</f>
        <v>View</v>
      </c>
      <c r="P1545" s="27"/>
    </row>
    <row r="1546">
      <c r="A1546" s="19">
        <v>42709.9309375</v>
      </c>
      <c r="B1546" s="20" t="str">
        <f>HYPERLINK("https://twitter.com/adayrocamora","@adayrocamora")</f>
        <v>@adayrocamora</v>
      </c>
      <c r="C1546" s="21" t="s">
        <v>2980</v>
      </c>
      <c r="D1546" s="21" t="s">
        <v>1055</v>
      </c>
      <c r="E1546" s="22" t="str">
        <f>HYPERLINK("https://twitter.com/adayrocamora/status/805899687467319297","805899687467319297")</f>
        <v>805899687467319297</v>
      </c>
      <c r="F1546" s="23" t="s">
        <v>37</v>
      </c>
      <c r="G1546" s="24">
        <v>575.0</v>
      </c>
      <c r="H1546" s="24">
        <v>435.0</v>
      </c>
      <c r="I1546" s="24">
        <v>18.0</v>
      </c>
      <c r="J1546" s="24">
        <v>0.0</v>
      </c>
      <c r="K1546" s="23" t="s">
        <v>27</v>
      </c>
      <c r="L1546" s="25">
        <v>40558.99890046296</v>
      </c>
      <c r="M1546" s="26" t="s">
        <v>2981</v>
      </c>
      <c r="N1546" s="26" t="s">
        <v>2982</v>
      </c>
      <c r="O1546" s="22" t="str">
        <f>HYPERLINK("https://pbs.twimg.com/profile_images/735815847265116160/iqJKEkoB_normal.jpg","View")</f>
        <v>View</v>
      </c>
      <c r="P1546" s="27"/>
    </row>
    <row r="1547">
      <c r="A1547" s="19">
        <v>42709.935266203705</v>
      </c>
      <c r="B1547" s="20" t="str">
        <f>HYPERLINK("https://twitter.com/joserodrigue299","@joserodrigue299")</f>
        <v>@joserodrigue299</v>
      </c>
      <c r="C1547" s="21" t="s">
        <v>2983</v>
      </c>
      <c r="D1547" s="21" t="s">
        <v>1055</v>
      </c>
      <c r="E1547" s="22" t="str">
        <f>HYPERLINK("https://twitter.com/joserodrigue299/status/805901259064639490","805901259064639490")</f>
        <v>805901259064639490</v>
      </c>
      <c r="F1547" s="23" t="s">
        <v>41</v>
      </c>
      <c r="G1547" s="24">
        <v>39.0</v>
      </c>
      <c r="H1547" s="24">
        <v>837.0</v>
      </c>
      <c r="I1547" s="24">
        <v>18.0</v>
      </c>
      <c r="J1547" s="24">
        <v>0.0</v>
      </c>
      <c r="K1547" s="23" t="s">
        <v>27</v>
      </c>
      <c r="L1547" s="25">
        <v>42666.146944444445</v>
      </c>
      <c r="M1547" s="28"/>
      <c r="N1547" s="28"/>
      <c r="O1547" s="22" t="str">
        <f>HYPERLINK("https://pbs.twimg.com/profile_images/793780053435834368/vM6XMMw8_normal.jpg","View")</f>
        <v>View</v>
      </c>
      <c r="P1547" s="27"/>
    </row>
    <row r="1548">
      <c r="A1548" s="19">
        <v>42709.937256944446</v>
      </c>
      <c r="B1548" s="20" t="str">
        <f>HYPERLINK("https://twitter.com/MariolaTNFGC84","@MariolaTNFGC84")</f>
        <v>@MariolaTNFGC84</v>
      </c>
      <c r="C1548" s="21" t="s">
        <v>385</v>
      </c>
      <c r="D1548" s="21" t="s">
        <v>1055</v>
      </c>
      <c r="E1548" s="22" t="str">
        <f>HYPERLINK("https://twitter.com/MariolaTNFGC84/status/805901979453190144","805901979453190144")</f>
        <v>805901979453190144</v>
      </c>
      <c r="F1548" s="23" t="s">
        <v>37</v>
      </c>
      <c r="G1548" s="24">
        <v>391.0</v>
      </c>
      <c r="H1548" s="24">
        <v>891.0</v>
      </c>
      <c r="I1548" s="24">
        <v>18.0</v>
      </c>
      <c r="J1548" s="24">
        <v>0.0</v>
      </c>
      <c r="K1548" s="23" t="s">
        <v>27</v>
      </c>
      <c r="L1548" s="25">
        <v>42181.55790509259</v>
      </c>
      <c r="M1548" s="28"/>
      <c r="N1548" s="28"/>
      <c r="O1548" s="22" t="str">
        <f>HYPERLINK("https://pbs.twimg.com/profile_images/765266327804190720/3kytWWcC_normal.jpg","View")</f>
        <v>View</v>
      </c>
      <c r="P1548" s="27"/>
    </row>
    <row r="1549">
      <c r="A1549" s="19">
        <v>42709.946331018524</v>
      </c>
      <c r="B1549" s="20" t="str">
        <f t="shared" ref="B1549:B1550" si="165">HYPERLINK("https://twitter.com/nubialonso","@nubialonso")</f>
        <v>@nubialonso</v>
      </c>
      <c r="C1549" s="21" t="s">
        <v>280</v>
      </c>
      <c r="D1549" s="21" t="s">
        <v>2984</v>
      </c>
      <c r="E1549" s="22" t="str">
        <f>HYPERLINK("https://twitter.com/nubialonso/status/805905269519777792","805905269519777792")</f>
        <v>805905269519777792</v>
      </c>
      <c r="F1549" s="23" t="s">
        <v>81</v>
      </c>
      <c r="G1549" s="24">
        <v>255.0</v>
      </c>
      <c r="H1549" s="24">
        <v>299.0</v>
      </c>
      <c r="I1549" s="24">
        <v>0.0</v>
      </c>
      <c r="J1549" s="24">
        <v>0.0</v>
      </c>
      <c r="K1549" s="23" t="s">
        <v>27</v>
      </c>
      <c r="L1549" s="25">
        <v>40635.622395833336</v>
      </c>
      <c r="M1549" s="26" t="s">
        <v>282</v>
      </c>
      <c r="N1549" s="26" t="s">
        <v>283</v>
      </c>
      <c r="O1549" s="22" t="str">
        <f t="shared" ref="O1549:O1550" si="166">HYPERLINK("https://pbs.twimg.com/profile_images/642570754161287168/0z29K6ho_normal.jpg","View")</f>
        <v>View</v>
      </c>
      <c r="P1549" s="27"/>
    </row>
    <row r="1550">
      <c r="A1550" s="19">
        <v>42709.9487037037</v>
      </c>
      <c r="B1550" s="20" t="str">
        <f t="shared" si="165"/>
        <v>@nubialonso</v>
      </c>
      <c r="C1550" s="21" t="s">
        <v>280</v>
      </c>
      <c r="D1550" s="21" t="s">
        <v>2985</v>
      </c>
      <c r="E1550" s="22" t="str">
        <f>HYPERLINK("https://twitter.com/nubialonso/status/805906127334637568","805906127334637568")</f>
        <v>805906127334637568</v>
      </c>
      <c r="F1550" s="23" t="s">
        <v>81</v>
      </c>
      <c r="G1550" s="24">
        <v>255.0</v>
      </c>
      <c r="H1550" s="24">
        <v>299.0</v>
      </c>
      <c r="I1550" s="24">
        <v>0.0</v>
      </c>
      <c r="J1550" s="24">
        <v>0.0</v>
      </c>
      <c r="K1550" s="23" t="s">
        <v>27</v>
      </c>
      <c r="L1550" s="25">
        <v>40635.622395833336</v>
      </c>
      <c r="M1550" s="26" t="s">
        <v>282</v>
      </c>
      <c r="N1550" s="26" t="s">
        <v>283</v>
      </c>
      <c r="O1550" s="22" t="str">
        <f t="shared" si="166"/>
        <v>View</v>
      </c>
      <c r="P1550" s="27"/>
    </row>
    <row r="1551">
      <c r="A1551" s="19">
        <v>42709.95039351852</v>
      </c>
      <c r="B1551" s="20" t="str">
        <f t="shared" ref="B1551:B1556" si="167">HYPERLINK("https://twitter.com/aljicp","@aljicp")</f>
        <v>@aljicp</v>
      </c>
      <c r="C1551" s="21" t="s">
        <v>2986</v>
      </c>
      <c r="D1551" s="21" t="s">
        <v>2987</v>
      </c>
      <c r="E1551" s="22" t="str">
        <f>HYPERLINK("https://twitter.com/aljicp/status/805906738796969985","805906738796969985")</f>
        <v>805906738796969985</v>
      </c>
      <c r="F1551" s="23" t="s">
        <v>81</v>
      </c>
      <c r="G1551" s="24">
        <v>35.0</v>
      </c>
      <c r="H1551" s="24">
        <v>72.0</v>
      </c>
      <c r="I1551" s="24">
        <v>0.0</v>
      </c>
      <c r="J1551" s="24">
        <v>0.0</v>
      </c>
      <c r="K1551" s="23" t="s">
        <v>27</v>
      </c>
      <c r="L1551" s="25">
        <v>41141.89673611111</v>
      </c>
      <c r="M1551" s="26" t="s">
        <v>2988</v>
      </c>
      <c r="N1551" s="28"/>
      <c r="O1551" s="22" t="str">
        <f t="shared" ref="O1551:O1556" si="168">HYPERLINK("https://pbs.twimg.com/profile_images/649051054693294082/uOHIvDCc_normal.jpg","View")</f>
        <v>View</v>
      </c>
      <c r="P1551" s="27" t="str">
        <f t="shared" ref="P1551:P1556" si="169">HYPERLINK("https://ctrlq.org/maps/address/#27.9701096,-15.61212835","Map")</f>
        <v>#ERROR!</v>
      </c>
    </row>
    <row r="1552">
      <c r="A1552" s="19">
        <v>42709.95243055555</v>
      </c>
      <c r="B1552" s="20" t="str">
        <f t="shared" si="167"/>
        <v>@aljicp</v>
      </c>
      <c r="C1552" s="21" t="s">
        <v>2986</v>
      </c>
      <c r="D1552" s="21" t="s">
        <v>2989</v>
      </c>
      <c r="E1552" s="22" t="str">
        <f>HYPERLINK("https://twitter.com/aljicp/status/805907476310847488","805907476310847488")</f>
        <v>805907476310847488</v>
      </c>
      <c r="F1552" s="23" t="s">
        <v>81</v>
      </c>
      <c r="G1552" s="24">
        <v>35.0</v>
      </c>
      <c r="H1552" s="24">
        <v>72.0</v>
      </c>
      <c r="I1552" s="24">
        <v>0.0</v>
      </c>
      <c r="J1552" s="24">
        <v>0.0</v>
      </c>
      <c r="K1552" s="23" t="s">
        <v>27</v>
      </c>
      <c r="L1552" s="25">
        <v>41141.89673611111</v>
      </c>
      <c r="M1552" s="26" t="s">
        <v>2988</v>
      </c>
      <c r="N1552" s="28"/>
      <c r="O1552" s="22" t="str">
        <f t="shared" si="168"/>
        <v>View</v>
      </c>
      <c r="P1552" s="27" t="str">
        <f t="shared" si="169"/>
        <v>#ERROR!</v>
      </c>
    </row>
    <row r="1553">
      <c r="A1553" s="19">
        <v>42709.953576388885</v>
      </c>
      <c r="B1553" s="20" t="str">
        <f t="shared" si="167"/>
        <v>@aljicp</v>
      </c>
      <c r="C1553" s="21" t="s">
        <v>2986</v>
      </c>
      <c r="D1553" s="21" t="s">
        <v>2990</v>
      </c>
      <c r="E1553" s="22" t="str">
        <f>HYPERLINK("https://twitter.com/aljicp/status/805907891391778816","805907891391778816")</f>
        <v>805907891391778816</v>
      </c>
      <c r="F1553" s="23" t="s">
        <v>81</v>
      </c>
      <c r="G1553" s="24">
        <v>35.0</v>
      </c>
      <c r="H1553" s="24">
        <v>72.0</v>
      </c>
      <c r="I1553" s="24">
        <v>0.0</v>
      </c>
      <c r="J1553" s="24">
        <v>0.0</v>
      </c>
      <c r="K1553" s="23" t="s">
        <v>27</v>
      </c>
      <c r="L1553" s="25">
        <v>41141.89673611111</v>
      </c>
      <c r="M1553" s="26" t="s">
        <v>2988</v>
      </c>
      <c r="N1553" s="28"/>
      <c r="O1553" s="22" t="str">
        <f t="shared" si="168"/>
        <v>View</v>
      </c>
      <c r="P1553" s="27" t="str">
        <f t="shared" si="169"/>
        <v>#ERROR!</v>
      </c>
    </row>
    <row r="1554">
      <c r="A1554" s="19">
        <v>42709.95734953704</v>
      </c>
      <c r="B1554" s="20" t="str">
        <f t="shared" si="167"/>
        <v>@aljicp</v>
      </c>
      <c r="C1554" s="21" t="s">
        <v>2986</v>
      </c>
      <c r="D1554" s="21" t="s">
        <v>2991</v>
      </c>
      <c r="E1554" s="22" t="str">
        <f>HYPERLINK("https://twitter.com/aljicp/status/805909262006358016","805909262006358016")</f>
        <v>805909262006358016</v>
      </c>
      <c r="F1554" s="23" t="s">
        <v>81</v>
      </c>
      <c r="G1554" s="24">
        <v>35.0</v>
      </c>
      <c r="H1554" s="24">
        <v>72.0</v>
      </c>
      <c r="I1554" s="24">
        <v>0.0</v>
      </c>
      <c r="J1554" s="24">
        <v>0.0</v>
      </c>
      <c r="K1554" s="23" t="s">
        <v>27</v>
      </c>
      <c r="L1554" s="25">
        <v>41141.89673611111</v>
      </c>
      <c r="M1554" s="26" t="s">
        <v>2988</v>
      </c>
      <c r="N1554" s="28"/>
      <c r="O1554" s="22" t="str">
        <f t="shared" si="168"/>
        <v>View</v>
      </c>
      <c r="P1554" s="27" t="str">
        <f t="shared" si="169"/>
        <v>#ERROR!</v>
      </c>
    </row>
    <row r="1555">
      <c r="A1555" s="19">
        <v>42709.96150462963</v>
      </c>
      <c r="B1555" s="20" t="str">
        <f t="shared" si="167"/>
        <v>@aljicp</v>
      </c>
      <c r="C1555" s="21" t="s">
        <v>2986</v>
      </c>
      <c r="D1555" s="21" t="s">
        <v>2992</v>
      </c>
      <c r="E1555" s="22" t="str">
        <f>HYPERLINK("https://twitter.com/aljicp/status/805910768604643328","805910768604643328")</f>
        <v>805910768604643328</v>
      </c>
      <c r="F1555" s="23" t="s">
        <v>81</v>
      </c>
      <c r="G1555" s="24">
        <v>35.0</v>
      </c>
      <c r="H1555" s="24">
        <v>72.0</v>
      </c>
      <c r="I1555" s="24">
        <v>0.0</v>
      </c>
      <c r="J1555" s="24">
        <v>0.0</v>
      </c>
      <c r="K1555" s="23" t="s">
        <v>27</v>
      </c>
      <c r="L1555" s="25">
        <v>41141.89673611111</v>
      </c>
      <c r="M1555" s="26" t="s">
        <v>2988</v>
      </c>
      <c r="N1555" s="28"/>
      <c r="O1555" s="22" t="str">
        <f t="shared" si="168"/>
        <v>View</v>
      </c>
      <c r="P1555" s="27" t="str">
        <f t="shared" si="169"/>
        <v>#ERROR!</v>
      </c>
    </row>
    <row r="1556">
      <c r="A1556" s="19">
        <v>42709.96444444444</v>
      </c>
      <c r="B1556" s="20" t="str">
        <f t="shared" si="167"/>
        <v>@aljicp</v>
      </c>
      <c r="C1556" s="21" t="s">
        <v>2986</v>
      </c>
      <c r="D1556" s="21" t="s">
        <v>2993</v>
      </c>
      <c r="E1556" s="22" t="str">
        <f>HYPERLINK("https://twitter.com/aljicp/status/805911832129077248","805911832129077248")</f>
        <v>805911832129077248</v>
      </c>
      <c r="F1556" s="23" t="s">
        <v>81</v>
      </c>
      <c r="G1556" s="24">
        <v>35.0</v>
      </c>
      <c r="H1556" s="24">
        <v>72.0</v>
      </c>
      <c r="I1556" s="24">
        <v>0.0</v>
      </c>
      <c r="J1556" s="24">
        <v>0.0</v>
      </c>
      <c r="K1556" s="23" t="s">
        <v>27</v>
      </c>
      <c r="L1556" s="25">
        <v>41141.89673611111</v>
      </c>
      <c r="M1556" s="26" t="s">
        <v>2988</v>
      </c>
      <c r="N1556" s="28"/>
      <c r="O1556" s="22" t="str">
        <f t="shared" si="168"/>
        <v>View</v>
      </c>
      <c r="P1556" s="27" t="str">
        <f t="shared" si="169"/>
        <v>#ERROR!</v>
      </c>
    </row>
    <row r="1557">
      <c r="A1557" s="19">
        <v>42709.98025462963</v>
      </c>
      <c r="B1557" s="20" t="str">
        <f>HYPERLINK("https://twitter.com/swisshop4uEs","@swisshop4uEs")</f>
        <v>@swisshop4uEs</v>
      </c>
      <c r="C1557" s="21" t="s">
        <v>48</v>
      </c>
      <c r="D1557" s="21" t="s">
        <v>2994</v>
      </c>
      <c r="E1557" s="22" t="str">
        <f>HYPERLINK("https://twitter.com/swisshop4uEs/status/805917562240372740","805917562240372740")</f>
        <v>805917562240372740</v>
      </c>
      <c r="F1557" s="23" t="s">
        <v>50</v>
      </c>
      <c r="G1557" s="24">
        <v>455.0</v>
      </c>
      <c r="H1557" s="24">
        <v>424.0</v>
      </c>
      <c r="I1557" s="24">
        <v>0.0</v>
      </c>
      <c r="J1557" s="24">
        <v>0.0</v>
      </c>
      <c r="K1557" s="23" t="s">
        <v>27</v>
      </c>
      <c r="L1557" s="25">
        <v>41468.93072916666</v>
      </c>
      <c r="M1557" s="26" t="s">
        <v>51</v>
      </c>
      <c r="N1557" s="26" t="s">
        <v>52</v>
      </c>
      <c r="O1557" s="22" t="str">
        <f>HYPERLINK("https://pbs.twimg.com/profile_images/378800000213382003/4f562b59f92995b884d2d440f71fc5ce_normal.png","View")</f>
        <v>View</v>
      </c>
      <c r="P1557" s="27"/>
    </row>
    <row r="1558">
      <c r="A1558" s="19">
        <v>42709.98175925926</v>
      </c>
      <c r="B1558" s="20" t="str">
        <f>HYPERLINK("https://twitter.com/Salamanca_SSV","@Salamanca_SSV")</f>
        <v>@Salamanca_SSV</v>
      </c>
      <c r="C1558" s="21" t="s">
        <v>170</v>
      </c>
      <c r="D1558" s="21" t="s">
        <v>1055</v>
      </c>
      <c r="E1558" s="22" t="str">
        <f>HYPERLINK("https://twitter.com/Salamanca_SSV/status/805918107281879041","805918107281879041")</f>
        <v>805918107281879041</v>
      </c>
      <c r="F1558" s="23" t="s">
        <v>41</v>
      </c>
      <c r="G1558" s="24">
        <v>7240.0</v>
      </c>
      <c r="H1558" s="24">
        <v>7824.0</v>
      </c>
      <c r="I1558" s="24">
        <v>18.0</v>
      </c>
      <c r="J1558" s="24">
        <v>0.0</v>
      </c>
      <c r="K1558" s="23" t="s">
        <v>27</v>
      </c>
      <c r="L1558" s="25">
        <v>41317.78532407407</v>
      </c>
      <c r="M1558" s="26" t="s">
        <v>171</v>
      </c>
      <c r="N1558" s="26" t="s">
        <v>172</v>
      </c>
      <c r="O1558" s="22" t="str">
        <f>HYPERLINK("https://pbs.twimg.com/profile_images/3461850627/70f1c6c744e939681691ad3a09d64375_normal.png","View")</f>
        <v>View</v>
      </c>
      <c r="P1558" s="27"/>
    </row>
    <row r="1559">
      <c r="A1559" s="19">
        <v>42709.98570601852</v>
      </c>
      <c r="B1559" s="20" t="str">
        <f t="shared" ref="B1559:B1560" si="170">HYPERLINK("https://twitter.com/CositasCanarias","@CositasCanarias")</f>
        <v>@CositasCanarias</v>
      </c>
      <c r="C1559" s="21" t="s">
        <v>1108</v>
      </c>
      <c r="D1559" s="21" t="s">
        <v>2952</v>
      </c>
      <c r="E1559" s="22" t="str">
        <f>HYPERLINK("https://twitter.com/CositasCanarias/status/805919535362691073","805919535362691073")</f>
        <v>805919535362691073</v>
      </c>
      <c r="F1559" s="23" t="s">
        <v>41</v>
      </c>
      <c r="G1559" s="24">
        <v>3919.0</v>
      </c>
      <c r="H1559" s="24">
        <v>3618.0</v>
      </c>
      <c r="I1559" s="24">
        <v>6.0</v>
      </c>
      <c r="J1559" s="24">
        <v>0.0</v>
      </c>
      <c r="K1559" s="23" t="s">
        <v>27</v>
      </c>
      <c r="L1559" s="25">
        <v>42379.54635416667</v>
      </c>
      <c r="M1559" s="26" t="s">
        <v>1109</v>
      </c>
      <c r="N1559" s="26" t="s">
        <v>1110</v>
      </c>
      <c r="O1559" s="22" t="str">
        <f t="shared" ref="O1559:O1560" si="171">HYPERLINK("https://pbs.twimg.com/profile_images/722353442321260544/juVRAeF1_normal.jpg","View")</f>
        <v>View</v>
      </c>
      <c r="P1559" s="27"/>
    </row>
    <row r="1560">
      <c r="A1560" s="19">
        <v>42709.98583333333</v>
      </c>
      <c r="B1560" s="20" t="str">
        <f t="shared" si="170"/>
        <v>@CositasCanarias</v>
      </c>
      <c r="C1560" s="21" t="s">
        <v>1108</v>
      </c>
      <c r="D1560" s="21" t="s">
        <v>2969</v>
      </c>
      <c r="E1560" s="22" t="str">
        <f>HYPERLINK("https://twitter.com/CositasCanarias/status/805919585069395968","805919585069395968")</f>
        <v>805919585069395968</v>
      </c>
      <c r="F1560" s="23" t="s">
        <v>41</v>
      </c>
      <c r="G1560" s="24">
        <v>3919.0</v>
      </c>
      <c r="H1560" s="24">
        <v>3618.0</v>
      </c>
      <c r="I1560" s="24">
        <v>8.0</v>
      </c>
      <c r="J1560" s="24">
        <v>0.0</v>
      </c>
      <c r="K1560" s="23" t="s">
        <v>27</v>
      </c>
      <c r="L1560" s="25">
        <v>42379.54635416667</v>
      </c>
      <c r="M1560" s="26" t="s">
        <v>1109</v>
      </c>
      <c r="N1560" s="26" t="s">
        <v>1110</v>
      </c>
      <c r="O1560" s="22" t="str">
        <f t="shared" si="171"/>
        <v>View</v>
      </c>
      <c r="P1560" s="27"/>
    </row>
    <row r="1561">
      <c r="A1561" s="19">
        <v>42709.98604166666</v>
      </c>
      <c r="B1561" s="20" t="str">
        <f>HYPERLINK("https://twitter.com/Carmenvizcaino6","@Carmenvizcaino6")</f>
        <v>@Carmenvizcaino6</v>
      </c>
      <c r="C1561" s="21" t="s">
        <v>2995</v>
      </c>
      <c r="D1561" s="21" t="s">
        <v>2969</v>
      </c>
      <c r="E1561" s="22" t="str">
        <f>HYPERLINK("https://twitter.com/Carmenvizcaino6/status/805919657182040064","805919657182040064")</f>
        <v>805919657182040064</v>
      </c>
      <c r="F1561" s="23" t="s">
        <v>41</v>
      </c>
      <c r="G1561" s="24">
        <v>111.0</v>
      </c>
      <c r="H1561" s="24">
        <v>257.0</v>
      </c>
      <c r="I1561" s="24">
        <v>8.0</v>
      </c>
      <c r="J1561" s="24">
        <v>0.0</v>
      </c>
      <c r="K1561" s="23" t="s">
        <v>27</v>
      </c>
      <c r="L1561" s="25">
        <v>42302.58728009259</v>
      </c>
      <c r="M1561" s="28"/>
      <c r="N1561" s="26" t="s">
        <v>2996</v>
      </c>
      <c r="O1561" s="22" t="str">
        <f>HYPERLINK("https://pbs.twimg.com/profile_images/718187273674756096/jzdck1tc_normal.jpg","View")</f>
        <v>View</v>
      </c>
      <c r="P1561" s="27"/>
    </row>
    <row r="1562">
      <c r="A1562" s="19">
        <v>42709.99083333333</v>
      </c>
      <c r="B1562" s="20" t="str">
        <f>HYPERLINK("https://twitter.com/MariolaTNFGC84","@MariolaTNFGC84")</f>
        <v>@MariolaTNFGC84</v>
      </c>
      <c r="C1562" s="21" t="s">
        <v>385</v>
      </c>
      <c r="D1562" s="21" t="s">
        <v>2969</v>
      </c>
      <c r="E1562" s="22" t="str">
        <f>HYPERLINK("https://twitter.com/MariolaTNFGC84/status/805921392944447488","805921392944447488")</f>
        <v>805921392944447488</v>
      </c>
      <c r="F1562" s="23" t="s">
        <v>37</v>
      </c>
      <c r="G1562" s="24">
        <v>391.0</v>
      </c>
      <c r="H1562" s="24">
        <v>891.0</v>
      </c>
      <c r="I1562" s="24">
        <v>8.0</v>
      </c>
      <c r="J1562" s="24">
        <v>0.0</v>
      </c>
      <c r="K1562" s="23" t="s">
        <v>27</v>
      </c>
      <c r="L1562" s="25">
        <v>42181.55790509259</v>
      </c>
      <c r="M1562" s="28"/>
      <c r="N1562" s="28"/>
      <c r="O1562" s="22" t="str">
        <f>HYPERLINK("https://pbs.twimg.com/profile_images/765266327804190720/3kytWWcC_normal.jpg","View")</f>
        <v>View</v>
      </c>
      <c r="P1562" s="27"/>
    </row>
    <row r="1563">
      <c r="A1563" s="19">
        <v>42709.991111111114</v>
      </c>
      <c r="B1563" s="20" t="str">
        <f>HYPERLINK("https://twitter.com/MartaCBas","@MartaCBas")</f>
        <v>@MartaCBas</v>
      </c>
      <c r="C1563" s="21" t="s">
        <v>2997</v>
      </c>
      <c r="D1563" s="21" t="s">
        <v>2969</v>
      </c>
      <c r="E1563" s="22" t="str">
        <f>HYPERLINK("https://twitter.com/MartaCBas/status/805921495419617280","805921495419617280")</f>
        <v>805921495419617280</v>
      </c>
      <c r="F1563" s="23" t="s">
        <v>41</v>
      </c>
      <c r="G1563" s="24">
        <v>654.0</v>
      </c>
      <c r="H1563" s="24">
        <v>1453.0</v>
      </c>
      <c r="I1563" s="24">
        <v>8.0</v>
      </c>
      <c r="J1563" s="24">
        <v>0.0</v>
      </c>
      <c r="K1563" s="23" t="s">
        <v>27</v>
      </c>
      <c r="L1563" s="25">
        <v>40898.75685185185</v>
      </c>
      <c r="M1563" s="28"/>
      <c r="N1563" s="26" t="s">
        <v>2998</v>
      </c>
      <c r="O1563" s="22" t="str">
        <f>HYPERLINK("https://pbs.twimg.com/profile_images/494421675228672001/_7vB4PPL_normal.jpeg","View")</f>
        <v>View</v>
      </c>
      <c r="P1563" s="27"/>
    </row>
    <row r="1564">
      <c r="A1564" s="19">
        <v>42709.991527777776</v>
      </c>
      <c r="B1564" s="20" t="str">
        <f>HYPERLINK("https://twitter.com/MariolaTNFGC84","@MariolaTNFGC84")</f>
        <v>@MariolaTNFGC84</v>
      </c>
      <c r="C1564" s="21" t="s">
        <v>385</v>
      </c>
      <c r="D1564" s="21" t="s">
        <v>2952</v>
      </c>
      <c r="E1564" s="22" t="str">
        <f>HYPERLINK("https://twitter.com/MariolaTNFGC84/status/805921646251048960","805921646251048960")</f>
        <v>805921646251048960</v>
      </c>
      <c r="F1564" s="23" t="s">
        <v>37</v>
      </c>
      <c r="G1564" s="24">
        <v>391.0</v>
      </c>
      <c r="H1564" s="24">
        <v>891.0</v>
      </c>
      <c r="I1564" s="24">
        <v>6.0</v>
      </c>
      <c r="J1564" s="24">
        <v>0.0</v>
      </c>
      <c r="K1564" s="23" t="s">
        <v>27</v>
      </c>
      <c r="L1564" s="25">
        <v>42181.55790509259</v>
      </c>
      <c r="M1564" s="28"/>
      <c r="N1564" s="28"/>
      <c r="O1564" s="22" t="str">
        <f>HYPERLINK("https://pbs.twimg.com/profile_images/765266327804190720/3kytWWcC_normal.jpg","View")</f>
        <v>View</v>
      </c>
      <c r="P1564" s="27"/>
    </row>
    <row r="1565">
      <c r="A1565" s="19">
        <v>42709.99869212963</v>
      </c>
      <c r="B1565" s="20" t="str">
        <f>HYPERLINK("https://twitter.com/rita_armas","@rita_armas")</f>
        <v>@rita_armas</v>
      </c>
      <c r="C1565" s="21" t="s">
        <v>2999</v>
      </c>
      <c r="D1565" s="21" t="s">
        <v>1055</v>
      </c>
      <c r="E1565" s="22" t="str">
        <f>HYPERLINK("https://twitter.com/rita_armas/status/805924241073901568","805924241073901568")</f>
        <v>805924241073901568</v>
      </c>
      <c r="F1565" s="23" t="s">
        <v>41</v>
      </c>
      <c r="G1565" s="24">
        <v>1788.0</v>
      </c>
      <c r="H1565" s="24">
        <v>1893.0</v>
      </c>
      <c r="I1565" s="24">
        <v>18.0</v>
      </c>
      <c r="J1565" s="24">
        <v>0.0</v>
      </c>
      <c r="K1565" s="23" t="s">
        <v>27</v>
      </c>
      <c r="L1565" s="25">
        <v>40744.12378472222</v>
      </c>
      <c r="M1565" s="26" t="s">
        <v>991</v>
      </c>
      <c r="N1565" s="26" t="s">
        <v>3000</v>
      </c>
      <c r="O1565" s="22" t="str">
        <f>HYPERLINK("https://pbs.twimg.com/profile_images/803193193969938433/9ax5YVB__normal.jpg","View")</f>
        <v>View</v>
      </c>
      <c r="P1565" s="27"/>
    </row>
    <row r="1566">
      <c r="A1566" s="19">
        <v>42709.998807870375</v>
      </c>
      <c r="B1566" s="20" t="str">
        <f>HYPERLINK("https://twitter.com/Cristalhia","@Cristalhia")</f>
        <v>@Cristalhia</v>
      </c>
      <c r="C1566" s="21" t="s">
        <v>3001</v>
      </c>
      <c r="D1566" s="21" t="s">
        <v>1055</v>
      </c>
      <c r="E1566" s="22" t="str">
        <f>HYPERLINK("https://twitter.com/Cristalhia/status/805924284996681729","805924284996681729")</f>
        <v>805924284996681729</v>
      </c>
      <c r="F1566" s="23" t="s">
        <v>41</v>
      </c>
      <c r="G1566" s="24">
        <v>1228.0</v>
      </c>
      <c r="H1566" s="24">
        <v>92.0</v>
      </c>
      <c r="I1566" s="24">
        <v>18.0</v>
      </c>
      <c r="J1566" s="24">
        <v>0.0</v>
      </c>
      <c r="K1566" s="23" t="s">
        <v>27</v>
      </c>
      <c r="L1566" s="25">
        <v>41486.83990740741</v>
      </c>
      <c r="M1566" s="28"/>
      <c r="N1566" s="26" t="s">
        <v>3002</v>
      </c>
      <c r="O1566" s="22" t="str">
        <f>HYPERLINK("https://pbs.twimg.com/profile_images/740323985464791040/T39v2QQu_normal.png","View")</f>
        <v>View</v>
      </c>
      <c r="P1566" s="27"/>
    </row>
    <row r="1567">
      <c r="A1567" s="19">
        <v>42710.0403125</v>
      </c>
      <c r="B1567" s="20" t="str">
        <f>HYPERLINK("https://twitter.com/javier_e_br","@javier_e_br")</f>
        <v>@javier_e_br</v>
      </c>
      <c r="C1567" s="21" t="s">
        <v>334</v>
      </c>
      <c r="D1567" s="21" t="s">
        <v>2969</v>
      </c>
      <c r="E1567" s="22" t="str">
        <f>HYPERLINK("https://twitter.com/javier_e_br/status/805939326504890369","805939326504890369")</f>
        <v>805939326504890369</v>
      </c>
      <c r="F1567" s="23" t="s">
        <v>37</v>
      </c>
      <c r="G1567" s="24">
        <v>23398.0</v>
      </c>
      <c r="H1567" s="24">
        <v>19910.0</v>
      </c>
      <c r="I1567" s="24">
        <v>8.0</v>
      </c>
      <c r="J1567" s="24">
        <v>0.0</v>
      </c>
      <c r="K1567" s="23" t="s">
        <v>27</v>
      </c>
      <c r="L1567" s="25">
        <v>41214.94907407407</v>
      </c>
      <c r="M1567" s="26" t="s">
        <v>335</v>
      </c>
      <c r="N1567" s="26" t="s">
        <v>336</v>
      </c>
      <c r="O1567" s="22" t="str">
        <f>HYPERLINK("https://pbs.twimg.com/profile_images/782870651996692480/6jjashki_normal.jpg","View")</f>
        <v>View</v>
      </c>
      <c r="P1567" s="27"/>
    </row>
    <row r="1568">
      <c r="A1568" s="19">
        <v>42710.06275462963</v>
      </c>
      <c r="B1568" s="20" t="str">
        <f>HYPERLINK("https://twitter.com/MatthewHirtes","@MatthewHirtes")</f>
        <v>@MatthewHirtes</v>
      </c>
      <c r="C1568" s="21" t="s">
        <v>1294</v>
      </c>
      <c r="D1568" s="21" t="s">
        <v>3003</v>
      </c>
      <c r="E1568" s="22" t="str">
        <f>HYPERLINK("https://twitter.com/MatthewHirtes/status/805947459260260356","805947459260260356")</f>
        <v>805947459260260356</v>
      </c>
      <c r="F1568" s="23" t="s">
        <v>167</v>
      </c>
      <c r="G1568" s="24">
        <v>4048.0</v>
      </c>
      <c r="H1568" s="24">
        <v>1734.0</v>
      </c>
      <c r="I1568" s="24">
        <v>1.0</v>
      </c>
      <c r="J1568" s="24">
        <v>0.0</v>
      </c>
      <c r="K1568" s="23" t="s">
        <v>27</v>
      </c>
      <c r="L1568" s="25">
        <v>39896.476319444446</v>
      </c>
      <c r="M1568" s="26" t="s">
        <v>109</v>
      </c>
      <c r="N1568" s="26" t="s">
        <v>1296</v>
      </c>
      <c r="O1568" s="22" t="str">
        <f>HYPERLINK("https://pbs.twimg.com/profile_images/2882758712/12b371fa0215f5747eecc910e918ee79_normal.jpeg","View")</f>
        <v>View</v>
      </c>
      <c r="P1568" s="27"/>
    </row>
    <row r="1569">
      <c r="A1569" s="19">
        <v>42710.06355324074</v>
      </c>
      <c r="B1569" s="20" t="str">
        <f>HYPERLINK("https://twitter.com/AirportLayover","@AirportLayover")</f>
        <v>@AirportLayover</v>
      </c>
      <c r="C1569" s="21" t="s">
        <v>3004</v>
      </c>
      <c r="D1569" s="21" t="s">
        <v>3005</v>
      </c>
      <c r="E1569" s="22" t="str">
        <f>HYPERLINK("https://twitter.com/AirportLayover/status/805947746049888256","805947746049888256")</f>
        <v>805947746049888256</v>
      </c>
      <c r="F1569" s="23" t="s">
        <v>90</v>
      </c>
      <c r="G1569" s="24">
        <v>760.0</v>
      </c>
      <c r="H1569" s="24">
        <v>1300.0</v>
      </c>
      <c r="I1569" s="24">
        <v>1.0</v>
      </c>
      <c r="J1569" s="24">
        <v>0.0</v>
      </c>
      <c r="K1569" s="23" t="s">
        <v>27</v>
      </c>
      <c r="L1569" s="25">
        <v>42147.88020833333</v>
      </c>
      <c r="M1569" s="28"/>
      <c r="N1569" s="26" t="s">
        <v>3006</v>
      </c>
      <c r="O1569" s="22" t="str">
        <f>HYPERLINK("https://pbs.twimg.com/profile_images/602243058860576769/DjcsHobh_normal.jpg","View")</f>
        <v>View</v>
      </c>
      <c r="P1569" s="27"/>
    </row>
    <row r="1570">
      <c r="A1570" s="19">
        <v>42710.068564814814</v>
      </c>
      <c r="B1570" s="20" t="str">
        <f>HYPERLINK("https://twitter.com/sergon2000","@sergon2000")</f>
        <v>@sergon2000</v>
      </c>
      <c r="C1570" s="21" t="s">
        <v>157</v>
      </c>
      <c r="D1570" s="21" t="s">
        <v>3007</v>
      </c>
      <c r="E1570" s="22" t="str">
        <f>HYPERLINK("https://twitter.com/sergon2000/status/805949563244789760","805949563244789760")</f>
        <v>805949563244789760</v>
      </c>
      <c r="F1570" s="23" t="s">
        <v>69</v>
      </c>
      <c r="G1570" s="24">
        <v>123.0</v>
      </c>
      <c r="H1570" s="24">
        <v>191.0</v>
      </c>
      <c r="I1570" s="24">
        <v>0.0</v>
      </c>
      <c r="J1570" s="24">
        <v>1.0</v>
      </c>
      <c r="K1570" s="23" t="s">
        <v>27</v>
      </c>
      <c r="L1570" s="25">
        <v>40350.56459490741</v>
      </c>
      <c r="M1570" s="26" t="s">
        <v>159</v>
      </c>
      <c r="N1570" s="26" t="s">
        <v>160</v>
      </c>
      <c r="O1570" s="22" t="str">
        <f>HYPERLINK("https://pbs.twimg.com/profile_images/1519010345/yo_normal.jpg","View")</f>
        <v>View</v>
      </c>
      <c r="P1570" s="27"/>
    </row>
    <row r="1571">
      <c r="A1571" s="19">
        <v>42710.09722222222</v>
      </c>
      <c r="B1571" s="20" t="str">
        <f>HYPERLINK("https://twitter.com/AcostaTenta","@AcostaTenta")</f>
        <v>@AcostaTenta</v>
      </c>
      <c r="C1571" s="21" t="s">
        <v>3008</v>
      </c>
      <c r="D1571" s="21" t="s">
        <v>1055</v>
      </c>
      <c r="E1571" s="22" t="str">
        <f>HYPERLINK("https://twitter.com/AcostaTenta/status/805959950426116096","805959950426116096")</f>
        <v>805959950426116096</v>
      </c>
      <c r="F1571" s="23" t="s">
        <v>41</v>
      </c>
      <c r="G1571" s="24">
        <v>28.0</v>
      </c>
      <c r="H1571" s="24">
        <v>73.0</v>
      </c>
      <c r="I1571" s="24">
        <v>18.0</v>
      </c>
      <c r="J1571" s="24">
        <v>0.0</v>
      </c>
      <c r="K1571" s="23" t="s">
        <v>27</v>
      </c>
      <c r="L1571" s="25">
        <v>41894.81107638889</v>
      </c>
      <c r="M1571" s="28"/>
      <c r="N1571" s="28"/>
      <c r="O1571" s="22" t="str">
        <f>HYPERLINK("https://pbs.twimg.com/profile_images/510495281172201474/BWdjJtsG_normal.jpeg","View")</f>
        <v>View</v>
      </c>
      <c r="P1571" s="27"/>
    </row>
    <row r="1572">
      <c r="A1572" s="19">
        <v>42710.100810185184</v>
      </c>
      <c r="B1572" s="20" t="str">
        <f>HYPERLINK("https://twitter.com/ebook_travel","@ebook_travel")</f>
        <v>@ebook_travel</v>
      </c>
      <c r="C1572" s="21" t="s">
        <v>290</v>
      </c>
      <c r="D1572" s="21" t="s">
        <v>3009</v>
      </c>
      <c r="E1572" s="22" t="str">
        <f>HYPERLINK("https://twitter.com/ebook_travel/status/805961248487645185","805961248487645185")</f>
        <v>805961248487645185</v>
      </c>
      <c r="F1572" s="23" t="s">
        <v>401</v>
      </c>
      <c r="G1572" s="24">
        <v>10366.0</v>
      </c>
      <c r="H1572" s="24">
        <v>6407.0</v>
      </c>
      <c r="I1572" s="24">
        <v>0.0</v>
      </c>
      <c r="J1572" s="24">
        <v>0.0</v>
      </c>
      <c r="K1572" s="23" t="s">
        <v>27</v>
      </c>
      <c r="L1572" s="25">
        <v>40307.68127314815</v>
      </c>
      <c r="M1572" s="26" t="s">
        <v>292</v>
      </c>
      <c r="N1572" s="26" t="s">
        <v>293</v>
      </c>
      <c r="O1572" s="22" t="str">
        <f>HYPERLINK("https://pbs.twimg.com/profile_images/506732081079013377/VmrRkhPe_normal.jpeg","View")</f>
        <v>View</v>
      </c>
      <c r="P1572" s="27"/>
    </row>
    <row r="1573">
      <c r="A1573" s="19">
        <v>42710.11875</v>
      </c>
      <c r="B1573" s="20" t="str">
        <f>HYPERLINK("https://twitter.com/MatthewHirtes","@MatthewHirtes")</f>
        <v>@MatthewHirtes</v>
      </c>
      <c r="C1573" s="21" t="s">
        <v>1294</v>
      </c>
      <c r="D1573" s="21" t="s">
        <v>3010</v>
      </c>
      <c r="E1573" s="22" t="str">
        <f>HYPERLINK("https://twitter.com/MatthewHirtes/status/805967751206629376","805967751206629376")</f>
        <v>805967751206629376</v>
      </c>
      <c r="F1573" s="23" t="s">
        <v>167</v>
      </c>
      <c r="G1573" s="24">
        <v>4048.0</v>
      </c>
      <c r="H1573" s="24">
        <v>1734.0</v>
      </c>
      <c r="I1573" s="24">
        <v>1.0</v>
      </c>
      <c r="J1573" s="24">
        <v>0.0</v>
      </c>
      <c r="K1573" s="23" t="s">
        <v>27</v>
      </c>
      <c r="L1573" s="25">
        <v>39896.476319444446</v>
      </c>
      <c r="M1573" s="26" t="s">
        <v>109</v>
      </c>
      <c r="N1573" s="26" t="s">
        <v>1296</v>
      </c>
      <c r="O1573" s="22" t="str">
        <f>HYPERLINK("https://pbs.twimg.com/profile_images/2882758712/12b371fa0215f5747eecc910e918ee79_normal.jpeg","View")</f>
        <v>View</v>
      </c>
      <c r="P1573" s="27"/>
    </row>
    <row r="1574">
      <c r="A1574" s="19">
        <v>42710.17732638889</v>
      </c>
      <c r="B1574" s="20" t="str">
        <f>HYPERLINK("https://twitter.com/de1969","@de1969")</f>
        <v>@de1969</v>
      </c>
      <c r="C1574" s="21" t="s">
        <v>701</v>
      </c>
      <c r="D1574" s="21" t="s">
        <v>3011</v>
      </c>
      <c r="E1574" s="22" t="str">
        <f>HYPERLINK("https://twitter.com/de1969/status/805988979275399168","805988979275399168")</f>
        <v>805988979275399168</v>
      </c>
      <c r="F1574" s="23" t="s">
        <v>37</v>
      </c>
      <c r="G1574" s="24">
        <v>5161.0</v>
      </c>
      <c r="H1574" s="24">
        <v>5644.0</v>
      </c>
      <c r="I1574" s="24">
        <v>6.0</v>
      </c>
      <c r="J1574" s="24">
        <v>0.0</v>
      </c>
      <c r="K1574" s="23" t="s">
        <v>27</v>
      </c>
      <c r="L1574" s="25">
        <v>40283.409687499996</v>
      </c>
      <c r="M1574" s="26" t="s">
        <v>282</v>
      </c>
      <c r="N1574" s="26" t="s">
        <v>703</v>
      </c>
      <c r="O1574" s="22" t="str">
        <f>HYPERLINK("https://pbs.twimg.com/profile_images/1617162796/S4010009_normal.JPG","View")</f>
        <v>View</v>
      </c>
      <c r="P1574" s="27"/>
    </row>
    <row r="1575">
      <c r="A1575" s="19">
        <v>42710.243055555555</v>
      </c>
      <c r="B1575" s="20" t="str">
        <f>HYPERLINK("https://twitter.com/MatthewHirtes","@MatthewHirtes")</f>
        <v>@MatthewHirtes</v>
      </c>
      <c r="C1575" s="21" t="s">
        <v>1294</v>
      </c>
      <c r="D1575" s="21" t="s">
        <v>3012</v>
      </c>
      <c r="E1575" s="22" t="str">
        <f>HYPERLINK("https://twitter.com/MatthewHirtes/status/806012796307697664","806012796307697664")</f>
        <v>806012796307697664</v>
      </c>
      <c r="F1575" s="23" t="s">
        <v>167</v>
      </c>
      <c r="G1575" s="24">
        <v>4048.0</v>
      </c>
      <c r="H1575" s="24">
        <v>1734.0</v>
      </c>
      <c r="I1575" s="24">
        <v>0.0</v>
      </c>
      <c r="J1575" s="24">
        <v>0.0</v>
      </c>
      <c r="K1575" s="23" t="s">
        <v>27</v>
      </c>
      <c r="L1575" s="25">
        <v>39896.476319444446</v>
      </c>
      <c r="M1575" s="26" t="s">
        <v>109</v>
      </c>
      <c r="N1575" s="26" t="s">
        <v>1296</v>
      </c>
      <c r="O1575" s="22" t="str">
        <f>HYPERLINK("https://pbs.twimg.com/profile_images/2882758712/12b371fa0215f5747eecc910e918ee79_normal.jpeg","View")</f>
        <v>View</v>
      </c>
      <c r="P1575" s="27"/>
    </row>
    <row r="1576">
      <c r="A1576" s="19">
        <v>42710.27667824074</v>
      </c>
      <c r="B1576" s="20" t="str">
        <f>HYPERLINK("https://twitter.com/golftenerife","@golftenerife")</f>
        <v>@golftenerife</v>
      </c>
      <c r="C1576" s="21" t="s">
        <v>3013</v>
      </c>
      <c r="D1576" s="21" t="s">
        <v>1568</v>
      </c>
      <c r="E1576" s="22" t="str">
        <f>HYPERLINK("https://twitter.com/golftenerife/status/806024982664986624","806024982664986624")</f>
        <v>806024982664986624</v>
      </c>
      <c r="F1576" s="23" t="s">
        <v>26</v>
      </c>
      <c r="G1576" s="24">
        <v>2195.0</v>
      </c>
      <c r="H1576" s="24">
        <v>786.0</v>
      </c>
      <c r="I1576" s="24">
        <v>3.0</v>
      </c>
      <c r="J1576" s="24">
        <v>0.0</v>
      </c>
      <c r="K1576" s="23" t="s">
        <v>27</v>
      </c>
      <c r="L1576" s="25">
        <v>39951.43759259259</v>
      </c>
      <c r="M1576" s="26" t="s">
        <v>282</v>
      </c>
      <c r="N1576" s="26" t="s">
        <v>3014</v>
      </c>
      <c r="O1576" s="22" t="str">
        <f>HYPERLINK("https://pbs.twimg.com/profile_images/218703805/tengolf_normal.jpg","View")</f>
        <v>View</v>
      </c>
      <c r="P1576" s="27"/>
    </row>
    <row r="1577">
      <c r="A1577" s="19">
        <v>42710.28210648148</v>
      </c>
      <c r="B1577" s="20" t="str">
        <f>HYPERLINK("https://twitter.com/ChinoUDLP","@ChinoUDLP")</f>
        <v>@ChinoUDLP</v>
      </c>
      <c r="C1577" s="21" t="s">
        <v>3015</v>
      </c>
      <c r="D1577" s="21" t="s">
        <v>2969</v>
      </c>
      <c r="E1577" s="22" t="str">
        <f>HYPERLINK("https://twitter.com/ChinoUDLP/status/806026948585656320","806026948585656320")</f>
        <v>806026948585656320</v>
      </c>
      <c r="F1577" s="23" t="s">
        <v>26</v>
      </c>
      <c r="G1577" s="24">
        <v>291.0</v>
      </c>
      <c r="H1577" s="24">
        <v>290.0</v>
      </c>
      <c r="I1577" s="24">
        <v>8.0</v>
      </c>
      <c r="J1577" s="24">
        <v>0.0</v>
      </c>
      <c r="K1577" s="23" t="s">
        <v>27</v>
      </c>
      <c r="L1577" s="25">
        <v>41375.88474537037</v>
      </c>
      <c r="M1577" s="26" t="s">
        <v>3016</v>
      </c>
      <c r="N1577" s="26" t="s">
        <v>3017</v>
      </c>
      <c r="O1577" s="22" t="str">
        <f>HYPERLINK("https://pbs.twimg.com/profile_images/729390603109289984/vzNXI_k3_normal.jpg","View")</f>
        <v>View</v>
      </c>
      <c r="P1577" s="27"/>
    </row>
    <row r="1578">
      <c r="A1578" s="19">
        <v>42710.3141087963</v>
      </c>
      <c r="B1578" s="20" t="str">
        <f>HYPERLINK("https://twitter.com/fensterschauer","@fensterschauer")</f>
        <v>@fensterschauer</v>
      </c>
      <c r="C1578" s="21" t="s">
        <v>3018</v>
      </c>
      <c r="D1578" s="21" t="s">
        <v>2855</v>
      </c>
      <c r="E1578" s="22" t="str">
        <f>HYPERLINK("https://twitter.com/fensterschauer/status/806038544116547584","806038544116547584")</f>
        <v>806038544116547584</v>
      </c>
      <c r="F1578" s="23" t="s">
        <v>37</v>
      </c>
      <c r="G1578" s="24">
        <v>107.0</v>
      </c>
      <c r="H1578" s="24">
        <v>600.0</v>
      </c>
      <c r="I1578" s="24">
        <v>5.0</v>
      </c>
      <c r="J1578" s="24">
        <v>0.0</v>
      </c>
      <c r="K1578" s="23" t="s">
        <v>27</v>
      </c>
      <c r="L1578" s="25">
        <v>41408.31658564815</v>
      </c>
      <c r="M1578" s="28"/>
      <c r="N1578" s="28"/>
      <c r="O1578" s="22" t="str">
        <f>HYPERLINK("https://pbs.twimg.com/profile_images/644243895870734340/1hQAYrgk_normal.jpg","View")</f>
        <v>View</v>
      </c>
      <c r="P1578" s="27"/>
    </row>
    <row r="1579">
      <c r="A1579" s="19">
        <v>42710.33226851852</v>
      </c>
      <c r="B1579" s="20" t="str">
        <f>HYPERLINK("https://twitter.com/AlfonsoJurado3","@AlfonsoJurado3")</f>
        <v>@AlfonsoJurado3</v>
      </c>
      <c r="C1579" s="21" t="s">
        <v>3019</v>
      </c>
      <c r="D1579" s="21" t="s">
        <v>2952</v>
      </c>
      <c r="E1579" s="22" t="str">
        <f>HYPERLINK("https://twitter.com/AlfonsoJurado3/status/806045125487034368","806045125487034368")</f>
        <v>806045125487034368</v>
      </c>
      <c r="F1579" s="23" t="s">
        <v>41</v>
      </c>
      <c r="G1579" s="24">
        <v>275.0</v>
      </c>
      <c r="H1579" s="24">
        <v>142.0</v>
      </c>
      <c r="I1579" s="24">
        <v>6.0</v>
      </c>
      <c r="J1579" s="24">
        <v>0.0</v>
      </c>
      <c r="K1579" s="23" t="s">
        <v>27</v>
      </c>
      <c r="L1579" s="25">
        <v>41462.45145833334</v>
      </c>
      <c r="M1579" s="26" t="s">
        <v>51</v>
      </c>
      <c r="N1579" s="26" t="s">
        <v>3020</v>
      </c>
      <c r="O1579" s="22" t="str">
        <f>HYPERLINK("https://pbs.twimg.com/profile_images/796797870439538690/9WHTMY7h_normal.jpg","View")</f>
        <v>View</v>
      </c>
      <c r="P1579" s="27"/>
    </row>
    <row r="1580">
      <c r="A1580" s="19">
        <v>42710.33332175926</v>
      </c>
      <c r="B1580" s="20" t="str">
        <f>HYPERLINK("https://twitter.com/PilarValerio5","@PilarValerio5")</f>
        <v>@PilarValerio5</v>
      </c>
      <c r="C1580" s="21" t="s">
        <v>3021</v>
      </c>
      <c r="D1580" s="21" t="s">
        <v>2881</v>
      </c>
      <c r="E1580" s="22" t="str">
        <f>HYPERLINK("https://twitter.com/PilarValerio5/status/806045507655241728","806045507655241728")</f>
        <v>806045507655241728</v>
      </c>
      <c r="F1580" s="23" t="s">
        <v>780</v>
      </c>
      <c r="G1580" s="24">
        <v>81.0</v>
      </c>
      <c r="H1580" s="24">
        <v>3195.0</v>
      </c>
      <c r="I1580" s="24">
        <v>3.0</v>
      </c>
      <c r="J1580" s="24">
        <v>0.0</v>
      </c>
      <c r="K1580" s="23" t="s">
        <v>27</v>
      </c>
      <c r="L1580" s="25">
        <v>42333.16898148148</v>
      </c>
      <c r="M1580" s="28"/>
      <c r="N1580" s="26" t="s">
        <v>3022</v>
      </c>
      <c r="O1580" s="22" t="str">
        <f>HYPERLINK("https://pbs.twimg.com/profile_images/742479411266494465/zmrBvJeU_normal.jpg","View")</f>
        <v>View</v>
      </c>
      <c r="P1580" s="27"/>
    </row>
    <row r="1581">
      <c r="A1581" s="19">
        <v>42710.34353009259</v>
      </c>
      <c r="B1581" s="20" t="str">
        <f>HYPERLINK("https://twitter.com/CanaryIsSailing","@CanaryIsSailing")</f>
        <v>@CanaryIsSailing</v>
      </c>
      <c r="C1581" s="21" t="s">
        <v>3023</v>
      </c>
      <c r="D1581" s="21" t="s">
        <v>2760</v>
      </c>
      <c r="E1581" s="22" t="str">
        <f>HYPERLINK("https://twitter.com/CanaryIsSailing/status/806049209757683712","806049209757683712")</f>
        <v>806049209757683712</v>
      </c>
      <c r="F1581" s="23" t="s">
        <v>26</v>
      </c>
      <c r="G1581" s="24">
        <v>702.0</v>
      </c>
      <c r="H1581" s="24">
        <v>689.0</v>
      </c>
      <c r="I1581" s="24">
        <v>10.0</v>
      </c>
      <c r="J1581" s="24">
        <v>0.0</v>
      </c>
      <c r="K1581" s="23" t="s">
        <v>27</v>
      </c>
      <c r="L1581" s="25">
        <v>42147.62550925926</v>
      </c>
      <c r="M1581" s="26" t="s">
        <v>3024</v>
      </c>
      <c r="N1581" s="26" t="s">
        <v>3025</v>
      </c>
      <c r="O1581" s="22" t="str">
        <f>HYPERLINK("https://pbs.twimg.com/profile_images/666361971730718720/_ygWhwJQ_normal.jpg","View")</f>
        <v>View</v>
      </c>
      <c r="P1581" s="27"/>
    </row>
    <row r="1582">
      <c r="A1582" s="19">
        <v>42710.343946759254</v>
      </c>
      <c r="B1582" s="20" t="str">
        <f>HYPERLINK("https://twitter.com/Alan1967","@Alan1967")</f>
        <v>@Alan1967</v>
      </c>
      <c r="C1582" s="21" t="s">
        <v>3026</v>
      </c>
      <c r="D1582" s="21" t="s">
        <v>3027</v>
      </c>
      <c r="E1582" s="22" t="str">
        <f>HYPERLINK("https://twitter.com/Alan1967/status/806049360635105280","806049360635105280")</f>
        <v>806049360635105280</v>
      </c>
      <c r="F1582" s="23" t="s">
        <v>41</v>
      </c>
      <c r="G1582" s="24">
        <v>316.0</v>
      </c>
      <c r="H1582" s="24">
        <v>1024.0</v>
      </c>
      <c r="I1582" s="24">
        <v>1.0</v>
      </c>
      <c r="J1582" s="24">
        <v>0.0</v>
      </c>
      <c r="K1582" s="23" t="s">
        <v>27</v>
      </c>
      <c r="L1582" s="25">
        <v>41016.84085648148</v>
      </c>
      <c r="M1582" s="26" t="s">
        <v>3028</v>
      </c>
      <c r="N1582" s="26" t="s">
        <v>3029</v>
      </c>
      <c r="O1582" s="22" t="str">
        <f>HYPERLINK("https://pbs.twimg.com/profile_images/747866630064046080/_zsHSPL7_normal.jpg","View")</f>
        <v>View</v>
      </c>
      <c r="P1582" s="27"/>
    </row>
    <row r="1583">
      <c r="A1583" s="19">
        <v>42710.35417824074</v>
      </c>
      <c r="B1583" s="20" t="str">
        <f>HYPERLINK("https://twitter.com/SuneHolidays","@SuneHolidays")</f>
        <v>@SuneHolidays</v>
      </c>
      <c r="C1583" s="21" t="s">
        <v>62</v>
      </c>
      <c r="D1583" s="21" t="s">
        <v>3030</v>
      </c>
      <c r="E1583" s="22" t="str">
        <f>HYPERLINK("https://twitter.com/SuneHolidays/status/806053066218807297","806053066218807297")</f>
        <v>806053066218807297</v>
      </c>
      <c r="F1583" s="23" t="s">
        <v>64</v>
      </c>
      <c r="G1583" s="24">
        <v>396.0</v>
      </c>
      <c r="H1583" s="24">
        <v>990.0</v>
      </c>
      <c r="I1583" s="24">
        <v>1.0</v>
      </c>
      <c r="J1583" s="24">
        <v>1.0</v>
      </c>
      <c r="K1583" s="23" t="s">
        <v>27</v>
      </c>
      <c r="L1583" s="25">
        <v>40929.92998842592</v>
      </c>
      <c r="M1583" s="26" t="s">
        <v>65</v>
      </c>
      <c r="N1583" s="26" t="s">
        <v>66</v>
      </c>
      <c r="O1583" s="22" t="str">
        <f>HYPERLINK("https://pbs.twimg.com/profile_images/686922727480029184/9ztyb32p_normal.jpg","View")</f>
        <v>View</v>
      </c>
      <c r="P1583" s="27"/>
    </row>
    <row r="1584">
      <c r="A1584" s="19">
        <v>42710.37372685185</v>
      </c>
      <c r="B1584" s="20" t="str">
        <f>HYPERLINK("https://twitter.com/_TenDive","@_TenDive")</f>
        <v>@_TenDive</v>
      </c>
      <c r="C1584" s="21" t="s">
        <v>103</v>
      </c>
      <c r="D1584" s="21" t="s">
        <v>3031</v>
      </c>
      <c r="E1584" s="22" t="str">
        <f>HYPERLINK("https://twitter.com/_TenDive/status/806060152143171584","806060152143171584")</f>
        <v>806060152143171584</v>
      </c>
      <c r="F1584" s="23" t="s">
        <v>37</v>
      </c>
      <c r="G1584" s="24">
        <v>235.0</v>
      </c>
      <c r="H1584" s="24">
        <v>118.0</v>
      </c>
      <c r="I1584" s="24">
        <v>1.0</v>
      </c>
      <c r="J1584" s="24">
        <v>4.0</v>
      </c>
      <c r="K1584" s="23" t="s">
        <v>27</v>
      </c>
      <c r="L1584" s="25">
        <v>41385.479999999996</v>
      </c>
      <c r="M1584" s="26" t="s">
        <v>105</v>
      </c>
      <c r="N1584" s="26" t="s">
        <v>106</v>
      </c>
      <c r="O1584" s="22" t="str">
        <f>HYPERLINK("https://pbs.twimg.com/profile_images/694439157893107712/KkG57Zcq_normal.jpg","View")</f>
        <v>View</v>
      </c>
      <c r="P1584" s="27"/>
    </row>
    <row r="1585">
      <c r="A1585" s="19">
        <v>42710.38574074074</v>
      </c>
      <c r="B1585" s="20" t="str">
        <f>HYPERLINK("https://twitter.com/Canarywine","@Canarywine")</f>
        <v>@Canarywine</v>
      </c>
      <c r="C1585" s="21" t="s">
        <v>3032</v>
      </c>
      <c r="D1585" s="21" t="s">
        <v>2855</v>
      </c>
      <c r="E1585" s="22" t="str">
        <f>HYPERLINK("https://twitter.com/Canarywine/status/806064502483652608","806064502483652608")</f>
        <v>806064502483652608</v>
      </c>
      <c r="F1585" s="23" t="s">
        <v>26</v>
      </c>
      <c r="G1585" s="24">
        <v>1245.0</v>
      </c>
      <c r="H1585" s="24">
        <v>963.0</v>
      </c>
      <c r="I1585" s="24">
        <v>5.0</v>
      </c>
      <c r="J1585" s="24">
        <v>0.0</v>
      </c>
      <c r="K1585" s="23" t="s">
        <v>27</v>
      </c>
      <c r="L1585" s="25">
        <v>41116.27861111111</v>
      </c>
      <c r="M1585" s="26" t="s">
        <v>3033</v>
      </c>
      <c r="N1585" s="26" t="s">
        <v>3034</v>
      </c>
      <c r="O1585" s="22" t="str">
        <f>HYPERLINK("https://pbs.twimg.com/profile_images/2720844244/4434e6eb39415dcfbf0128242e9b3137_normal.jpeg","View")</f>
        <v>View</v>
      </c>
      <c r="P1585" s="27"/>
    </row>
    <row r="1586">
      <c r="A1586" s="19">
        <v>42710.39011574074</v>
      </c>
      <c r="B1586" s="20" t="str">
        <f>HYPERLINK("https://twitter.com/ScubaFlorida","@ScubaFlorida")</f>
        <v>@ScubaFlorida</v>
      </c>
      <c r="C1586" s="21" t="s">
        <v>834</v>
      </c>
      <c r="D1586" s="21" t="s">
        <v>835</v>
      </c>
      <c r="E1586" s="22" t="str">
        <f>HYPERLINK("https://twitter.com/ScubaFlorida/status/806066088475787265","806066088475787265")</f>
        <v>806066088475787265</v>
      </c>
      <c r="F1586" s="23" t="s">
        <v>836</v>
      </c>
      <c r="G1586" s="24">
        <v>1481.0</v>
      </c>
      <c r="H1586" s="24">
        <v>211.0</v>
      </c>
      <c r="I1586" s="24">
        <v>1.0</v>
      </c>
      <c r="J1586" s="24">
        <v>0.0</v>
      </c>
      <c r="K1586" s="23" t="s">
        <v>27</v>
      </c>
      <c r="L1586" s="25">
        <v>40015.46666666667</v>
      </c>
      <c r="M1586" s="26" t="s">
        <v>837</v>
      </c>
      <c r="N1586" s="26" t="s">
        <v>838</v>
      </c>
      <c r="O1586" s="22" t="str">
        <f>HYPERLINK("https://pbs.twimg.com/profile_images/560310747914199040/HR4MGmME_normal.jpeg","View")</f>
        <v>View</v>
      </c>
      <c r="P1586" s="27"/>
    </row>
    <row r="1587">
      <c r="A1587" s="19">
        <v>42710.405231481476</v>
      </c>
      <c r="B1587" s="20" t="str">
        <f t="shared" ref="B1587:B1588" si="172">HYPERLINK("https://twitter.com/_TenDive","@_TenDive")</f>
        <v>@_TenDive</v>
      </c>
      <c r="C1587" s="21" t="s">
        <v>103</v>
      </c>
      <c r="D1587" s="21" t="s">
        <v>3035</v>
      </c>
      <c r="E1587" s="22" t="str">
        <f>HYPERLINK("https://twitter.com/_TenDive/status/806071568325550080","806071568325550080")</f>
        <v>806071568325550080</v>
      </c>
      <c r="F1587" s="23" t="s">
        <v>59</v>
      </c>
      <c r="G1587" s="24">
        <v>235.0</v>
      </c>
      <c r="H1587" s="24">
        <v>118.0</v>
      </c>
      <c r="I1587" s="24">
        <v>0.0</v>
      </c>
      <c r="J1587" s="24">
        <v>0.0</v>
      </c>
      <c r="K1587" s="23" t="s">
        <v>27</v>
      </c>
      <c r="L1587" s="25">
        <v>41385.479999999996</v>
      </c>
      <c r="M1587" s="26" t="s">
        <v>105</v>
      </c>
      <c r="N1587" s="26" t="s">
        <v>106</v>
      </c>
      <c r="O1587" s="22" t="str">
        <f t="shared" ref="O1587:O1588" si="173">HYPERLINK("https://pbs.twimg.com/profile_images/694439157893107712/KkG57Zcq_normal.jpg","View")</f>
        <v>View</v>
      </c>
      <c r="P1587" s="27"/>
    </row>
    <row r="1588">
      <c r="A1588" s="19">
        <v>42710.40652777778</v>
      </c>
      <c r="B1588" s="20" t="str">
        <f t="shared" si="172"/>
        <v>@_TenDive</v>
      </c>
      <c r="C1588" s="21" t="s">
        <v>103</v>
      </c>
      <c r="D1588" s="21" t="s">
        <v>3036</v>
      </c>
      <c r="E1588" s="22" t="str">
        <f>HYPERLINK("https://twitter.com/_TenDive/status/806072036309291008","806072036309291008")</f>
        <v>806072036309291008</v>
      </c>
      <c r="F1588" s="23" t="s">
        <v>59</v>
      </c>
      <c r="G1588" s="24">
        <v>235.0</v>
      </c>
      <c r="H1588" s="24">
        <v>118.0</v>
      </c>
      <c r="I1588" s="24">
        <v>0.0</v>
      </c>
      <c r="J1588" s="24">
        <v>0.0</v>
      </c>
      <c r="K1588" s="23" t="s">
        <v>27</v>
      </c>
      <c r="L1588" s="25">
        <v>41385.479999999996</v>
      </c>
      <c r="M1588" s="26" t="s">
        <v>105</v>
      </c>
      <c r="N1588" s="26" t="s">
        <v>106</v>
      </c>
      <c r="O1588" s="22" t="str">
        <f t="shared" si="173"/>
        <v>View</v>
      </c>
      <c r="P1588" s="27"/>
    </row>
    <row r="1589">
      <c r="A1589" s="19">
        <v>42710.41449074074</v>
      </c>
      <c r="B1589" s="20" t="str">
        <f>HYPERLINK("https://twitter.com/lapalma24","@lapalma24")</f>
        <v>@lapalma24</v>
      </c>
      <c r="C1589" s="21" t="s">
        <v>926</v>
      </c>
      <c r="D1589" s="21" t="s">
        <v>3037</v>
      </c>
      <c r="E1589" s="22" t="str">
        <f>HYPERLINK("https://twitter.com/lapalma24/status/806074922191749120","806074922191749120")</f>
        <v>806074922191749120</v>
      </c>
      <c r="F1589" s="23" t="s">
        <v>37</v>
      </c>
      <c r="G1589" s="24">
        <v>2029.0</v>
      </c>
      <c r="H1589" s="24">
        <v>3704.0</v>
      </c>
      <c r="I1589" s="24">
        <v>0.0</v>
      </c>
      <c r="J1589" s="24">
        <v>0.0</v>
      </c>
      <c r="K1589" s="23" t="s">
        <v>27</v>
      </c>
      <c r="L1589" s="25">
        <v>40025.93230324074</v>
      </c>
      <c r="M1589" s="26" t="s">
        <v>928</v>
      </c>
      <c r="N1589" s="26" t="s">
        <v>929</v>
      </c>
      <c r="O1589" s="22" t="str">
        <f>HYPERLINK("https://pbs.twimg.com/profile_images/3722341784/fa39d69a57bac26ec686d40f2bbf96ad_normal.jpeg","View")</f>
        <v>View</v>
      </c>
      <c r="P1589" s="27"/>
    </row>
    <row r="1590">
      <c r="A1590" s="19">
        <v>42710.4171875</v>
      </c>
      <c r="B1590" s="20" t="str">
        <f>HYPERLINK("https://twitter.com/swisshop4uEs","@swisshop4uEs")</f>
        <v>@swisshop4uEs</v>
      </c>
      <c r="C1590" s="21" t="s">
        <v>48</v>
      </c>
      <c r="D1590" s="21" t="s">
        <v>3038</v>
      </c>
      <c r="E1590" s="22" t="str">
        <f>HYPERLINK("https://twitter.com/swisshop4uEs/status/806075899821047809","806075899821047809")</f>
        <v>806075899821047809</v>
      </c>
      <c r="F1590" s="23" t="s">
        <v>50</v>
      </c>
      <c r="G1590" s="24">
        <v>455.0</v>
      </c>
      <c r="H1590" s="24">
        <v>424.0</v>
      </c>
      <c r="I1590" s="24">
        <v>0.0</v>
      </c>
      <c r="J1590" s="24">
        <v>0.0</v>
      </c>
      <c r="K1590" s="23" t="s">
        <v>27</v>
      </c>
      <c r="L1590" s="25">
        <v>41468.93072916666</v>
      </c>
      <c r="M1590" s="26" t="s">
        <v>51</v>
      </c>
      <c r="N1590" s="26" t="s">
        <v>52</v>
      </c>
      <c r="O1590" s="22" t="str">
        <f>HYPERLINK("https://pbs.twimg.com/profile_images/378800000213382003/4f562b59f92995b884d2d440f71fc5ce_normal.png","View")</f>
        <v>View</v>
      </c>
      <c r="P1590" s="27"/>
    </row>
    <row r="1591">
      <c r="A1591" s="19">
        <v>42710.42674768518</v>
      </c>
      <c r="B1591" s="20" t="str">
        <f>HYPERLINK("https://twitter.com/WhyTenerife","@WhyTenerife")</f>
        <v>@WhyTenerife</v>
      </c>
      <c r="C1591" s="21" t="s">
        <v>3039</v>
      </c>
      <c r="D1591" s="21" t="s">
        <v>3040</v>
      </c>
      <c r="E1591" s="22" t="str">
        <f>HYPERLINK("https://twitter.com/WhyTenerife/status/806079365025058817","806079365025058817")</f>
        <v>806079365025058817</v>
      </c>
      <c r="F1591" s="23" t="s">
        <v>26</v>
      </c>
      <c r="G1591" s="24">
        <v>958.0</v>
      </c>
      <c r="H1591" s="24">
        <v>330.0</v>
      </c>
      <c r="I1591" s="24">
        <v>1.0</v>
      </c>
      <c r="J1591" s="24">
        <v>0.0</v>
      </c>
      <c r="K1591" s="23" t="s">
        <v>27</v>
      </c>
      <c r="L1591" s="25">
        <v>41148.77725694444</v>
      </c>
      <c r="M1591" s="26" t="s">
        <v>301</v>
      </c>
      <c r="N1591" s="26" t="s">
        <v>3041</v>
      </c>
      <c r="O1591" s="22" t="str">
        <f>HYPERLINK("https://pbs.twimg.com/profile_images/3028478382/e0bedb7d8a4a7b62521ecf9d476445ff_normal.png","View")</f>
        <v>View</v>
      </c>
      <c r="P1591" s="27"/>
    </row>
    <row r="1592">
      <c r="A1592" s="19">
        <v>42710.42704861111</v>
      </c>
      <c r="B1592" s="20" t="str">
        <f>HYPERLINK("https://twitter.com/flormar4141","@flormar4141")</f>
        <v>@flormar4141</v>
      </c>
      <c r="C1592" s="21" t="s">
        <v>1368</v>
      </c>
      <c r="D1592" s="21" t="s">
        <v>3042</v>
      </c>
      <c r="E1592" s="22" t="str">
        <f>HYPERLINK("https://twitter.com/flormar4141/status/806079474748026880","806079474748026880")</f>
        <v>806079474748026880</v>
      </c>
      <c r="F1592" s="23" t="s">
        <v>81</v>
      </c>
      <c r="G1592" s="24">
        <v>214.0</v>
      </c>
      <c r="H1592" s="24">
        <v>294.0</v>
      </c>
      <c r="I1592" s="24">
        <v>0.0</v>
      </c>
      <c r="J1592" s="24">
        <v>0.0</v>
      </c>
      <c r="K1592" s="23" t="s">
        <v>27</v>
      </c>
      <c r="L1592" s="25">
        <v>41488.63042824074</v>
      </c>
      <c r="M1592" s="26" t="s">
        <v>282</v>
      </c>
      <c r="N1592" s="26" t="s">
        <v>1370</v>
      </c>
      <c r="O1592" s="22" t="str">
        <f>HYPERLINK("https://pbs.twimg.com/profile_images/698938993665253376/C6mN6wKo_normal.jpg","View")</f>
        <v>View</v>
      </c>
      <c r="P1592" s="27" t="str">
        <f>HYPERLINK("https://ctrlq.org/maps/address/#28.3667,-16.3667","Map")</f>
        <v>#ERROR!</v>
      </c>
    </row>
    <row r="1593">
      <c r="A1593" s="19">
        <v>42710.42818287037</v>
      </c>
      <c r="B1593" s="20" t="str">
        <f>HYPERLINK("https://twitter.com/MokaGonzalez_","@MokaGonzalez_")</f>
        <v>@MokaGonzalez_</v>
      </c>
      <c r="C1593" s="21" t="s">
        <v>967</v>
      </c>
      <c r="D1593" s="21" t="s">
        <v>3043</v>
      </c>
      <c r="E1593" s="22" t="str">
        <f>HYPERLINK("https://twitter.com/MokaGonzalez_/status/806079885789790208","806079885789790208")</f>
        <v>806079885789790208</v>
      </c>
      <c r="F1593" s="23" t="s">
        <v>41</v>
      </c>
      <c r="G1593" s="24">
        <v>167.0</v>
      </c>
      <c r="H1593" s="24">
        <v>115.0</v>
      </c>
      <c r="I1593" s="24">
        <v>3.0</v>
      </c>
      <c r="J1593" s="24">
        <v>21.0</v>
      </c>
      <c r="K1593" s="23" t="s">
        <v>27</v>
      </c>
      <c r="L1593" s="25">
        <v>42601.60578703704</v>
      </c>
      <c r="M1593" s="26" t="s">
        <v>969</v>
      </c>
      <c r="N1593" s="26" t="s">
        <v>970</v>
      </c>
      <c r="O1593" s="22" t="str">
        <f>HYPERLINK("https://pbs.twimg.com/profile_images/805759744292122624/GVNyopcr_normal.jpg","View")</f>
        <v>View</v>
      </c>
      <c r="P1593" s="27"/>
    </row>
    <row r="1594">
      <c r="A1594" s="19">
        <v>42710.42892361111</v>
      </c>
      <c r="B1594" s="20" t="str">
        <f>HYPERLINK("https://twitter.com/LpaVisit","@LpaVisit")</f>
        <v>@LpaVisit</v>
      </c>
      <c r="C1594" s="21" t="s">
        <v>141</v>
      </c>
      <c r="D1594" s="21" t="s">
        <v>1055</v>
      </c>
      <c r="E1594" s="22" t="str">
        <f>HYPERLINK("https://twitter.com/LpaVisit/status/806080153667403776","806080153667403776")</f>
        <v>806080153667403776</v>
      </c>
      <c r="F1594" s="23" t="s">
        <v>37</v>
      </c>
      <c r="G1594" s="24">
        <v>9640.0</v>
      </c>
      <c r="H1594" s="24">
        <v>554.0</v>
      </c>
      <c r="I1594" s="24">
        <v>18.0</v>
      </c>
      <c r="J1594" s="24">
        <v>0.0</v>
      </c>
      <c r="K1594" s="23" t="s">
        <v>27</v>
      </c>
      <c r="L1594" s="25">
        <v>40866.561064814814</v>
      </c>
      <c r="M1594" s="26" t="s">
        <v>109</v>
      </c>
      <c r="N1594" s="26" t="s">
        <v>142</v>
      </c>
      <c r="O1594" s="22" t="str">
        <f>HYPERLINK("https://pbs.twimg.com/profile_images/656385242819907584/6_e-4aUc_normal.jpg","View")</f>
        <v>View</v>
      </c>
      <c r="P1594" s="27"/>
    </row>
    <row r="1595">
      <c r="A1595" s="19">
        <v>42710.43045138889</v>
      </c>
      <c r="B1595" s="20" t="str">
        <f>HYPERLINK("https://twitter.com/holyber","@holyber")</f>
        <v>@holyber</v>
      </c>
      <c r="C1595" s="21" t="s">
        <v>45</v>
      </c>
      <c r="D1595" s="21" t="s">
        <v>3044</v>
      </c>
      <c r="E1595" s="22" t="str">
        <f>HYPERLINK("https://twitter.com/holyber/status/806080705927188480","806080705927188480")</f>
        <v>806080705927188480</v>
      </c>
      <c r="F1595" s="23" t="s">
        <v>37</v>
      </c>
      <c r="G1595" s="24">
        <v>106410.0</v>
      </c>
      <c r="H1595" s="24">
        <v>94316.0</v>
      </c>
      <c r="I1595" s="24">
        <v>3.0</v>
      </c>
      <c r="J1595" s="24">
        <v>0.0</v>
      </c>
      <c r="K1595" s="23" t="s">
        <v>27</v>
      </c>
      <c r="L1595" s="25">
        <v>41144.80637731482</v>
      </c>
      <c r="M1595" s="26" t="s">
        <v>46</v>
      </c>
      <c r="N1595" s="26" t="s">
        <v>47</v>
      </c>
      <c r="O1595" s="22" t="str">
        <f>HYPERLINK("https://pbs.twimg.com/profile_images/475644614448123904/FiCl2pX4_normal.jpeg","View")</f>
        <v>View</v>
      </c>
      <c r="P1595" s="27"/>
    </row>
    <row r="1596">
      <c r="A1596" s="19">
        <v>42710.431435185186</v>
      </c>
      <c r="B1596" s="20" t="str">
        <f>HYPERLINK("https://twitter.com/MokaGonzalez_","@MokaGonzalez_")</f>
        <v>@MokaGonzalez_</v>
      </c>
      <c r="C1596" s="21" t="s">
        <v>967</v>
      </c>
      <c r="D1596" s="21" t="s">
        <v>3045</v>
      </c>
      <c r="E1596" s="22" t="str">
        <f>HYPERLINK("https://twitter.com/MokaGonzalez_/status/806081063655247872","806081063655247872")</f>
        <v>806081063655247872</v>
      </c>
      <c r="F1596" s="23" t="s">
        <v>41</v>
      </c>
      <c r="G1596" s="24">
        <v>167.0</v>
      </c>
      <c r="H1596" s="24">
        <v>115.0</v>
      </c>
      <c r="I1596" s="24">
        <v>4.0</v>
      </c>
      <c r="J1596" s="24">
        <v>17.0</v>
      </c>
      <c r="K1596" s="23" t="s">
        <v>27</v>
      </c>
      <c r="L1596" s="25">
        <v>42601.60578703704</v>
      </c>
      <c r="M1596" s="26" t="s">
        <v>969</v>
      </c>
      <c r="N1596" s="26" t="s">
        <v>970</v>
      </c>
      <c r="O1596" s="22" t="str">
        <f>HYPERLINK("https://pbs.twimg.com/profile_images/805759744292122624/GVNyopcr_normal.jpg","View")</f>
        <v>View</v>
      </c>
      <c r="P1596" s="27"/>
    </row>
    <row r="1597">
      <c r="A1597" s="19">
        <v>42710.4320949074</v>
      </c>
      <c r="B1597" s="20" t="str">
        <f t="shared" ref="B1597:B1598" si="174">HYPERLINK("https://twitter.com/CositasCanarias","@CositasCanarias")</f>
        <v>@CositasCanarias</v>
      </c>
      <c r="C1597" s="21" t="s">
        <v>1108</v>
      </c>
      <c r="D1597" s="21" t="s">
        <v>3044</v>
      </c>
      <c r="E1597" s="22" t="str">
        <f>HYPERLINK("https://twitter.com/CositasCanarias/status/806081304202715136","806081304202715136")</f>
        <v>806081304202715136</v>
      </c>
      <c r="F1597" s="23" t="s">
        <v>41</v>
      </c>
      <c r="G1597" s="24">
        <v>3919.0</v>
      </c>
      <c r="H1597" s="24">
        <v>3618.0</v>
      </c>
      <c r="I1597" s="24">
        <v>3.0</v>
      </c>
      <c r="J1597" s="24">
        <v>0.0</v>
      </c>
      <c r="K1597" s="23" t="s">
        <v>27</v>
      </c>
      <c r="L1597" s="25">
        <v>42379.54635416667</v>
      </c>
      <c r="M1597" s="26" t="s">
        <v>1109</v>
      </c>
      <c r="N1597" s="26" t="s">
        <v>1110</v>
      </c>
      <c r="O1597" s="22" t="str">
        <f t="shared" ref="O1597:O1598" si="175">HYPERLINK("https://pbs.twimg.com/profile_images/722353442321260544/juVRAeF1_normal.jpg","View")</f>
        <v>View</v>
      </c>
      <c r="P1597" s="27"/>
    </row>
    <row r="1598">
      <c r="A1598" s="19">
        <v>42710.43252314815</v>
      </c>
      <c r="B1598" s="20" t="str">
        <f t="shared" si="174"/>
        <v>@CositasCanarias</v>
      </c>
      <c r="C1598" s="21" t="s">
        <v>1108</v>
      </c>
      <c r="D1598" s="21" t="s">
        <v>3046</v>
      </c>
      <c r="E1598" s="22" t="str">
        <f>HYPERLINK("https://twitter.com/CositasCanarias/status/806081456967708672","806081456967708672")</f>
        <v>806081456967708672</v>
      </c>
      <c r="F1598" s="23" t="s">
        <v>41</v>
      </c>
      <c r="G1598" s="24">
        <v>3919.0</v>
      </c>
      <c r="H1598" s="24">
        <v>3618.0</v>
      </c>
      <c r="I1598" s="24">
        <v>4.0</v>
      </c>
      <c r="J1598" s="24">
        <v>0.0</v>
      </c>
      <c r="K1598" s="23" t="s">
        <v>27</v>
      </c>
      <c r="L1598" s="25">
        <v>42379.54635416667</v>
      </c>
      <c r="M1598" s="26" t="s">
        <v>1109</v>
      </c>
      <c r="N1598" s="26" t="s">
        <v>1110</v>
      </c>
      <c r="O1598" s="22" t="str">
        <f t="shared" si="175"/>
        <v>View</v>
      </c>
      <c r="P1598" s="27"/>
    </row>
    <row r="1599">
      <c r="A1599" s="19">
        <v>42710.43309027777</v>
      </c>
      <c r="B1599" s="20" t="str">
        <f>HYPERLINK("https://twitter.com/holyber","@holyber")</f>
        <v>@holyber</v>
      </c>
      <c r="C1599" s="21" t="s">
        <v>45</v>
      </c>
      <c r="D1599" s="21" t="s">
        <v>3046</v>
      </c>
      <c r="E1599" s="22" t="str">
        <f>HYPERLINK("https://twitter.com/holyber/status/806081662534778880","806081662534778880")</f>
        <v>806081662534778880</v>
      </c>
      <c r="F1599" s="23" t="s">
        <v>37</v>
      </c>
      <c r="G1599" s="24">
        <v>106410.0</v>
      </c>
      <c r="H1599" s="24">
        <v>94316.0</v>
      </c>
      <c r="I1599" s="24">
        <v>4.0</v>
      </c>
      <c r="J1599" s="24">
        <v>0.0</v>
      </c>
      <c r="K1599" s="23" t="s">
        <v>27</v>
      </c>
      <c r="L1599" s="25">
        <v>41144.80637731482</v>
      </c>
      <c r="M1599" s="26" t="s">
        <v>46</v>
      </c>
      <c r="N1599" s="26" t="s">
        <v>47</v>
      </c>
      <c r="O1599" s="22" t="str">
        <f>HYPERLINK("https://pbs.twimg.com/profile_images/475644614448123904/FiCl2pX4_normal.jpeg","View")</f>
        <v>View</v>
      </c>
      <c r="P1599" s="27"/>
    </row>
    <row r="1600">
      <c r="A1600" s="19">
        <v>42710.43481481481</v>
      </c>
      <c r="B1600" s="20" t="str">
        <f>HYPERLINK("https://twitter.com/inditravelfeed","@inditravelfeed")</f>
        <v>@inditravelfeed</v>
      </c>
      <c r="C1600" s="21" t="s">
        <v>3047</v>
      </c>
      <c r="D1600" s="21" t="s">
        <v>3048</v>
      </c>
      <c r="E1600" s="22" t="str">
        <f>HYPERLINK("https://twitter.com/inditravelfeed/status/806082289465720832","806082289465720832")</f>
        <v>806082289465720832</v>
      </c>
      <c r="F1600" s="23" t="s">
        <v>37</v>
      </c>
      <c r="G1600" s="24">
        <v>573.0</v>
      </c>
      <c r="H1600" s="24">
        <v>642.0</v>
      </c>
      <c r="I1600" s="24">
        <v>1.0</v>
      </c>
      <c r="J1600" s="24">
        <v>0.0</v>
      </c>
      <c r="K1600" s="23" t="s">
        <v>27</v>
      </c>
      <c r="L1600" s="25">
        <v>42659.74626157407</v>
      </c>
      <c r="M1600" s="26" t="s">
        <v>810</v>
      </c>
      <c r="N1600" s="26" t="s">
        <v>3049</v>
      </c>
      <c r="O1600" s="22" t="str">
        <f>HYPERLINK("https://pbs.twimg.com/profile_images/787706464752271360/8O90q4NY_normal.jpg","View")</f>
        <v>View</v>
      </c>
      <c r="P1600" s="27"/>
    </row>
    <row r="1601">
      <c r="A1601" s="19">
        <v>42710.438576388886</v>
      </c>
      <c r="B1601" s="20" t="str">
        <f>HYPERLINK("https://twitter.com/PedroARodrguez","@PedroARodrguez")</f>
        <v>@PedroARodrguez</v>
      </c>
      <c r="C1601" s="21" t="s">
        <v>3050</v>
      </c>
      <c r="D1601" s="21" t="s">
        <v>2855</v>
      </c>
      <c r="E1601" s="22" t="str">
        <f>HYPERLINK("https://twitter.com/PedroARodrguez/status/806083652228698114","806083652228698114")</f>
        <v>806083652228698114</v>
      </c>
      <c r="F1601" s="23" t="s">
        <v>41</v>
      </c>
      <c r="G1601" s="24">
        <v>226.0</v>
      </c>
      <c r="H1601" s="24">
        <v>472.0</v>
      </c>
      <c r="I1601" s="24">
        <v>5.0</v>
      </c>
      <c r="J1601" s="24">
        <v>0.0</v>
      </c>
      <c r="K1601" s="23" t="s">
        <v>27</v>
      </c>
      <c r="L1601" s="25">
        <v>41035.48462962963</v>
      </c>
      <c r="M1601" s="28"/>
      <c r="N1601" s="28"/>
      <c r="O1601" s="22" t="str">
        <f>HYPERLINK("https://pbs.twimg.com/profile_images/3111914704/434e501b41ec918bdcd7511b6e31a149_normal.jpeg","View")</f>
        <v>View</v>
      </c>
      <c r="P1601" s="27"/>
    </row>
    <row r="1602">
      <c r="A1602" s="19">
        <v>42710.44195601852</v>
      </c>
      <c r="B1602" s="20" t="str">
        <f t="shared" ref="B1602:B1603" si="176">HYPERLINK("https://twitter.com/Bondy82","@Bondy82")</f>
        <v>@Bondy82</v>
      </c>
      <c r="C1602" s="21" t="s">
        <v>3051</v>
      </c>
      <c r="D1602" s="21" t="s">
        <v>3052</v>
      </c>
      <c r="E1602" s="22" t="str">
        <f>HYPERLINK("https://twitter.com/Bondy82/status/806084876357103616","806084876357103616")</f>
        <v>806084876357103616</v>
      </c>
      <c r="F1602" s="23" t="s">
        <v>81</v>
      </c>
      <c r="G1602" s="24">
        <v>30.0</v>
      </c>
      <c r="H1602" s="24">
        <v>161.0</v>
      </c>
      <c r="I1602" s="24">
        <v>0.0</v>
      </c>
      <c r="J1602" s="24">
        <v>1.0</v>
      </c>
      <c r="K1602" s="23" t="s">
        <v>27</v>
      </c>
      <c r="L1602" s="25">
        <v>39906.9666087963</v>
      </c>
      <c r="M1602" s="28"/>
      <c r="N1602" s="28"/>
      <c r="O1602" s="22" t="str">
        <f t="shared" ref="O1602:O1603" si="177">HYPERLINK("https://pbs.twimg.com/profile_images/2980109286/fa0f8b0efd44c7cd95ec1875eb9ac5b6_normal.jpeg","View")</f>
        <v>View</v>
      </c>
      <c r="P1602" s="27" t="str">
        <f t="shared" ref="P1602:P1603" si="178">HYPERLINK("https://ctrlq.org/maps/address/#28.6333,-17.75","Map")</f>
        <v>#ERROR!</v>
      </c>
    </row>
    <row r="1603">
      <c r="A1603" s="19">
        <v>42710.44258101852</v>
      </c>
      <c r="B1603" s="20" t="str">
        <f t="shared" si="176"/>
        <v>@Bondy82</v>
      </c>
      <c r="C1603" s="21" t="s">
        <v>3051</v>
      </c>
      <c r="D1603" s="21" t="s">
        <v>3053</v>
      </c>
      <c r="E1603" s="22" t="str">
        <f>HYPERLINK("https://twitter.com/Bondy82/status/806085102534991872","806085102534991872")</f>
        <v>806085102534991872</v>
      </c>
      <c r="F1603" s="23" t="s">
        <v>81</v>
      </c>
      <c r="G1603" s="24">
        <v>30.0</v>
      </c>
      <c r="H1603" s="24">
        <v>161.0</v>
      </c>
      <c r="I1603" s="24">
        <v>0.0</v>
      </c>
      <c r="J1603" s="24">
        <v>1.0</v>
      </c>
      <c r="K1603" s="23" t="s">
        <v>27</v>
      </c>
      <c r="L1603" s="25">
        <v>39906.9666087963</v>
      </c>
      <c r="M1603" s="28"/>
      <c r="N1603" s="28"/>
      <c r="O1603" s="22" t="str">
        <f t="shared" si="177"/>
        <v>View</v>
      </c>
      <c r="P1603" s="27" t="str">
        <f t="shared" si="178"/>
        <v>#ERROR!</v>
      </c>
    </row>
    <row r="1604">
      <c r="A1604" s="19">
        <v>42710.44469907407</v>
      </c>
      <c r="B1604" s="20" t="str">
        <f>HYPERLINK("https://twitter.com/DunasHoteles","@DunasHoteles")</f>
        <v>@DunasHoteles</v>
      </c>
      <c r="C1604" s="21" t="s">
        <v>1233</v>
      </c>
      <c r="D1604" s="21" t="s">
        <v>3054</v>
      </c>
      <c r="E1604" s="22" t="str">
        <f>HYPERLINK("https://twitter.com/DunasHoteles/status/806085871137124352","806085871137124352")</f>
        <v>806085871137124352</v>
      </c>
      <c r="F1604" s="23" t="s">
        <v>401</v>
      </c>
      <c r="G1604" s="24">
        <v>2603.0</v>
      </c>
      <c r="H1604" s="24">
        <v>2117.0</v>
      </c>
      <c r="I1604" s="24">
        <v>0.0</v>
      </c>
      <c r="J1604" s="24">
        <v>1.0</v>
      </c>
      <c r="K1604" s="23" t="s">
        <v>27</v>
      </c>
      <c r="L1604" s="25">
        <v>39769.46932870371</v>
      </c>
      <c r="M1604" s="26" t="s">
        <v>109</v>
      </c>
      <c r="N1604" s="26" t="s">
        <v>1235</v>
      </c>
      <c r="O1604" s="22" t="str">
        <f>HYPERLINK("https://pbs.twimg.com/profile_images/461470205227454465/4u4KGofw_normal.jpeg","View")</f>
        <v>View</v>
      </c>
      <c r="P1604" s="27"/>
    </row>
    <row r="1605">
      <c r="A1605" s="19">
        <v>42710.44527777778</v>
      </c>
      <c r="B1605" s="20" t="str">
        <f t="shared" ref="B1605:B1606" si="179">HYPERLINK("https://twitter.com/curraghtravel","@curraghtravel")</f>
        <v>@curraghtravel</v>
      </c>
      <c r="C1605" s="21" t="s">
        <v>3055</v>
      </c>
      <c r="D1605" s="21" t="s">
        <v>3056</v>
      </c>
      <c r="E1605" s="22" t="str">
        <f>HYPERLINK("https://twitter.com/curraghtravel/status/806086078532722688","806086078532722688")</f>
        <v>806086078532722688</v>
      </c>
      <c r="F1605" s="23" t="s">
        <v>81</v>
      </c>
      <c r="G1605" s="24">
        <v>70.0</v>
      </c>
      <c r="H1605" s="24">
        <v>65.0</v>
      </c>
      <c r="I1605" s="24">
        <v>0.0</v>
      </c>
      <c r="J1605" s="24">
        <v>0.0</v>
      </c>
      <c r="K1605" s="23" t="s">
        <v>27</v>
      </c>
      <c r="L1605" s="25">
        <v>40955.605844907404</v>
      </c>
      <c r="M1605" s="26" t="s">
        <v>3057</v>
      </c>
      <c r="N1605" s="26" t="s">
        <v>3058</v>
      </c>
      <c r="O1605" s="22" t="str">
        <f t="shared" ref="O1605:O1606" si="180">HYPERLINK("https://pbs.twimg.com/profile_images/801413785382744064/M1isZg_R_normal.jpg","View")</f>
        <v>View</v>
      </c>
      <c r="P1605" s="27" t="str">
        <f>HYPERLINK("https://ctrlq.org/maps/address/#53.1819,-6.79667","Map")</f>
        <v>#ERROR!</v>
      </c>
    </row>
    <row r="1606">
      <c r="A1606" s="19">
        <v>42710.44528935185</v>
      </c>
      <c r="B1606" s="20" t="str">
        <f t="shared" si="179"/>
        <v>@curraghtravel</v>
      </c>
      <c r="C1606" s="21" t="s">
        <v>3055</v>
      </c>
      <c r="D1606" s="21" t="s">
        <v>3059</v>
      </c>
      <c r="E1606" s="22" t="str">
        <f>HYPERLINK("https://twitter.com/curraghtravel/status/806086084681547776","806086084681547776")</f>
        <v>806086084681547776</v>
      </c>
      <c r="F1606" s="23" t="s">
        <v>59</v>
      </c>
      <c r="G1606" s="24">
        <v>70.0</v>
      </c>
      <c r="H1606" s="24">
        <v>65.0</v>
      </c>
      <c r="I1606" s="24">
        <v>0.0</v>
      </c>
      <c r="J1606" s="24">
        <v>0.0</v>
      </c>
      <c r="K1606" s="23" t="s">
        <v>27</v>
      </c>
      <c r="L1606" s="25">
        <v>40955.605844907404</v>
      </c>
      <c r="M1606" s="26" t="s">
        <v>3057</v>
      </c>
      <c r="N1606" s="26" t="s">
        <v>3058</v>
      </c>
      <c r="O1606" s="22" t="str">
        <f t="shared" si="180"/>
        <v>View</v>
      </c>
      <c r="P1606" s="27"/>
    </row>
    <row r="1607">
      <c r="A1607" s="19">
        <v>42710.4522337963</v>
      </c>
      <c r="B1607" s="20" t="str">
        <f>HYPERLINK("https://twitter.com/tlgfocus","@tlgfocus")</f>
        <v>@tlgfocus</v>
      </c>
      <c r="C1607" s="21" t="s">
        <v>2101</v>
      </c>
      <c r="D1607" s="21" t="s">
        <v>3060</v>
      </c>
      <c r="E1607" s="22" t="str">
        <f>HYPERLINK("https://twitter.com/tlgfocus/status/806088600433688576","806088600433688576")</f>
        <v>806088600433688576</v>
      </c>
      <c r="F1607" s="23" t="s">
        <v>41</v>
      </c>
      <c r="G1607" s="24">
        <v>639.0</v>
      </c>
      <c r="H1607" s="24">
        <v>1035.0</v>
      </c>
      <c r="I1607" s="24">
        <v>1.0</v>
      </c>
      <c r="J1607" s="24">
        <v>0.0</v>
      </c>
      <c r="K1607" s="23" t="s">
        <v>27</v>
      </c>
      <c r="L1607" s="25">
        <v>42136.56789351851</v>
      </c>
      <c r="M1607" s="26" t="s">
        <v>130</v>
      </c>
      <c r="N1607" s="26" t="s">
        <v>2102</v>
      </c>
      <c r="O1607" s="22" t="str">
        <f>HYPERLINK("https://pbs.twimg.com/profile_images/598112763890823168/Lfk5ONzs_normal.jpg","View")</f>
        <v>View</v>
      </c>
      <c r="P1607" s="27"/>
    </row>
    <row r="1608">
      <c r="A1608" s="19">
        <v>42710.462002314816</v>
      </c>
      <c r="B1608" s="20" t="str">
        <f>HYPERLINK("https://twitter.com/ebook_travel","@ebook_travel")</f>
        <v>@ebook_travel</v>
      </c>
      <c r="C1608" s="21" t="s">
        <v>290</v>
      </c>
      <c r="D1608" s="21" t="s">
        <v>3061</v>
      </c>
      <c r="E1608" s="22" t="str">
        <f>HYPERLINK("https://twitter.com/ebook_travel/status/806092142288441348","806092142288441348")</f>
        <v>806092142288441348</v>
      </c>
      <c r="F1608" s="23" t="s">
        <v>401</v>
      </c>
      <c r="G1608" s="24">
        <v>10366.0</v>
      </c>
      <c r="H1608" s="24">
        <v>6407.0</v>
      </c>
      <c r="I1608" s="24">
        <v>0.0</v>
      </c>
      <c r="J1608" s="24">
        <v>0.0</v>
      </c>
      <c r="K1608" s="23" t="s">
        <v>27</v>
      </c>
      <c r="L1608" s="25">
        <v>40307.68127314815</v>
      </c>
      <c r="M1608" s="26" t="s">
        <v>292</v>
      </c>
      <c r="N1608" s="26" t="s">
        <v>293</v>
      </c>
      <c r="O1608" s="22" t="str">
        <f>HYPERLINK("https://pbs.twimg.com/profile_images/506732081079013377/VmrRkhPe_normal.jpeg","View")</f>
        <v>View</v>
      </c>
      <c r="P1608" s="27"/>
    </row>
    <row r="1609">
      <c r="A1609" s="19">
        <v>42710.46542824074</v>
      </c>
      <c r="B1609" s="20" t="str">
        <f>HYPERLINK("https://twitter.com/KeyserSoSo","@KeyserSoSo")</f>
        <v>@KeyserSoSo</v>
      </c>
      <c r="C1609" s="21" t="s">
        <v>452</v>
      </c>
      <c r="D1609" s="21" t="s">
        <v>3062</v>
      </c>
      <c r="E1609" s="22" t="str">
        <f>HYPERLINK("https://twitter.com/KeyserSoSo/status/806093382393151488","806093382393151488")</f>
        <v>806093382393151488</v>
      </c>
      <c r="F1609" s="23" t="s">
        <v>26</v>
      </c>
      <c r="G1609" s="24">
        <v>65.0</v>
      </c>
      <c r="H1609" s="24">
        <v>122.0</v>
      </c>
      <c r="I1609" s="24">
        <v>1.0</v>
      </c>
      <c r="J1609" s="24">
        <v>0.0</v>
      </c>
      <c r="K1609" s="23" t="s">
        <v>27</v>
      </c>
      <c r="L1609" s="25">
        <v>41843.658842592595</v>
      </c>
      <c r="M1609" s="26" t="s">
        <v>292</v>
      </c>
      <c r="N1609" s="28"/>
      <c r="O1609" s="22" t="str">
        <f>HYPERLINK("https://pbs.twimg.com/profile_images/592798998773235713/aPa65SQO_normal.jpg","View")</f>
        <v>View</v>
      </c>
      <c r="P1609" s="27"/>
    </row>
    <row r="1610">
      <c r="A1610" s="19">
        <v>42710.481562500005</v>
      </c>
      <c r="B1610" s="20" t="str">
        <f>HYPERLINK("https://twitter.com/TomCanaryGC","@TomCanaryGC")</f>
        <v>@TomCanaryGC</v>
      </c>
      <c r="C1610" s="21" t="s">
        <v>2072</v>
      </c>
      <c r="D1610" s="21" t="s">
        <v>3046</v>
      </c>
      <c r="E1610" s="22" t="str">
        <f>HYPERLINK("https://twitter.com/TomCanaryGC/status/806099229362049025","806099229362049025")</f>
        <v>806099229362049025</v>
      </c>
      <c r="F1610" s="23" t="s">
        <v>41</v>
      </c>
      <c r="G1610" s="24">
        <v>415.0</v>
      </c>
      <c r="H1610" s="24">
        <v>471.0</v>
      </c>
      <c r="I1610" s="24">
        <v>4.0</v>
      </c>
      <c r="J1610" s="24">
        <v>0.0</v>
      </c>
      <c r="K1610" s="23" t="s">
        <v>27</v>
      </c>
      <c r="L1610" s="25">
        <v>42253.57953703703</v>
      </c>
      <c r="M1610" s="26" t="s">
        <v>109</v>
      </c>
      <c r="N1610" s="26" t="s">
        <v>2073</v>
      </c>
      <c r="O1610" s="22" t="str">
        <f>HYPERLINK("https://pbs.twimg.com/profile_images/797265461075443712/-ap1T37u_normal.jpg","View")</f>
        <v>View</v>
      </c>
      <c r="P1610" s="27"/>
    </row>
    <row r="1611">
      <c r="A1611" s="19">
        <v>42710.48631944445</v>
      </c>
      <c r="B1611" s="20" t="str">
        <f>HYPERLINK("https://twitter.com/MeliaHacienda","@MeliaHacienda")</f>
        <v>@MeliaHacienda</v>
      </c>
      <c r="C1611" s="21" t="s">
        <v>1616</v>
      </c>
      <c r="D1611" s="21" t="s">
        <v>3063</v>
      </c>
      <c r="E1611" s="22" t="str">
        <f>HYPERLINK("https://twitter.com/MeliaHacienda/status/806100951023153152","806100951023153152")</f>
        <v>806100951023153152</v>
      </c>
      <c r="F1611" s="23" t="s">
        <v>401</v>
      </c>
      <c r="G1611" s="24">
        <v>52.0</v>
      </c>
      <c r="H1611" s="24">
        <v>127.0</v>
      </c>
      <c r="I1611" s="24">
        <v>0.0</v>
      </c>
      <c r="J1611" s="24">
        <v>0.0</v>
      </c>
      <c r="K1611" s="23" t="s">
        <v>27</v>
      </c>
      <c r="L1611" s="25">
        <v>42635.751192129625</v>
      </c>
      <c r="M1611" s="26" t="s">
        <v>1618</v>
      </c>
      <c r="N1611" s="26" t="s">
        <v>1619</v>
      </c>
      <c r="O1611" s="22" t="str">
        <f>HYPERLINK("https://pbs.twimg.com/profile_images/793118609736339456/LMIq_8Rm_normal.jpg","View")</f>
        <v>View</v>
      </c>
      <c r="P1611" s="27"/>
    </row>
    <row r="1612">
      <c r="A1612" s="19">
        <v>42710.495891203704</v>
      </c>
      <c r="B1612" s="20" t="str">
        <f>HYPERLINK("https://twitter.com/TwiteroGuanche","@TwiteroGuanche")</f>
        <v>@TwiteroGuanche</v>
      </c>
      <c r="C1612" s="21" t="s">
        <v>3064</v>
      </c>
      <c r="D1612" s="21" t="s">
        <v>3044</v>
      </c>
      <c r="E1612" s="22" t="str">
        <f>HYPERLINK("https://twitter.com/TwiteroGuanche/status/806104420895358976","806104420895358976")</f>
        <v>806104420895358976</v>
      </c>
      <c r="F1612" s="23" t="s">
        <v>41</v>
      </c>
      <c r="G1612" s="24">
        <v>10.0</v>
      </c>
      <c r="H1612" s="24">
        <v>69.0</v>
      </c>
      <c r="I1612" s="24">
        <v>3.0</v>
      </c>
      <c r="J1612" s="24">
        <v>0.0</v>
      </c>
      <c r="K1612" s="23" t="s">
        <v>27</v>
      </c>
      <c r="L1612" s="25">
        <v>42687.95407407408</v>
      </c>
      <c r="M1612" s="28"/>
      <c r="N1612" s="26" t="s">
        <v>3065</v>
      </c>
      <c r="O1612" s="22" t="str">
        <f>HYPERLINK("https://pbs.twimg.com/profile_images/797939995411709952/PULsPLXF_normal.jpg","View")</f>
        <v>View</v>
      </c>
      <c r="P1612" s="27"/>
    </row>
    <row r="1613">
      <c r="A1613" s="19">
        <v>42710.516701388886</v>
      </c>
      <c r="B1613" s="20" t="str">
        <f>HYPERLINK("https://twitter.com/SimonTurkas","@SimonTurkas")</f>
        <v>@SimonTurkas</v>
      </c>
      <c r="C1613" s="21" t="s">
        <v>326</v>
      </c>
      <c r="D1613" s="21" t="s">
        <v>3066</v>
      </c>
      <c r="E1613" s="22" t="str">
        <f>HYPERLINK("https://twitter.com/SimonTurkas/status/806111961318641664","806111961318641664")</f>
        <v>806111961318641664</v>
      </c>
      <c r="F1613" s="23" t="s">
        <v>735</v>
      </c>
      <c r="G1613" s="24">
        <v>14915.0</v>
      </c>
      <c r="H1613" s="24">
        <v>10736.0</v>
      </c>
      <c r="I1613" s="24">
        <v>1.0</v>
      </c>
      <c r="J1613" s="24">
        <v>0.0</v>
      </c>
      <c r="K1613" s="23" t="s">
        <v>27</v>
      </c>
      <c r="L1613" s="25">
        <v>41019.515069444446</v>
      </c>
      <c r="M1613" s="26" t="s">
        <v>328</v>
      </c>
      <c r="N1613" s="26" t="s">
        <v>329</v>
      </c>
      <c r="O1613" s="22" t="str">
        <f>HYPERLINK("https://pbs.twimg.com/profile_images/800292908008144896/TiECGUpd_normal.jpg","View")</f>
        <v>View</v>
      </c>
      <c r="P1613" s="27"/>
    </row>
    <row r="1614">
      <c r="A1614" s="19">
        <v>42710.5215625</v>
      </c>
      <c r="B1614" s="20" t="str">
        <f>HYPERLINK("https://twitter.com/karl_louis_","@karl_louis_")</f>
        <v>@karl_louis_</v>
      </c>
      <c r="C1614" s="21" t="s">
        <v>3067</v>
      </c>
      <c r="D1614" s="21" t="s">
        <v>3068</v>
      </c>
      <c r="E1614" s="22" t="str">
        <f>HYPERLINK("https://twitter.com/karl_louis_/status/806113725543497728","806113725543497728")</f>
        <v>806113725543497728</v>
      </c>
      <c r="F1614" s="23" t="s">
        <v>81</v>
      </c>
      <c r="G1614" s="24">
        <v>205.0</v>
      </c>
      <c r="H1614" s="24">
        <v>44.0</v>
      </c>
      <c r="I1614" s="24">
        <v>0.0</v>
      </c>
      <c r="J1614" s="24">
        <v>0.0</v>
      </c>
      <c r="K1614" s="23" t="s">
        <v>27</v>
      </c>
      <c r="L1614" s="25">
        <v>42386.65341435185</v>
      </c>
      <c r="M1614" s="28"/>
      <c r="N1614" s="26" t="s">
        <v>3069</v>
      </c>
      <c r="O1614" s="22" t="str">
        <f>HYPERLINK("https://pbs.twimg.com/profile_images/688752497834459136/kDW9yvUQ_normal.jpg","View")</f>
        <v>View</v>
      </c>
      <c r="P1614" s="27"/>
    </row>
    <row r="1615">
      <c r="A1615" s="19">
        <v>42710.52474537037</v>
      </c>
      <c r="B1615" s="20" t="str">
        <f>HYPERLINK("https://twitter.com/Chicharrotattoo","@Chicharrotattoo")</f>
        <v>@Chicharrotattoo</v>
      </c>
      <c r="C1615" s="21" t="s">
        <v>3070</v>
      </c>
      <c r="D1615" s="21" t="s">
        <v>3071</v>
      </c>
      <c r="E1615" s="22" t="str">
        <f>HYPERLINK("https://twitter.com/Chicharrotattoo/status/806114880210149376","806114880210149376")</f>
        <v>806114880210149376</v>
      </c>
      <c r="F1615" s="23" t="s">
        <v>81</v>
      </c>
      <c r="G1615" s="24">
        <v>67.0</v>
      </c>
      <c r="H1615" s="24">
        <v>39.0</v>
      </c>
      <c r="I1615" s="24">
        <v>0.0</v>
      </c>
      <c r="J1615" s="24">
        <v>0.0</v>
      </c>
      <c r="K1615" s="23" t="s">
        <v>27</v>
      </c>
      <c r="L1615" s="25">
        <v>40298.64815972222</v>
      </c>
      <c r="M1615" s="26" t="s">
        <v>3072</v>
      </c>
      <c r="N1615" s="26" t="s">
        <v>3073</v>
      </c>
      <c r="O1615" s="22" t="str">
        <f>HYPERLINK("https://pbs.twimg.com/profile_images/522361497960206337/umNF4FrG_normal.jpeg","View")</f>
        <v>View</v>
      </c>
      <c r="P1615" s="27"/>
    </row>
    <row r="1616">
      <c r="A1616" s="19">
        <v>42710.52528935185</v>
      </c>
      <c r="B1616" s="20" t="str">
        <f>HYPERLINK("https://twitter.com/HessleTravel","@HessleTravel")</f>
        <v>@HessleTravel</v>
      </c>
      <c r="C1616" s="21" t="s">
        <v>896</v>
      </c>
      <c r="D1616" s="21" t="s">
        <v>3074</v>
      </c>
      <c r="E1616" s="22" t="str">
        <f>HYPERLINK("https://twitter.com/HessleTravel/status/806115073450274816","806115073450274816")</f>
        <v>806115073450274816</v>
      </c>
      <c r="F1616" s="23" t="s">
        <v>37</v>
      </c>
      <c r="G1616" s="24">
        <v>3942.0</v>
      </c>
      <c r="H1616" s="24">
        <v>4786.0</v>
      </c>
      <c r="I1616" s="24">
        <v>0.0</v>
      </c>
      <c r="J1616" s="24">
        <v>0.0</v>
      </c>
      <c r="K1616" s="23" t="s">
        <v>27</v>
      </c>
      <c r="L1616" s="25">
        <v>41968.41019675926</v>
      </c>
      <c r="M1616" s="26" t="s">
        <v>898</v>
      </c>
      <c r="N1616" s="26" t="s">
        <v>899</v>
      </c>
      <c r="O1616" s="22" t="str">
        <f>HYPERLINK("https://pbs.twimg.com/profile_images/698309673066303488/gU84mK_F_normal.jpg","View")</f>
        <v>View</v>
      </c>
      <c r="P1616" s="27"/>
    </row>
    <row r="1617">
      <c r="A1617" s="19">
        <v>42710.526400462964</v>
      </c>
      <c r="B1617" s="20" t="str">
        <f>HYPERLINK("https://twitter.com/homesundersun","@homesundersun")</f>
        <v>@homesundersun</v>
      </c>
      <c r="C1617" s="21" t="s">
        <v>1955</v>
      </c>
      <c r="D1617" s="21" t="s">
        <v>3075</v>
      </c>
      <c r="E1617" s="22" t="str">
        <f>HYPERLINK("https://twitter.com/homesundersun/status/806115478372515840","806115478372515840")</f>
        <v>806115478372515840</v>
      </c>
      <c r="F1617" s="23" t="s">
        <v>167</v>
      </c>
      <c r="G1617" s="24">
        <v>78.0</v>
      </c>
      <c r="H1617" s="24">
        <v>89.0</v>
      </c>
      <c r="I1617" s="24">
        <v>0.0</v>
      </c>
      <c r="J1617" s="24">
        <v>2.0</v>
      </c>
      <c r="K1617" s="23" t="s">
        <v>27</v>
      </c>
      <c r="L1617" s="25">
        <v>42221.63381944444</v>
      </c>
      <c r="M1617" s="26" t="s">
        <v>305</v>
      </c>
      <c r="N1617" s="26" t="s">
        <v>1957</v>
      </c>
      <c r="O1617" s="22" t="str">
        <f>HYPERLINK("https://pbs.twimg.com/profile_images/651017498373046272/9239SLpQ_normal.jpg","View")</f>
        <v>View</v>
      </c>
      <c r="P1617" s="27"/>
    </row>
    <row r="1618">
      <c r="A1618" s="19">
        <v>42710.53755787037</v>
      </c>
      <c r="B1618" s="20" t="str">
        <f>HYPERLINK("https://twitter.com/DesireePadCoe","@DesireePadCoe")</f>
        <v>@DesireePadCoe</v>
      </c>
      <c r="C1618" s="21" t="s">
        <v>3076</v>
      </c>
      <c r="D1618" s="21" t="s">
        <v>3077</v>
      </c>
      <c r="E1618" s="22" t="str">
        <f>HYPERLINK("https://twitter.com/DesireePadCoe/status/806119519584391168","806119519584391168")</f>
        <v>806119519584391168</v>
      </c>
      <c r="F1618" s="23" t="s">
        <v>41</v>
      </c>
      <c r="G1618" s="24">
        <v>35.0</v>
      </c>
      <c r="H1618" s="24">
        <v>94.0</v>
      </c>
      <c r="I1618" s="24">
        <v>1.0</v>
      </c>
      <c r="J1618" s="24">
        <v>3.0</v>
      </c>
      <c r="K1618" s="23" t="s">
        <v>27</v>
      </c>
      <c r="L1618" s="25">
        <v>42670.63116898148</v>
      </c>
      <c r="M1618" s="26" t="s">
        <v>51</v>
      </c>
      <c r="N1618" s="28"/>
      <c r="O1618" s="22" t="str">
        <f>HYPERLINK("https://pbs.twimg.com/profile_images/805543924681023493/XB1mRrii_normal.jpg","View")</f>
        <v>View</v>
      </c>
      <c r="P1618" s="27"/>
    </row>
    <row r="1619">
      <c r="A1619" s="19">
        <v>42710.54190972222</v>
      </c>
      <c r="B1619" s="20" t="str">
        <f>HYPERLINK("https://twitter.com/LoqueveoTfe","@LoqueveoTfe")</f>
        <v>@LoqueveoTfe</v>
      </c>
      <c r="C1619" s="21" t="s">
        <v>2064</v>
      </c>
      <c r="D1619" s="21" t="s">
        <v>3078</v>
      </c>
      <c r="E1619" s="22" t="str">
        <f>HYPERLINK("https://twitter.com/LoqueveoTfe/status/806121098471473152","806121098471473152")</f>
        <v>806121098471473152</v>
      </c>
      <c r="F1619" s="23" t="s">
        <v>41</v>
      </c>
      <c r="G1619" s="24">
        <v>9986.0</v>
      </c>
      <c r="H1619" s="24">
        <v>8538.0</v>
      </c>
      <c r="I1619" s="24">
        <v>1.0</v>
      </c>
      <c r="J1619" s="24">
        <v>0.0</v>
      </c>
      <c r="K1619" s="23" t="s">
        <v>27</v>
      </c>
      <c r="L1619" s="25">
        <v>41844.83342592593</v>
      </c>
      <c r="M1619" s="26" t="s">
        <v>2066</v>
      </c>
      <c r="N1619" s="26" t="s">
        <v>2067</v>
      </c>
      <c r="O1619" s="22" t="str">
        <f>HYPERLINK("https://pbs.twimg.com/profile_images/794313170936614912/DgBYnoSu_normal.jpg","View")</f>
        <v>View</v>
      </c>
      <c r="P1619" s="27"/>
    </row>
    <row r="1620">
      <c r="A1620" s="19">
        <v>42710.54724537037</v>
      </c>
      <c r="B1620" s="20" t="str">
        <f>HYPERLINK("https://twitter.com/MeteoDance","@MeteoDance")</f>
        <v>@MeteoDance</v>
      </c>
      <c r="C1620" s="21" t="s">
        <v>3079</v>
      </c>
      <c r="D1620" s="21" t="s">
        <v>3080</v>
      </c>
      <c r="E1620" s="22" t="str">
        <f>HYPERLINK("https://twitter.com/MeteoDance/status/806123030627942402","806123030627942402")</f>
        <v>806123030627942402</v>
      </c>
      <c r="F1620" s="23" t="s">
        <v>81</v>
      </c>
      <c r="G1620" s="24">
        <v>128.0</v>
      </c>
      <c r="H1620" s="24">
        <v>60.0</v>
      </c>
      <c r="I1620" s="24">
        <v>0.0</v>
      </c>
      <c r="J1620" s="24">
        <v>0.0</v>
      </c>
      <c r="K1620" s="23" t="s">
        <v>27</v>
      </c>
      <c r="L1620" s="25">
        <v>40829.974953703706</v>
      </c>
      <c r="M1620" s="26" t="s">
        <v>1848</v>
      </c>
      <c r="N1620" s="28"/>
      <c r="O1620" s="22" t="str">
        <f>HYPERLINK("https://pbs.twimg.com/profile_images/557443736255623168/Pn8GJ3GP_normal.jpeg","View")</f>
        <v>View</v>
      </c>
      <c r="P1620" s="27" t="str">
        <f>HYPERLINK("https://ctrlq.org/maps/address/#28.22358322,-16.63015808","Map")</f>
        <v>#ERROR!</v>
      </c>
    </row>
    <row r="1621">
      <c r="A1621" s="19">
        <v>42710.552881944444</v>
      </c>
      <c r="B1621" s="20" t="str">
        <f>HYPERLINK("https://twitter.com/TfeKitesurf","@TfeKitesurf")</f>
        <v>@TfeKitesurf</v>
      </c>
      <c r="C1621" s="21" t="s">
        <v>1434</v>
      </c>
      <c r="D1621" s="21" t="s">
        <v>3081</v>
      </c>
      <c r="E1621" s="22" t="str">
        <f>HYPERLINK("https://twitter.com/TfeKitesurf/status/806125075674046464","806125075674046464")</f>
        <v>806125075674046464</v>
      </c>
      <c r="F1621" s="23" t="s">
        <v>26</v>
      </c>
      <c r="G1621" s="24">
        <v>1533.0</v>
      </c>
      <c r="H1621" s="24">
        <v>1958.0</v>
      </c>
      <c r="I1621" s="24">
        <v>0.0</v>
      </c>
      <c r="J1621" s="24">
        <v>0.0</v>
      </c>
      <c r="K1621" s="23" t="s">
        <v>27</v>
      </c>
      <c r="L1621" s="25">
        <v>41073.453668981485</v>
      </c>
      <c r="M1621" s="26" t="s">
        <v>1436</v>
      </c>
      <c r="N1621" s="26" t="s">
        <v>1437</v>
      </c>
      <c r="O1621" s="22" t="str">
        <f>HYPERLINK("https://pbs.twimg.com/profile_images/692758256259854340/d-9aYuwh_normal.jpg","View")</f>
        <v>View</v>
      </c>
      <c r="P1621" s="27"/>
    </row>
    <row r="1622">
      <c r="A1622" s="19">
        <v>42710.553981481484</v>
      </c>
      <c r="B1622" s="20" t="str">
        <f>HYPERLINK("https://twitter.com/beeniBO","@beeniBO")</f>
        <v>@beeniBO</v>
      </c>
      <c r="C1622" s="21" t="s">
        <v>3082</v>
      </c>
      <c r="D1622" s="21" t="s">
        <v>3083</v>
      </c>
      <c r="E1622" s="22" t="str">
        <f>HYPERLINK("https://twitter.com/beeniBO/status/806125473281478656","806125473281478656")</f>
        <v>806125473281478656</v>
      </c>
      <c r="F1622" s="23" t="s">
        <v>81</v>
      </c>
      <c r="G1622" s="24">
        <v>276.0</v>
      </c>
      <c r="H1622" s="24">
        <v>803.0</v>
      </c>
      <c r="I1622" s="24">
        <v>0.0</v>
      </c>
      <c r="J1622" s="24">
        <v>0.0</v>
      </c>
      <c r="K1622" s="23" t="s">
        <v>27</v>
      </c>
      <c r="L1622" s="25">
        <v>41217.65405092593</v>
      </c>
      <c r="M1622" s="26" t="s">
        <v>3084</v>
      </c>
      <c r="N1622" s="26" t="s">
        <v>3085</v>
      </c>
      <c r="O1622" s="22" t="str">
        <f>HYPERLINK("https://pbs.twimg.com/profile_images/801073228445786112/7_yjhoAE_normal.jpg","View")</f>
        <v>View</v>
      </c>
      <c r="P1622" s="27"/>
    </row>
    <row r="1623">
      <c r="A1623" s="19">
        <v>42710.56980324074</v>
      </c>
      <c r="B1623" s="20" t="str">
        <f>HYPERLINK("https://twitter.com/ebook_travel","@ebook_travel")</f>
        <v>@ebook_travel</v>
      </c>
      <c r="C1623" s="21" t="s">
        <v>290</v>
      </c>
      <c r="D1623" s="21" t="s">
        <v>3086</v>
      </c>
      <c r="E1623" s="22" t="str">
        <f>HYPERLINK("https://twitter.com/ebook_travel/status/806131204873404416","806131204873404416")</f>
        <v>806131204873404416</v>
      </c>
      <c r="F1623" s="23" t="s">
        <v>401</v>
      </c>
      <c r="G1623" s="24">
        <v>10366.0</v>
      </c>
      <c r="H1623" s="24">
        <v>6407.0</v>
      </c>
      <c r="I1623" s="24">
        <v>0.0</v>
      </c>
      <c r="J1623" s="24">
        <v>0.0</v>
      </c>
      <c r="K1623" s="23" t="s">
        <v>27</v>
      </c>
      <c r="L1623" s="25">
        <v>40307.68127314815</v>
      </c>
      <c r="M1623" s="26" t="s">
        <v>292</v>
      </c>
      <c r="N1623" s="26" t="s">
        <v>293</v>
      </c>
      <c r="O1623" s="22" t="str">
        <f>HYPERLINK("https://pbs.twimg.com/profile_images/506732081079013377/VmrRkhPe_normal.jpeg","View")</f>
        <v>View</v>
      </c>
      <c r="P1623" s="27"/>
    </row>
    <row r="1624">
      <c r="A1624" s="19">
        <v>42710.590312500004</v>
      </c>
      <c r="B1624" s="20" t="str">
        <f>HYPERLINK("https://twitter.com/CanaryIslandsEN","@CanaryIslandsEN")</f>
        <v>@CanaryIslandsEN</v>
      </c>
      <c r="C1624" s="21" t="s">
        <v>165</v>
      </c>
      <c r="D1624" s="21" t="s">
        <v>3087</v>
      </c>
      <c r="E1624" s="22" t="str">
        <f>HYPERLINK("https://twitter.com/CanaryIslandsEN/status/806138637884723200","806138637884723200")</f>
        <v>806138637884723200</v>
      </c>
      <c r="F1624" s="23" t="s">
        <v>167</v>
      </c>
      <c r="G1624" s="24">
        <v>14287.0</v>
      </c>
      <c r="H1624" s="24">
        <v>1533.0</v>
      </c>
      <c r="I1624" s="24">
        <v>5.0</v>
      </c>
      <c r="J1624" s="24">
        <v>9.0</v>
      </c>
      <c r="K1624" s="23" t="s">
        <v>27</v>
      </c>
      <c r="L1624" s="25">
        <v>41264.365949074076</v>
      </c>
      <c r="M1624" s="26" t="s">
        <v>168</v>
      </c>
      <c r="N1624" s="26" t="s">
        <v>169</v>
      </c>
      <c r="O1624" s="22" t="str">
        <f>HYPERLINK("https://pbs.twimg.com/profile_images/754960714704584704/14dQxsF8_normal.jpg","View")</f>
        <v>View</v>
      </c>
      <c r="P1624" s="27"/>
    </row>
    <row r="1625">
      <c r="A1625" s="19">
        <v>42710.59380787037</v>
      </c>
      <c r="B1625" s="20" t="str">
        <f>HYPERLINK("https://twitter.com/enduriaholidays","@enduriaholidays")</f>
        <v>@enduriaholidays</v>
      </c>
      <c r="C1625" s="21" t="s">
        <v>173</v>
      </c>
      <c r="D1625" s="21" t="s">
        <v>3088</v>
      </c>
      <c r="E1625" s="22" t="str">
        <f>HYPERLINK("https://twitter.com/enduriaholidays/status/806139906678554626","806139906678554626")</f>
        <v>806139906678554626</v>
      </c>
      <c r="F1625" s="23" t="s">
        <v>69</v>
      </c>
      <c r="G1625" s="24">
        <v>319.0</v>
      </c>
      <c r="H1625" s="24">
        <v>313.0</v>
      </c>
      <c r="I1625" s="24">
        <v>0.0</v>
      </c>
      <c r="J1625" s="24">
        <v>0.0</v>
      </c>
      <c r="K1625" s="23" t="s">
        <v>27</v>
      </c>
      <c r="L1625" s="25">
        <v>42489.5252662037</v>
      </c>
      <c r="M1625" s="28"/>
      <c r="N1625" s="28"/>
      <c r="O1625" s="22" t="str">
        <f>HYPERLINK("https://pbs.twimg.com/profile_images/726026649356128258/xCSaP1IW_normal.jpg","View")</f>
        <v>View</v>
      </c>
      <c r="P1625" s="27"/>
    </row>
    <row r="1626">
      <c r="A1626" s="19">
        <v>42710.59885416667</v>
      </c>
      <c r="B1626" s="20" t="str">
        <f>HYPERLINK("https://twitter.com/holyber","@holyber")</f>
        <v>@holyber</v>
      </c>
      <c r="C1626" s="21" t="s">
        <v>45</v>
      </c>
      <c r="D1626" s="21" t="s">
        <v>3089</v>
      </c>
      <c r="E1626" s="22" t="str">
        <f>HYPERLINK("https://twitter.com/holyber/status/806141732719132676","806141732719132676")</f>
        <v>806141732719132676</v>
      </c>
      <c r="F1626" s="23" t="s">
        <v>37</v>
      </c>
      <c r="G1626" s="24">
        <v>106410.0</v>
      </c>
      <c r="H1626" s="24">
        <v>94316.0</v>
      </c>
      <c r="I1626" s="24">
        <v>5.0</v>
      </c>
      <c r="J1626" s="24">
        <v>0.0</v>
      </c>
      <c r="K1626" s="23" t="s">
        <v>27</v>
      </c>
      <c r="L1626" s="25">
        <v>41144.80637731482</v>
      </c>
      <c r="M1626" s="26" t="s">
        <v>46</v>
      </c>
      <c r="N1626" s="26" t="s">
        <v>47</v>
      </c>
      <c r="O1626" s="22" t="str">
        <f>HYPERLINK("https://pbs.twimg.com/profile_images/475644614448123904/FiCl2pX4_normal.jpeg","View")</f>
        <v>View</v>
      </c>
      <c r="P1626" s="27"/>
    </row>
    <row r="1627">
      <c r="A1627" s="19">
        <v>42710.599224537036</v>
      </c>
      <c r="B1627" s="20" t="str">
        <f>HYPERLINK("https://twitter.com/TheCanaryNews","@TheCanaryNews")</f>
        <v>@TheCanaryNews</v>
      </c>
      <c r="C1627" s="21" t="s">
        <v>1314</v>
      </c>
      <c r="D1627" s="21" t="s">
        <v>3090</v>
      </c>
      <c r="E1627" s="22" t="str">
        <f>HYPERLINK("https://twitter.com/TheCanaryNews/status/806141867716964352","806141867716964352")</f>
        <v>806141867716964352</v>
      </c>
      <c r="F1627" s="23" t="s">
        <v>689</v>
      </c>
      <c r="G1627" s="24">
        <v>1523.0</v>
      </c>
      <c r="H1627" s="24">
        <v>1439.0</v>
      </c>
      <c r="I1627" s="24">
        <v>0.0</v>
      </c>
      <c r="J1627" s="24">
        <v>0.0</v>
      </c>
      <c r="K1627" s="23" t="s">
        <v>27</v>
      </c>
      <c r="L1627" s="25">
        <v>40520.84924768518</v>
      </c>
      <c r="M1627" s="26" t="s">
        <v>109</v>
      </c>
      <c r="N1627" s="26" t="s">
        <v>1316</v>
      </c>
      <c r="O1627" s="22" t="str">
        <f>HYPERLINK("https://pbs.twimg.com/profile_images/422427750876463104/qmjyKloM_normal.png","View")</f>
        <v>View</v>
      </c>
      <c r="P1627" s="27"/>
    </row>
    <row r="1628">
      <c r="A1628" s="19">
        <v>42710.600127314814</v>
      </c>
      <c r="B1628" s="20" t="str">
        <f>HYPERLINK("https://twitter.com/WDGStudio","@WDGStudio")</f>
        <v>@WDGStudio</v>
      </c>
      <c r="C1628" s="21" t="s">
        <v>3091</v>
      </c>
      <c r="D1628" s="21" t="s">
        <v>3092</v>
      </c>
      <c r="E1628" s="22" t="str">
        <f>HYPERLINK("https://twitter.com/WDGStudio/status/806142197301202946","806142197301202946")</f>
        <v>806142197301202946</v>
      </c>
      <c r="F1628" s="23" t="s">
        <v>37</v>
      </c>
      <c r="G1628" s="24">
        <v>4877.0</v>
      </c>
      <c r="H1628" s="24">
        <v>4094.0</v>
      </c>
      <c r="I1628" s="24">
        <v>1.0</v>
      </c>
      <c r="J1628" s="24">
        <v>0.0</v>
      </c>
      <c r="K1628" s="23" t="s">
        <v>27</v>
      </c>
      <c r="L1628" s="25">
        <v>41198.78806712963</v>
      </c>
      <c r="M1628" s="28"/>
      <c r="N1628" s="26" t="s">
        <v>3093</v>
      </c>
      <c r="O1628" s="22" t="str">
        <f>HYPERLINK("https://pbs.twimg.com/profile_images/378800000083690923/dbe503482dbc6fb903ff43df84e8109c_normal.png","View")</f>
        <v>View</v>
      </c>
      <c r="P1628" s="27"/>
    </row>
    <row r="1629">
      <c r="A1629" s="19">
        <v>42710.61740740741</v>
      </c>
      <c r="B1629" s="20" t="str">
        <f>HYPERLINK("https://twitter.com/tbw_network","@tbw_network")</f>
        <v>@tbw_network</v>
      </c>
      <c r="C1629" s="21" t="s">
        <v>3094</v>
      </c>
      <c r="D1629" s="21" t="s">
        <v>3095</v>
      </c>
      <c r="E1629" s="22" t="str">
        <f>HYPERLINK("https://twitter.com/tbw_network/status/806148457773854720","806148457773854720")</f>
        <v>806148457773854720</v>
      </c>
      <c r="F1629" s="23" t="s">
        <v>37</v>
      </c>
      <c r="G1629" s="24">
        <v>91.0</v>
      </c>
      <c r="H1629" s="24">
        <v>321.0</v>
      </c>
      <c r="I1629" s="24">
        <v>0.0</v>
      </c>
      <c r="J1629" s="24">
        <v>0.0</v>
      </c>
      <c r="K1629" s="23" t="s">
        <v>27</v>
      </c>
      <c r="L1629" s="25">
        <v>42604.905173611114</v>
      </c>
      <c r="M1629" s="26" t="s">
        <v>529</v>
      </c>
      <c r="N1629" s="26" t="s">
        <v>3096</v>
      </c>
      <c r="O1629" s="22" t="str">
        <f>HYPERLINK("https://pbs.twimg.com/profile_images/767826538838581248/H8NnKMk3_normal.jpg","View")</f>
        <v>View</v>
      </c>
      <c r="P1629" s="27"/>
    </row>
    <row r="1630">
      <c r="A1630" s="19">
        <v>42710.61913194445</v>
      </c>
      <c r="B1630" s="20" t="str">
        <f>HYPERLINK("https://twitter.com/H_Jardintecina","@H_Jardintecina")</f>
        <v>@H_Jardintecina</v>
      </c>
      <c r="C1630" s="21" t="s">
        <v>736</v>
      </c>
      <c r="D1630" s="21" t="s">
        <v>3089</v>
      </c>
      <c r="E1630" s="22" t="str">
        <f>HYPERLINK("https://twitter.com/H_Jardintecina/status/806149083970805760","806149083970805760")</f>
        <v>806149083970805760</v>
      </c>
      <c r="F1630" s="23" t="s">
        <v>26</v>
      </c>
      <c r="G1630" s="24">
        <v>296.0</v>
      </c>
      <c r="H1630" s="24">
        <v>496.0</v>
      </c>
      <c r="I1630" s="24">
        <v>5.0</v>
      </c>
      <c r="J1630" s="24">
        <v>0.0</v>
      </c>
      <c r="K1630" s="23" t="s">
        <v>27</v>
      </c>
      <c r="L1630" s="25">
        <v>41456.58681712963</v>
      </c>
      <c r="M1630" s="26" t="s">
        <v>737</v>
      </c>
      <c r="N1630" s="26" t="s">
        <v>738</v>
      </c>
      <c r="O1630" s="22" t="str">
        <f>HYPERLINK("https://pbs.twimg.com/profile_images/794493458392248320/z5N_2K6v_normal.jpg","View")</f>
        <v>View</v>
      </c>
      <c r="P1630" s="27"/>
    </row>
    <row r="1631">
      <c r="A1631" s="19">
        <v>42710.62503472222</v>
      </c>
      <c r="B1631" s="20" t="str">
        <f>HYPERLINK("https://twitter.com/Lanzarote_Sov","@Lanzarote_Sov")</f>
        <v>@Lanzarote_Sov</v>
      </c>
      <c r="C1631" s="21" t="s">
        <v>950</v>
      </c>
      <c r="D1631" s="21" t="s">
        <v>3097</v>
      </c>
      <c r="E1631" s="22" t="str">
        <f>HYPERLINK("https://twitter.com/Lanzarote_Sov/status/806151219878170624","806151219878170624")</f>
        <v>806151219878170624</v>
      </c>
      <c r="F1631" s="23" t="s">
        <v>64</v>
      </c>
      <c r="G1631" s="24">
        <v>115.0</v>
      </c>
      <c r="H1631" s="24">
        <v>124.0</v>
      </c>
      <c r="I1631" s="24">
        <v>0.0</v>
      </c>
      <c r="J1631" s="24">
        <v>0.0</v>
      </c>
      <c r="K1631" s="23" t="s">
        <v>27</v>
      </c>
      <c r="L1631" s="25">
        <v>42095.68859953704</v>
      </c>
      <c r="M1631" s="26" t="s">
        <v>952</v>
      </c>
      <c r="N1631" s="26" t="s">
        <v>953</v>
      </c>
      <c r="O1631" s="22" t="str">
        <f>HYPERLINK("https://pbs.twimg.com/profile_images/601788526162763778/vJg4VIhI_normal.jpg","View")</f>
        <v>View</v>
      </c>
      <c r="P1631" s="27"/>
    </row>
    <row r="1632">
      <c r="A1632" s="19">
        <v>42710.6280324074</v>
      </c>
      <c r="B1632" s="20" t="str">
        <f>HYPERLINK("https://twitter.com/Savoy_se","@Savoy_se")</f>
        <v>@Savoy_se</v>
      </c>
      <c r="C1632" s="21" t="s">
        <v>3098</v>
      </c>
      <c r="D1632" s="21" t="s">
        <v>3089</v>
      </c>
      <c r="E1632" s="22" t="str">
        <f>HYPERLINK("https://twitter.com/Savoy_se/status/806152309529083904","806152309529083904")</f>
        <v>806152309529083904</v>
      </c>
      <c r="F1632" s="23" t="s">
        <v>41</v>
      </c>
      <c r="G1632" s="24">
        <v>190.0</v>
      </c>
      <c r="H1632" s="24">
        <v>912.0</v>
      </c>
      <c r="I1632" s="24">
        <v>5.0</v>
      </c>
      <c r="J1632" s="24">
        <v>0.0</v>
      </c>
      <c r="K1632" s="23" t="s">
        <v>27</v>
      </c>
      <c r="L1632" s="25">
        <v>40621.866747685184</v>
      </c>
      <c r="M1632" s="26" t="s">
        <v>3099</v>
      </c>
      <c r="N1632" s="26" t="s">
        <v>3100</v>
      </c>
      <c r="O1632" s="22" t="str">
        <f>HYPERLINK("https://pbs.twimg.com/profile_images/801499145085349888/_5ay51G6_normal.jpg","View")</f>
        <v>View</v>
      </c>
      <c r="P1632" s="27"/>
    </row>
    <row r="1633">
      <c r="A1633" s="19">
        <v>42710.632685185185</v>
      </c>
      <c r="B1633" s="20" t="str">
        <f>HYPERLINK("https://twitter.com/debscabana","@debscabana")</f>
        <v>@debscabana</v>
      </c>
      <c r="C1633" s="21" t="s">
        <v>3101</v>
      </c>
      <c r="D1633" s="21" t="s">
        <v>3102</v>
      </c>
      <c r="E1633" s="22" t="str">
        <f>HYPERLINK("https://twitter.com/debscabana/status/806153995215667201","806153995215667201")</f>
        <v>806153995215667201</v>
      </c>
      <c r="F1633" s="23" t="s">
        <v>37</v>
      </c>
      <c r="G1633" s="24">
        <v>278.0</v>
      </c>
      <c r="H1633" s="24">
        <v>335.0</v>
      </c>
      <c r="I1633" s="24">
        <v>0.0</v>
      </c>
      <c r="J1633" s="24">
        <v>0.0</v>
      </c>
      <c r="K1633" s="23" t="s">
        <v>27</v>
      </c>
      <c r="L1633" s="25">
        <v>40586.57524305556</v>
      </c>
      <c r="M1633" s="26" t="s">
        <v>3103</v>
      </c>
      <c r="N1633" s="26" t="s">
        <v>3104</v>
      </c>
      <c r="O1633" s="22" t="str">
        <f>HYPERLINK("https://pbs.twimg.com/profile_images/463689948424437761/Yp1ujMfe_normal.jpeg","View")</f>
        <v>View</v>
      </c>
      <c r="P1633" s="27"/>
    </row>
    <row r="1634">
      <c r="A1634" s="19">
        <v>42710.63829861111</v>
      </c>
      <c r="B1634" s="20" t="str">
        <f>HYPERLINK("https://twitter.com/RincondeCali","@RincondeCali")</f>
        <v>@RincondeCali</v>
      </c>
      <c r="C1634" s="21" t="s">
        <v>2331</v>
      </c>
      <c r="D1634" s="21" t="s">
        <v>3105</v>
      </c>
      <c r="E1634" s="22" t="str">
        <f>HYPERLINK("https://twitter.com/RincondeCali/status/806156027775356928","806156027775356928")</f>
        <v>806156027775356928</v>
      </c>
      <c r="F1634" s="23" t="s">
        <v>81</v>
      </c>
      <c r="G1634" s="24">
        <v>179.0</v>
      </c>
      <c r="H1634" s="24">
        <v>173.0</v>
      </c>
      <c r="I1634" s="24">
        <v>0.0</v>
      </c>
      <c r="J1634" s="24">
        <v>0.0</v>
      </c>
      <c r="K1634" s="23" t="s">
        <v>27</v>
      </c>
      <c r="L1634" s="25">
        <v>42231.99185185185</v>
      </c>
      <c r="M1634" s="28"/>
      <c r="N1634" s="26" t="s">
        <v>2333</v>
      </c>
      <c r="O1634" s="22" t="str">
        <f>HYPERLINK("https://pbs.twimg.com/profile_images/784730905403330560/cpdXhYxJ_normal.jpg","View")</f>
        <v>View</v>
      </c>
      <c r="P1634" s="27"/>
    </row>
    <row r="1635">
      <c r="A1635" s="19">
        <v>42710.64423611111</v>
      </c>
      <c r="B1635" s="20" t="str">
        <f>HYPERLINK("https://twitter.com/vickyPL13","@vickyPL13")</f>
        <v>@vickyPL13</v>
      </c>
      <c r="C1635" s="21" t="s">
        <v>3106</v>
      </c>
      <c r="D1635" s="21" t="s">
        <v>3089</v>
      </c>
      <c r="E1635" s="22" t="str">
        <f>HYPERLINK("https://twitter.com/vickyPL13/status/806158178434093056","806158178434093056")</f>
        <v>806158178434093056</v>
      </c>
      <c r="F1635" s="23" t="s">
        <v>41</v>
      </c>
      <c r="G1635" s="24">
        <v>995.0</v>
      </c>
      <c r="H1635" s="24">
        <v>994.0</v>
      </c>
      <c r="I1635" s="24">
        <v>5.0</v>
      </c>
      <c r="J1635" s="24">
        <v>0.0</v>
      </c>
      <c r="K1635" s="23" t="s">
        <v>27</v>
      </c>
      <c r="L1635" s="25">
        <v>41971.474282407406</v>
      </c>
      <c r="M1635" s="26" t="s">
        <v>3107</v>
      </c>
      <c r="N1635" s="26" t="s">
        <v>3108</v>
      </c>
      <c r="O1635" s="22" t="str">
        <f>HYPERLINK("https://pbs.twimg.com/profile_images/716755864099667970/tcdLQMmZ_normal.jpg","View")</f>
        <v>View</v>
      </c>
      <c r="P1635" s="27"/>
    </row>
    <row r="1636">
      <c r="A1636" s="19">
        <v>42710.64530092593</v>
      </c>
      <c r="B1636" s="20" t="str">
        <f t="shared" ref="B1636:B1637" si="181">HYPERLINK("https://twitter.com/dani_smg","@dani_smg")</f>
        <v>@dani_smg</v>
      </c>
      <c r="C1636" s="21" t="s">
        <v>3109</v>
      </c>
      <c r="D1636" s="21" t="s">
        <v>2952</v>
      </c>
      <c r="E1636" s="22" t="str">
        <f>HYPERLINK("https://twitter.com/dani_smg/status/806158567539699712","806158567539699712")</f>
        <v>806158567539699712</v>
      </c>
      <c r="F1636" s="23" t="s">
        <v>37</v>
      </c>
      <c r="G1636" s="24">
        <v>286.0</v>
      </c>
      <c r="H1636" s="24">
        <v>889.0</v>
      </c>
      <c r="I1636" s="24">
        <v>6.0</v>
      </c>
      <c r="J1636" s="24">
        <v>0.0</v>
      </c>
      <c r="K1636" s="23" t="s">
        <v>27</v>
      </c>
      <c r="L1636" s="25">
        <v>40121.08550925926</v>
      </c>
      <c r="M1636" s="26" t="s">
        <v>332</v>
      </c>
      <c r="N1636" s="26" t="s">
        <v>3110</v>
      </c>
      <c r="O1636" s="22" t="str">
        <f t="shared" ref="O1636:O1637" si="182">HYPERLINK("https://pbs.twimg.com/profile_images/779810495826132992/tL8ZWI4x_normal.jpg","View")</f>
        <v>View</v>
      </c>
      <c r="P1636" s="27"/>
    </row>
    <row r="1637">
      <c r="A1637" s="19">
        <v>42710.645474537036</v>
      </c>
      <c r="B1637" s="20" t="str">
        <f t="shared" si="181"/>
        <v>@dani_smg</v>
      </c>
      <c r="C1637" s="21" t="s">
        <v>3109</v>
      </c>
      <c r="D1637" s="21" t="s">
        <v>3046</v>
      </c>
      <c r="E1637" s="22" t="str">
        <f>HYPERLINK("https://twitter.com/dani_smg/status/806158627002269696","806158627002269696")</f>
        <v>806158627002269696</v>
      </c>
      <c r="F1637" s="23" t="s">
        <v>37</v>
      </c>
      <c r="G1637" s="24">
        <v>286.0</v>
      </c>
      <c r="H1637" s="24">
        <v>889.0</v>
      </c>
      <c r="I1637" s="24">
        <v>4.0</v>
      </c>
      <c r="J1637" s="24">
        <v>0.0</v>
      </c>
      <c r="K1637" s="23" t="s">
        <v>27</v>
      </c>
      <c r="L1637" s="25">
        <v>40121.08550925926</v>
      </c>
      <c r="M1637" s="26" t="s">
        <v>332</v>
      </c>
      <c r="N1637" s="26" t="s">
        <v>3110</v>
      </c>
      <c r="O1637" s="22" t="str">
        <f t="shared" si="182"/>
        <v>View</v>
      </c>
      <c r="P1637" s="27"/>
    </row>
    <row r="1638">
      <c r="A1638" s="19">
        <v>42710.6528587963</v>
      </c>
      <c r="B1638" s="20" t="str">
        <f>HYPERLINK("https://twitter.com/GemmaEllingsen","@GemmaEllingsen")</f>
        <v>@GemmaEllingsen</v>
      </c>
      <c r="C1638" s="21" t="s">
        <v>3111</v>
      </c>
      <c r="D1638" s="21" t="s">
        <v>3112</v>
      </c>
      <c r="E1638" s="22" t="str">
        <f>HYPERLINK("https://twitter.com/GemmaEllingsen/status/806161304646025217","806161304646025217")</f>
        <v>806161304646025217</v>
      </c>
      <c r="F1638" s="23" t="s">
        <v>41</v>
      </c>
      <c r="G1638" s="24">
        <v>35.0</v>
      </c>
      <c r="H1638" s="24">
        <v>55.0</v>
      </c>
      <c r="I1638" s="24">
        <v>1.0</v>
      </c>
      <c r="J1638" s="24">
        <v>0.0</v>
      </c>
      <c r="K1638" s="23" t="s">
        <v>27</v>
      </c>
      <c r="L1638" s="25">
        <v>42654.70045138889</v>
      </c>
      <c r="M1638" s="26" t="s">
        <v>3113</v>
      </c>
      <c r="N1638" s="26" t="s">
        <v>3114</v>
      </c>
      <c r="O1638" s="22" t="str">
        <f>HYPERLINK("https://pbs.twimg.com/profile_images/793553554363547648/pdBvFm8X_normal.jpg","View")</f>
        <v>View</v>
      </c>
      <c r="P1638" s="27"/>
    </row>
    <row r="1639">
      <c r="A1639" s="19">
        <v>42710.65626157407</v>
      </c>
      <c r="B1639" s="20" t="str">
        <f>HYPERLINK("https://twitter.com/1000meilenwind","@1000meilenwind")</f>
        <v>@1000meilenwind</v>
      </c>
      <c r="C1639" s="32" t="s">
        <v>3115</v>
      </c>
      <c r="D1639" s="21" t="s">
        <v>3116</v>
      </c>
      <c r="E1639" s="22" t="str">
        <f>HYPERLINK("https://twitter.com/1000meilenwind/status/806162537628766208","806162537628766208")</f>
        <v>806162537628766208</v>
      </c>
      <c r="F1639" s="23" t="s">
        <v>69</v>
      </c>
      <c r="G1639" s="24">
        <v>240.0</v>
      </c>
      <c r="H1639" s="24">
        <v>160.0</v>
      </c>
      <c r="I1639" s="24">
        <v>0.0</v>
      </c>
      <c r="J1639" s="24">
        <v>1.0</v>
      </c>
      <c r="K1639" s="23" t="s">
        <v>27</v>
      </c>
      <c r="L1639" s="25">
        <v>41773.93907407408</v>
      </c>
      <c r="M1639" s="28"/>
      <c r="N1639" s="26" t="s">
        <v>3117</v>
      </c>
      <c r="O1639" s="22" t="str">
        <f>HYPERLINK("https://pbs.twimg.com/profile_images/794673952400506880/uN8nc4wX_normal.jpg","View")</f>
        <v>View</v>
      </c>
      <c r="P1639" s="27"/>
    </row>
    <row r="1640">
      <c r="A1640" s="19">
        <v>42710.65657407408</v>
      </c>
      <c r="B1640" s="20" t="str">
        <f>HYPERLINK("https://twitter.com/MeliaHacienda","@MeliaHacienda")</f>
        <v>@MeliaHacienda</v>
      </c>
      <c r="C1640" s="21" t="s">
        <v>1616</v>
      </c>
      <c r="D1640" s="21" t="s">
        <v>3118</v>
      </c>
      <c r="E1640" s="22" t="str">
        <f>HYPERLINK("https://twitter.com/MeliaHacienda/status/806162650837254144","806162650837254144")</f>
        <v>806162650837254144</v>
      </c>
      <c r="F1640" s="23" t="s">
        <v>401</v>
      </c>
      <c r="G1640" s="24">
        <v>52.0</v>
      </c>
      <c r="H1640" s="24">
        <v>127.0</v>
      </c>
      <c r="I1640" s="24">
        <v>0.0</v>
      </c>
      <c r="J1640" s="24">
        <v>1.0</v>
      </c>
      <c r="K1640" s="23" t="s">
        <v>27</v>
      </c>
      <c r="L1640" s="25">
        <v>42635.751192129625</v>
      </c>
      <c r="M1640" s="26" t="s">
        <v>1618</v>
      </c>
      <c r="N1640" s="26" t="s">
        <v>1619</v>
      </c>
      <c r="O1640" s="22" t="str">
        <f>HYPERLINK("https://pbs.twimg.com/profile_images/793118609736339456/LMIq_8Rm_normal.jpg","View")</f>
        <v>View</v>
      </c>
      <c r="P1640" s="27"/>
    </row>
    <row r="1641">
      <c r="A1641" s="19">
        <v>42710.6566087963</v>
      </c>
      <c r="B1641" s="20" t="str">
        <f>HYPERLINK("https://twitter.com/2to69","@2to69")</f>
        <v>@2to69</v>
      </c>
      <c r="C1641" s="21" t="s">
        <v>3119</v>
      </c>
      <c r="D1641" s="21" t="s">
        <v>1734</v>
      </c>
      <c r="E1641" s="22" t="str">
        <f>HYPERLINK("https://twitter.com/2to69/status/806162661834637312","806162661834637312")</f>
        <v>806162661834637312</v>
      </c>
      <c r="F1641" s="23" t="s">
        <v>26</v>
      </c>
      <c r="G1641" s="24">
        <v>25378.0</v>
      </c>
      <c r="H1641" s="24">
        <v>68.0</v>
      </c>
      <c r="I1641" s="24">
        <v>38.0</v>
      </c>
      <c r="J1641" s="24">
        <v>0.0</v>
      </c>
      <c r="K1641" s="23" t="s">
        <v>27</v>
      </c>
      <c r="L1641" s="25">
        <v>42075.89287037037</v>
      </c>
      <c r="M1641" s="28"/>
      <c r="N1641" s="26" t="s">
        <v>3120</v>
      </c>
      <c r="O1641" s="22" t="str">
        <f>HYPERLINK("https://pbs.twimg.com/profile_images/780389007956013056/qMRcXlUp_normal.jpg","View")</f>
        <v>View</v>
      </c>
      <c r="P1641" s="27"/>
    </row>
    <row r="1642">
      <c r="A1642" s="19">
        <v>42710.6577662037</v>
      </c>
      <c r="B1642" s="20" t="str">
        <f>HYPERLINK("https://twitter.com/RguezDamian","@RguezDamian")</f>
        <v>@RguezDamian</v>
      </c>
      <c r="C1642" s="21" t="s">
        <v>3121</v>
      </c>
      <c r="D1642" s="21" t="s">
        <v>3089</v>
      </c>
      <c r="E1642" s="22" t="str">
        <f>HYPERLINK("https://twitter.com/RguezDamian/status/806163083773276160","806163083773276160")</f>
        <v>806163083773276160</v>
      </c>
      <c r="F1642" s="23" t="s">
        <v>41</v>
      </c>
      <c r="G1642" s="24">
        <v>971.0</v>
      </c>
      <c r="H1642" s="24">
        <v>2700.0</v>
      </c>
      <c r="I1642" s="24">
        <v>5.0</v>
      </c>
      <c r="J1642" s="24">
        <v>0.0</v>
      </c>
      <c r="K1642" s="23" t="s">
        <v>27</v>
      </c>
      <c r="L1642" s="25">
        <v>41643.684166666666</v>
      </c>
      <c r="M1642" s="28"/>
      <c r="N1642" s="28"/>
      <c r="O1642" s="22" t="str">
        <f>HYPERLINK("https://pbs.twimg.com/profile_images/424994540911869952/MQLbvuIh_normal.jpeg","View")</f>
        <v>View</v>
      </c>
      <c r="P1642" s="27"/>
    </row>
    <row r="1643">
      <c r="A1643" s="19">
        <v>42710.66046296296</v>
      </c>
      <c r="B1643" s="20" t="str">
        <f>HYPERLINK("https://twitter.com/CarlosSalinasDJ","@CarlosSalinasDJ")</f>
        <v>@CarlosSalinasDJ</v>
      </c>
      <c r="C1643" s="21" t="s">
        <v>3122</v>
      </c>
      <c r="D1643" s="21" t="s">
        <v>3123</v>
      </c>
      <c r="E1643" s="22" t="str">
        <f>HYPERLINK("https://twitter.com/CarlosSalinasDJ/status/806164060983164928","806164060983164928")</f>
        <v>806164060983164928</v>
      </c>
      <c r="F1643" s="23" t="s">
        <v>81</v>
      </c>
      <c r="G1643" s="24">
        <v>1875.0</v>
      </c>
      <c r="H1643" s="24">
        <v>845.0</v>
      </c>
      <c r="I1643" s="24">
        <v>0.0</v>
      </c>
      <c r="J1643" s="24">
        <v>2.0</v>
      </c>
      <c r="K1643" s="23" t="s">
        <v>27</v>
      </c>
      <c r="L1643" s="25">
        <v>40642.772881944446</v>
      </c>
      <c r="M1643" s="26" t="s">
        <v>55</v>
      </c>
      <c r="N1643" s="26" t="s">
        <v>3124</v>
      </c>
      <c r="O1643" s="22" t="str">
        <f>HYPERLINK("https://pbs.twimg.com/profile_images/784363937336848384/QqiFmWxq_normal.jpg","View")</f>
        <v>View</v>
      </c>
      <c r="P1643" s="27" t="str">
        <f t="shared" ref="P1643:P1644" si="183">HYPERLINK("https://ctrlq.org/maps/address/#28.69364977,-14.01468618","Map")</f>
        <v>#ERROR!</v>
      </c>
    </row>
    <row r="1644">
      <c r="A1644" s="19">
        <v>42710.66631944444</v>
      </c>
      <c r="B1644" s="20" t="str">
        <f>HYPERLINK("https://twitter.com/iBydaute","@iBydaute")</f>
        <v>@iBydaute</v>
      </c>
      <c r="C1644" s="21" t="s">
        <v>209</v>
      </c>
      <c r="D1644" s="21" t="s">
        <v>3125</v>
      </c>
      <c r="E1644" s="22" t="str">
        <f>HYPERLINK("https://twitter.com/iBydaute/status/806166184756277248","806166184756277248")</f>
        <v>806166184756277248</v>
      </c>
      <c r="F1644" s="23" t="s">
        <v>81</v>
      </c>
      <c r="G1644" s="24">
        <v>581.0</v>
      </c>
      <c r="H1644" s="24">
        <v>2037.0</v>
      </c>
      <c r="I1644" s="24">
        <v>0.0</v>
      </c>
      <c r="J1644" s="24">
        <v>1.0</v>
      </c>
      <c r="K1644" s="23" t="s">
        <v>27</v>
      </c>
      <c r="L1644" s="25">
        <v>39919.48771990741</v>
      </c>
      <c r="M1644" s="26" t="s">
        <v>211</v>
      </c>
      <c r="N1644" s="26" t="s">
        <v>212</v>
      </c>
      <c r="O1644" s="22" t="str">
        <f>HYPERLINK("https://pbs.twimg.com/profile_images/703743884745187328/qEMih7VE_normal.jpg","View")</f>
        <v>View</v>
      </c>
      <c r="P1644" s="27" t="str">
        <f t="shared" si="183"/>
        <v>#ERROR!</v>
      </c>
    </row>
    <row r="1645">
      <c r="A1645" s="19">
        <v>42710.66935185185</v>
      </c>
      <c r="B1645" s="20" t="str">
        <f>HYPERLINK("https://twitter.com/karl_louis_","@karl_louis_")</f>
        <v>@karl_louis_</v>
      </c>
      <c r="C1645" s="21" t="s">
        <v>3067</v>
      </c>
      <c r="D1645" s="21" t="s">
        <v>3126</v>
      </c>
      <c r="E1645" s="22" t="str">
        <f>HYPERLINK("https://twitter.com/karl_louis_/status/806167280140877824","806167280140877824")</f>
        <v>806167280140877824</v>
      </c>
      <c r="F1645" s="23" t="s">
        <v>81</v>
      </c>
      <c r="G1645" s="24">
        <v>205.0</v>
      </c>
      <c r="H1645" s="24">
        <v>44.0</v>
      </c>
      <c r="I1645" s="24">
        <v>0.0</v>
      </c>
      <c r="J1645" s="24">
        <v>0.0</v>
      </c>
      <c r="K1645" s="23" t="s">
        <v>27</v>
      </c>
      <c r="L1645" s="25">
        <v>42386.65341435185</v>
      </c>
      <c r="M1645" s="28"/>
      <c r="N1645" s="26" t="s">
        <v>3069</v>
      </c>
      <c r="O1645" s="22" t="str">
        <f>HYPERLINK("https://pbs.twimg.com/profile_images/688752497834459136/kDW9yvUQ_normal.jpg","View")</f>
        <v>View</v>
      </c>
      <c r="P1645" s="27"/>
    </row>
    <row r="1646">
      <c r="A1646" s="19">
        <v>42710.67872685185</v>
      </c>
      <c r="B1646" s="20" t="str">
        <f>HYPERLINK("https://twitter.com/travelfree_info","@travelfree_info")</f>
        <v>@travelfree_info</v>
      </c>
      <c r="C1646" s="21" t="s">
        <v>993</v>
      </c>
      <c r="D1646" s="21" t="s">
        <v>3127</v>
      </c>
      <c r="E1646" s="22" t="str">
        <f>HYPERLINK("https://twitter.com/travelfree_info/status/806170678311403521","806170678311403521")</f>
        <v>806170678311403521</v>
      </c>
      <c r="F1646" s="23" t="s">
        <v>59</v>
      </c>
      <c r="G1646" s="24">
        <v>1196.0</v>
      </c>
      <c r="H1646" s="24">
        <v>860.0</v>
      </c>
      <c r="I1646" s="24">
        <v>1.0</v>
      </c>
      <c r="J1646" s="24">
        <v>1.0</v>
      </c>
      <c r="K1646" s="23" t="s">
        <v>27</v>
      </c>
      <c r="L1646" s="25">
        <v>41786.370474537034</v>
      </c>
      <c r="M1646" s="28"/>
      <c r="N1646" s="26" t="s">
        <v>995</v>
      </c>
      <c r="O1646" s="22" t="str">
        <f>HYPERLINK("https://pbs.twimg.com/profile_images/707460356315156482/anFthTiX_normal.jpg","View")</f>
        <v>View</v>
      </c>
      <c r="P1646" s="27"/>
    </row>
    <row r="1647">
      <c r="A1647" s="19">
        <v>42710.683958333335</v>
      </c>
      <c r="B1647" s="20" t="str">
        <f t="shared" ref="B1647:B1649" si="184">HYPERLINK("https://twitter.com/Anabelquime","@Anabelquime")</f>
        <v>@Anabelquime</v>
      </c>
      <c r="C1647" s="21" t="s">
        <v>3128</v>
      </c>
      <c r="D1647" s="21" t="s">
        <v>3129</v>
      </c>
      <c r="E1647" s="22" t="str">
        <f>HYPERLINK("https://twitter.com/Anabelquime/status/806172576091439105","806172576091439105")</f>
        <v>806172576091439105</v>
      </c>
      <c r="F1647" s="23" t="s">
        <v>41</v>
      </c>
      <c r="G1647" s="24">
        <v>128.0</v>
      </c>
      <c r="H1647" s="24">
        <v>276.0</v>
      </c>
      <c r="I1647" s="24">
        <v>6.0</v>
      </c>
      <c r="J1647" s="24">
        <v>0.0</v>
      </c>
      <c r="K1647" s="23" t="s">
        <v>27</v>
      </c>
      <c r="L1647" s="25">
        <v>41618.39753472222</v>
      </c>
      <c r="M1647" s="26" t="s">
        <v>3130</v>
      </c>
      <c r="N1647" s="26" t="s">
        <v>3131</v>
      </c>
      <c r="O1647" s="22" t="str">
        <f t="shared" ref="O1647:O1649" si="185">HYPERLINK("https://pbs.twimg.com/profile_images/723966901026734081/lrvaGt_P_normal.jpg","View")</f>
        <v>View</v>
      </c>
      <c r="P1647" s="27"/>
    </row>
    <row r="1648">
      <c r="A1648" s="19">
        <v>42710.68409722223</v>
      </c>
      <c r="B1648" s="20" t="str">
        <f t="shared" si="184"/>
        <v>@Anabelquime</v>
      </c>
      <c r="C1648" s="21" t="s">
        <v>3128</v>
      </c>
      <c r="D1648" s="21" t="s">
        <v>983</v>
      </c>
      <c r="E1648" s="22" t="str">
        <f>HYPERLINK("https://twitter.com/Anabelquime/status/806172627261882368","806172627261882368")</f>
        <v>806172627261882368</v>
      </c>
      <c r="F1648" s="23" t="s">
        <v>41</v>
      </c>
      <c r="G1648" s="24">
        <v>128.0</v>
      </c>
      <c r="H1648" s="24">
        <v>276.0</v>
      </c>
      <c r="I1648" s="24">
        <v>190.0</v>
      </c>
      <c r="J1648" s="24">
        <v>0.0</v>
      </c>
      <c r="K1648" s="23" t="s">
        <v>27</v>
      </c>
      <c r="L1648" s="25">
        <v>41618.39753472222</v>
      </c>
      <c r="M1648" s="26" t="s">
        <v>3130</v>
      </c>
      <c r="N1648" s="26" t="s">
        <v>3131</v>
      </c>
      <c r="O1648" s="22" t="str">
        <f t="shared" si="185"/>
        <v>View</v>
      </c>
      <c r="P1648" s="27"/>
    </row>
    <row r="1649">
      <c r="A1649" s="19">
        <v>42710.68444444444</v>
      </c>
      <c r="B1649" s="20" t="str">
        <f t="shared" si="184"/>
        <v>@Anabelquime</v>
      </c>
      <c r="C1649" s="21" t="s">
        <v>3128</v>
      </c>
      <c r="D1649" s="21" t="s">
        <v>3132</v>
      </c>
      <c r="E1649" s="22" t="str">
        <f>HYPERLINK("https://twitter.com/Anabelquime/status/806172749358133250","806172749358133250")</f>
        <v>806172749358133250</v>
      </c>
      <c r="F1649" s="23" t="s">
        <v>41</v>
      </c>
      <c r="G1649" s="24">
        <v>128.0</v>
      </c>
      <c r="H1649" s="24">
        <v>276.0</v>
      </c>
      <c r="I1649" s="24">
        <v>5.0</v>
      </c>
      <c r="J1649" s="24">
        <v>0.0</v>
      </c>
      <c r="K1649" s="23" t="s">
        <v>27</v>
      </c>
      <c r="L1649" s="25">
        <v>41618.39753472222</v>
      </c>
      <c r="M1649" s="26" t="s">
        <v>3130</v>
      </c>
      <c r="N1649" s="26" t="s">
        <v>3131</v>
      </c>
      <c r="O1649" s="22" t="str">
        <f t="shared" si="185"/>
        <v>View</v>
      </c>
      <c r="P1649" s="27"/>
    </row>
    <row r="1650">
      <c r="A1650" s="19">
        <v>42710.68609953704</v>
      </c>
      <c r="B1650" s="20" t="str">
        <f>HYPERLINK("https://twitter.com/73Tonymoes","@73Tonymoes")</f>
        <v>@73Tonymoes</v>
      </c>
      <c r="C1650" s="21" t="s">
        <v>3133</v>
      </c>
      <c r="D1650" s="21" t="s">
        <v>1734</v>
      </c>
      <c r="E1650" s="22" t="str">
        <f>HYPERLINK("https://twitter.com/73Tonymoes/status/806173351295283200","806173351295283200")</f>
        <v>806173351295283200</v>
      </c>
      <c r="F1650" s="23" t="s">
        <v>41</v>
      </c>
      <c r="G1650" s="24">
        <v>376.0</v>
      </c>
      <c r="H1650" s="24">
        <v>1728.0</v>
      </c>
      <c r="I1650" s="24">
        <v>38.0</v>
      </c>
      <c r="J1650" s="24">
        <v>0.0</v>
      </c>
      <c r="K1650" s="23" t="s">
        <v>27</v>
      </c>
      <c r="L1650" s="25">
        <v>40723.19662037037</v>
      </c>
      <c r="M1650" s="26" t="s">
        <v>3134</v>
      </c>
      <c r="N1650" s="26" t="s">
        <v>3135</v>
      </c>
      <c r="O1650" s="22" t="str">
        <f>HYPERLINK("https://pbs.twimg.com/profile_images/739234446042267648/yk-lxIZS_normal.jpg","View")</f>
        <v>View</v>
      </c>
      <c r="P1650" s="27"/>
    </row>
    <row r="1651">
      <c r="A1651" s="19">
        <v>42710.68834490741</v>
      </c>
      <c r="B1651" s="20" t="str">
        <f t="shared" ref="B1651:B1652" si="186">HYPERLINK("https://twitter.com/Vega_Guayadeque","@Vega_Guayadeque")</f>
        <v>@Vega_Guayadeque</v>
      </c>
      <c r="C1651" s="21" t="s">
        <v>3136</v>
      </c>
      <c r="D1651" s="21" t="s">
        <v>3137</v>
      </c>
      <c r="E1651" s="22" t="str">
        <f>HYPERLINK("https://twitter.com/Vega_Guayadeque/status/806174166135148544","806174166135148544")</f>
        <v>806174166135148544</v>
      </c>
      <c r="F1651" s="23" t="s">
        <v>81</v>
      </c>
      <c r="G1651" s="24">
        <v>328.0</v>
      </c>
      <c r="H1651" s="24">
        <v>267.0</v>
      </c>
      <c r="I1651" s="24">
        <v>0.0</v>
      </c>
      <c r="J1651" s="24">
        <v>0.0</v>
      </c>
      <c r="K1651" s="23" t="s">
        <v>27</v>
      </c>
      <c r="L1651" s="25">
        <v>42271.83939814815</v>
      </c>
      <c r="M1651" s="26" t="s">
        <v>3138</v>
      </c>
      <c r="N1651" s="26" t="s">
        <v>3139</v>
      </c>
      <c r="O1651" s="22" t="str">
        <f t="shared" ref="O1651:O1652" si="187">HYPERLINK("https://pbs.twimg.com/profile_images/755672765752025088/Bz8Zg7r8_normal.jpg","View")</f>
        <v>View</v>
      </c>
      <c r="P1651" s="27"/>
    </row>
    <row r="1652">
      <c r="A1652" s="19">
        <v>42710.68849537037</v>
      </c>
      <c r="B1652" s="20" t="str">
        <f t="shared" si="186"/>
        <v>@Vega_Guayadeque</v>
      </c>
      <c r="C1652" s="21" t="s">
        <v>3136</v>
      </c>
      <c r="D1652" s="21" t="s">
        <v>3140</v>
      </c>
      <c r="E1652" s="22" t="str">
        <f>HYPERLINK("https://twitter.com/Vega_Guayadeque/status/806174219235004416","806174219235004416")</f>
        <v>806174219235004416</v>
      </c>
      <c r="F1652" s="23" t="s">
        <v>59</v>
      </c>
      <c r="G1652" s="24">
        <v>328.0</v>
      </c>
      <c r="H1652" s="24">
        <v>267.0</v>
      </c>
      <c r="I1652" s="24">
        <v>0.0</v>
      </c>
      <c r="J1652" s="24">
        <v>0.0</v>
      </c>
      <c r="K1652" s="23" t="s">
        <v>27</v>
      </c>
      <c r="L1652" s="25">
        <v>42271.83939814815</v>
      </c>
      <c r="M1652" s="26" t="s">
        <v>3138</v>
      </c>
      <c r="N1652" s="26" t="s">
        <v>3139</v>
      </c>
      <c r="O1652" s="22" t="str">
        <f t="shared" si="187"/>
        <v>View</v>
      </c>
      <c r="P1652" s="27"/>
    </row>
    <row r="1653">
      <c r="A1653" s="19">
        <v>42710.69144675926</v>
      </c>
      <c r="B1653" s="20" t="str">
        <f>HYPERLINK("https://twitter.com/RLGieling","@RLGieling")</f>
        <v>@RLGieling</v>
      </c>
      <c r="C1653" s="21" t="s">
        <v>2303</v>
      </c>
      <c r="D1653" s="21" t="s">
        <v>3141</v>
      </c>
      <c r="E1653" s="22" t="str">
        <f>HYPERLINK("https://twitter.com/RLGieling/status/806175290019946496","806175290019946496")</f>
        <v>806175290019946496</v>
      </c>
      <c r="F1653" s="23" t="s">
        <v>81</v>
      </c>
      <c r="G1653" s="24">
        <v>1478.0</v>
      </c>
      <c r="H1653" s="24">
        <v>1183.0</v>
      </c>
      <c r="I1653" s="24">
        <v>0.0</v>
      </c>
      <c r="J1653" s="24">
        <v>1.0</v>
      </c>
      <c r="K1653" s="23" t="s">
        <v>27</v>
      </c>
      <c r="L1653" s="25">
        <v>40574.452731481484</v>
      </c>
      <c r="M1653" s="26" t="s">
        <v>2305</v>
      </c>
      <c r="N1653" s="26" t="s">
        <v>2306</v>
      </c>
      <c r="O1653" s="22" t="str">
        <f>HYPERLINK("https://pbs.twimg.com/profile_images/739040004022935556/1zrwUw2h_normal.jpg","View")</f>
        <v>View</v>
      </c>
      <c r="P1653" s="27" t="str">
        <f t="shared" ref="P1653:P1654" si="188">HYPERLINK("https://ctrlq.org/maps/address/#28.033333,-15.455556","Map")</f>
        <v>#ERROR!</v>
      </c>
    </row>
    <row r="1654">
      <c r="A1654" s="19">
        <v>42710.69173611111</v>
      </c>
      <c r="B1654" s="20" t="str">
        <f>HYPERLINK("https://twitter.com/jorelcuomo","@jorelcuomo")</f>
        <v>@jorelcuomo</v>
      </c>
      <c r="C1654" s="21" t="s">
        <v>3142</v>
      </c>
      <c r="D1654" s="21" t="s">
        <v>3143</v>
      </c>
      <c r="E1654" s="22" t="str">
        <f>HYPERLINK("https://twitter.com/jorelcuomo/status/806175391706595328","806175391706595328")</f>
        <v>806175391706595328</v>
      </c>
      <c r="F1654" s="23" t="s">
        <v>81</v>
      </c>
      <c r="G1654" s="24">
        <v>54.0</v>
      </c>
      <c r="H1654" s="24">
        <v>80.0</v>
      </c>
      <c r="I1654" s="24">
        <v>0.0</v>
      </c>
      <c r="J1654" s="24">
        <v>0.0</v>
      </c>
      <c r="K1654" s="23" t="s">
        <v>27</v>
      </c>
      <c r="L1654" s="25">
        <v>39895.6765625</v>
      </c>
      <c r="M1654" s="26" t="s">
        <v>3144</v>
      </c>
      <c r="N1654" s="26" t="s">
        <v>3145</v>
      </c>
      <c r="O1654" s="22" t="str">
        <f>HYPERLINK("https://pbs.twimg.com/profile_images/701543434570452993/AjiBu4im_normal.jpg","View")</f>
        <v>View</v>
      </c>
      <c r="P1654" s="27" t="str">
        <f t="shared" si="188"/>
        <v>#ERROR!</v>
      </c>
    </row>
    <row r="1655">
      <c r="A1655" s="19">
        <v>42710.693773148145</v>
      </c>
      <c r="B1655" s="20" t="str">
        <f>HYPERLINK("https://twitter.com/karl_louis_","@karl_louis_")</f>
        <v>@karl_louis_</v>
      </c>
      <c r="C1655" s="21" t="s">
        <v>3067</v>
      </c>
      <c r="D1655" s="21" t="s">
        <v>3146</v>
      </c>
      <c r="E1655" s="22" t="str">
        <f>HYPERLINK("https://twitter.com/karl_louis_/status/806176131909120001","806176131909120001")</f>
        <v>806176131909120001</v>
      </c>
      <c r="F1655" s="23" t="s">
        <v>81</v>
      </c>
      <c r="G1655" s="24">
        <v>205.0</v>
      </c>
      <c r="H1655" s="24">
        <v>44.0</v>
      </c>
      <c r="I1655" s="24">
        <v>0.0</v>
      </c>
      <c r="J1655" s="24">
        <v>0.0</v>
      </c>
      <c r="K1655" s="23" t="s">
        <v>27</v>
      </c>
      <c r="L1655" s="25">
        <v>42386.65341435185</v>
      </c>
      <c r="M1655" s="28"/>
      <c r="N1655" s="26" t="s">
        <v>3069</v>
      </c>
      <c r="O1655" s="22" t="str">
        <f>HYPERLINK("https://pbs.twimg.com/profile_images/688752497834459136/kDW9yvUQ_normal.jpg","View")</f>
        <v>View</v>
      </c>
      <c r="P1655" s="27"/>
    </row>
    <row r="1656">
      <c r="A1656" s="19">
        <v>42710.693819444445</v>
      </c>
      <c r="B1656" s="20" t="str">
        <f>HYPERLINK("https://twitter.com/WhyTenerife","@WhyTenerife")</f>
        <v>@WhyTenerife</v>
      </c>
      <c r="C1656" s="21" t="s">
        <v>3039</v>
      </c>
      <c r="D1656" s="21" t="s">
        <v>3147</v>
      </c>
      <c r="E1656" s="22" t="str">
        <f>HYPERLINK("https://twitter.com/WhyTenerife/status/806176146786287616","806176146786287616")</f>
        <v>806176146786287616</v>
      </c>
      <c r="F1656" s="23" t="s">
        <v>26</v>
      </c>
      <c r="G1656" s="24">
        <v>958.0</v>
      </c>
      <c r="H1656" s="24">
        <v>330.0</v>
      </c>
      <c r="I1656" s="24">
        <v>2.0</v>
      </c>
      <c r="J1656" s="24">
        <v>4.0</v>
      </c>
      <c r="K1656" s="23" t="s">
        <v>27</v>
      </c>
      <c r="L1656" s="25">
        <v>41148.77725694444</v>
      </c>
      <c r="M1656" s="26" t="s">
        <v>301</v>
      </c>
      <c r="N1656" s="26" t="s">
        <v>3041</v>
      </c>
      <c r="O1656" s="22" t="str">
        <f>HYPERLINK("https://pbs.twimg.com/profile_images/3028478382/e0bedb7d8a4a7b62521ecf9d476445ff_normal.png","View")</f>
        <v>View</v>
      </c>
      <c r="P1656" s="27"/>
    </row>
    <row r="1657">
      <c r="A1657" s="19">
        <v>42710.70324074074</v>
      </c>
      <c r="B1657" s="20" t="str">
        <f>HYPERLINK("https://twitter.com/tlgfocus","@tlgfocus")</f>
        <v>@tlgfocus</v>
      </c>
      <c r="C1657" s="21" t="s">
        <v>2101</v>
      </c>
      <c r="D1657" s="21" t="s">
        <v>3148</v>
      </c>
      <c r="E1657" s="22" t="str">
        <f>HYPERLINK("https://twitter.com/tlgfocus/status/806179563524988928","806179563524988928")</f>
        <v>806179563524988928</v>
      </c>
      <c r="F1657" s="23" t="s">
        <v>41</v>
      </c>
      <c r="G1657" s="24">
        <v>639.0</v>
      </c>
      <c r="H1657" s="24">
        <v>1035.0</v>
      </c>
      <c r="I1657" s="24">
        <v>2.0</v>
      </c>
      <c r="J1657" s="24">
        <v>0.0</v>
      </c>
      <c r="K1657" s="23" t="s">
        <v>27</v>
      </c>
      <c r="L1657" s="25">
        <v>42136.56789351851</v>
      </c>
      <c r="M1657" s="26" t="s">
        <v>130</v>
      </c>
      <c r="N1657" s="26" t="s">
        <v>2102</v>
      </c>
      <c r="O1657" s="22" t="str">
        <f>HYPERLINK("https://pbs.twimg.com/profile_images/598112763890823168/Lfk5ONzs_normal.jpg","View")</f>
        <v>View</v>
      </c>
      <c r="P1657" s="27"/>
    </row>
    <row r="1658">
      <c r="A1658" s="19">
        <v>42710.70335648148</v>
      </c>
      <c r="B1658" s="20" t="str">
        <f>HYPERLINK("https://twitter.com/LaPalmaFilm","@LaPalmaFilm")</f>
        <v>@LaPalmaFilm</v>
      </c>
      <c r="C1658" s="21" t="s">
        <v>3149</v>
      </c>
      <c r="D1658" s="21" t="s">
        <v>3148</v>
      </c>
      <c r="E1658" s="22" t="str">
        <f>HYPERLINK("https://twitter.com/LaPalmaFilm/status/806179604578926592","806179604578926592")</f>
        <v>806179604578926592</v>
      </c>
      <c r="F1658" s="23" t="s">
        <v>41</v>
      </c>
      <c r="G1658" s="24">
        <v>906.0</v>
      </c>
      <c r="H1658" s="24">
        <v>1572.0</v>
      </c>
      <c r="I1658" s="24">
        <v>2.0</v>
      </c>
      <c r="J1658" s="24">
        <v>0.0</v>
      </c>
      <c r="K1658" s="23" t="s">
        <v>27</v>
      </c>
      <c r="L1658" s="25">
        <v>42115.4725</v>
      </c>
      <c r="M1658" s="26" t="s">
        <v>3150</v>
      </c>
      <c r="N1658" s="26" t="s">
        <v>3151</v>
      </c>
      <c r="O1658" s="22" t="str">
        <f>HYPERLINK("https://pbs.twimg.com/profile_images/590460795626070016/OSl0w52s_normal.jpg","View")</f>
        <v>View</v>
      </c>
      <c r="P1658" s="27"/>
    </row>
    <row r="1659">
      <c r="A1659" s="19">
        <v>42710.71130787037</v>
      </c>
      <c r="B1659" s="20" t="str">
        <f>HYPERLINK("https://twitter.com/packmytour","@packmytour")</f>
        <v>@packmytour</v>
      </c>
      <c r="C1659" s="21" t="s">
        <v>3152</v>
      </c>
      <c r="D1659" s="21" t="s">
        <v>3153</v>
      </c>
      <c r="E1659" s="22" t="str">
        <f>HYPERLINK("https://twitter.com/packmytour/status/806182487005208576","806182487005208576")</f>
        <v>806182487005208576</v>
      </c>
      <c r="F1659" s="23" t="s">
        <v>37</v>
      </c>
      <c r="G1659" s="24">
        <v>931.0</v>
      </c>
      <c r="H1659" s="24">
        <v>3579.0</v>
      </c>
      <c r="I1659" s="24">
        <v>0.0</v>
      </c>
      <c r="J1659" s="24">
        <v>0.0</v>
      </c>
      <c r="K1659" s="23" t="s">
        <v>27</v>
      </c>
      <c r="L1659" s="25">
        <v>41703.50753472222</v>
      </c>
      <c r="M1659" s="26" t="s">
        <v>810</v>
      </c>
      <c r="N1659" s="26" t="s">
        <v>3154</v>
      </c>
      <c r="O1659" s="22" t="str">
        <f>HYPERLINK("https://pbs.twimg.com/profile_images/785792860159434752/IOmz4E8G_normal.jpg","View")</f>
        <v>View</v>
      </c>
      <c r="P1659" s="27"/>
    </row>
    <row r="1660">
      <c r="A1660" s="19">
        <v>42710.72858796296</v>
      </c>
      <c r="B1660" s="20" t="str">
        <f>HYPERLINK("https://twitter.com/cruisetravelbug","@cruisetravelbug")</f>
        <v>@cruisetravelbug</v>
      </c>
      <c r="C1660" s="21" t="s">
        <v>3155</v>
      </c>
      <c r="D1660" s="21" t="s">
        <v>3156</v>
      </c>
      <c r="E1660" s="22" t="str">
        <f>HYPERLINK("https://twitter.com/cruisetravelbug/status/806188747221893120","806188747221893120")</f>
        <v>806188747221893120</v>
      </c>
      <c r="F1660" s="23" t="s">
        <v>90</v>
      </c>
      <c r="G1660" s="24">
        <v>2069.0</v>
      </c>
      <c r="H1660" s="24">
        <v>2252.0</v>
      </c>
      <c r="I1660" s="24">
        <v>1.0</v>
      </c>
      <c r="J1660" s="24">
        <v>0.0</v>
      </c>
      <c r="K1660" s="23" t="s">
        <v>27</v>
      </c>
      <c r="L1660" s="25">
        <v>41381.11078703704</v>
      </c>
      <c r="M1660" s="26" t="s">
        <v>3157</v>
      </c>
      <c r="N1660" s="26" t="s">
        <v>3158</v>
      </c>
      <c r="O1660" s="22" t="str">
        <f>HYPERLINK("https://pbs.twimg.com/profile_images/3533125080/bce506206c65a90c3d9c5a40d37caf7e_normal.jpeg","View")</f>
        <v>View</v>
      </c>
      <c r="P1660" s="27"/>
    </row>
    <row r="1661">
      <c r="A1661" s="19">
        <v>42710.73265046296</v>
      </c>
      <c r="B1661" s="20" t="str">
        <f>HYPERLINK("https://twitter.com/canariashub","@canariashub")</f>
        <v>@canariashub</v>
      </c>
      <c r="C1661" s="21" t="s">
        <v>2023</v>
      </c>
      <c r="D1661" s="21" t="s">
        <v>3159</v>
      </c>
      <c r="E1661" s="22" t="str">
        <f>HYPERLINK("https://twitter.com/canariashub/status/806190220899139584","806190220899139584")</f>
        <v>806190220899139584</v>
      </c>
      <c r="F1661" s="23" t="s">
        <v>37</v>
      </c>
      <c r="G1661" s="24">
        <v>1151.0</v>
      </c>
      <c r="H1661" s="24">
        <v>1897.0</v>
      </c>
      <c r="I1661" s="24">
        <v>1.0</v>
      </c>
      <c r="J1661" s="24">
        <v>0.0</v>
      </c>
      <c r="K1661" s="23" t="s">
        <v>27</v>
      </c>
      <c r="L1661" s="25">
        <v>41950.58988425926</v>
      </c>
      <c r="M1661" s="26" t="s">
        <v>168</v>
      </c>
      <c r="N1661" s="26" t="s">
        <v>2025</v>
      </c>
      <c r="O1661" s="22" t="str">
        <f>HYPERLINK("https://pbs.twimg.com/profile_images/530724422085132288/a6DCavsq_normal.png","View")</f>
        <v>View</v>
      </c>
      <c r="P1661" s="27"/>
    </row>
    <row r="1662">
      <c r="A1662" s="19">
        <v>42710.73642361111</v>
      </c>
      <c r="B1662" s="20" t="str">
        <f>HYPERLINK("https://twitter.com/WhyTenerife","@WhyTenerife")</f>
        <v>@WhyTenerife</v>
      </c>
      <c r="C1662" s="21" t="s">
        <v>3039</v>
      </c>
      <c r="D1662" s="21" t="s">
        <v>3160</v>
      </c>
      <c r="E1662" s="22" t="str">
        <f>HYPERLINK("https://twitter.com/WhyTenerife/status/806191586564567042","806191586564567042")</f>
        <v>806191586564567042</v>
      </c>
      <c r="F1662" s="23" t="s">
        <v>26</v>
      </c>
      <c r="G1662" s="24">
        <v>958.0</v>
      </c>
      <c r="H1662" s="24">
        <v>330.0</v>
      </c>
      <c r="I1662" s="24">
        <v>1.0</v>
      </c>
      <c r="J1662" s="24">
        <v>0.0</v>
      </c>
      <c r="K1662" s="23" t="s">
        <v>27</v>
      </c>
      <c r="L1662" s="25">
        <v>41148.77725694444</v>
      </c>
      <c r="M1662" s="26" t="s">
        <v>301</v>
      </c>
      <c r="N1662" s="26" t="s">
        <v>3041</v>
      </c>
      <c r="O1662" s="22" t="str">
        <f>HYPERLINK("https://pbs.twimg.com/profile_images/3028478382/e0bedb7d8a4a7b62521ecf9d476445ff_normal.png","View")</f>
        <v>View</v>
      </c>
      <c r="P1662" s="27"/>
    </row>
    <row r="1663">
      <c r="A1663" s="19">
        <v>42710.740694444445</v>
      </c>
      <c r="B1663" s="20" t="str">
        <f>HYPERLINK("https://twitter.com/BreAnnaCamille","@BreAnnaCamille")</f>
        <v>@BreAnnaCamille</v>
      </c>
      <c r="C1663" s="21" t="s">
        <v>3161</v>
      </c>
      <c r="D1663" s="21" t="s">
        <v>3162</v>
      </c>
      <c r="E1663" s="22" t="str">
        <f>HYPERLINK("https://twitter.com/BreAnnaCamille/status/806193137043521536","806193137043521536")</f>
        <v>806193137043521536</v>
      </c>
      <c r="F1663" s="23" t="s">
        <v>81</v>
      </c>
      <c r="G1663" s="24">
        <v>862.0</v>
      </c>
      <c r="H1663" s="24">
        <v>1939.0</v>
      </c>
      <c r="I1663" s="24">
        <v>0.0</v>
      </c>
      <c r="J1663" s="24">
        <v>0.0</v>
      </c>
      <c r="K1663" s="23" t="s">
        <v>27</v>
      </c>
      <c r="L1663" s="25">
        <v>40155.91646990741</v>
      </c>
      <c r="M1663" s="26" t="s">
        <v>3163</v>
      </c>
      <c r="N1663" s="26" t="s">
        <v>3164</v>
      </c>
      <c r="O1663" s="22" t="str">
        <f>HYPERLINK("https://pbs.twimg.com/profile_images/699547503235043329/HFgEMr4-_normal.jpg","View")</f>
        <v>View</v>
      </c>
      <c r="P1663" s="27"/>
    </row>
    <row r="1664">
      <c r="A1664" s="33"/>
      <c r="B1664" s="34"/>
      <c r="C1664" s="34"/>
      <c r="D1664" s="34"/>
      <c r="E1664" s="27"/>
      <c r="F1664" s="27"/>
      <c r="G1664" s="27"/>
      <c r="H1664" s="27"/>
      <c r="I1664" s="27"/>
      <c r="J1664" s="27"/>
      <c r="K1664" s="27"/>
      <c r="L1664" s="27"/>
      <c r="M1664" s="28"/>
      <c r="N1664" s="28"/>
      <c r="O1664" s="27"/>
      <c r="P1664" s="27"/>
    </row>
    <row r="1665">
      <c r="A1665" s="33"/>
      <c r="B1665" s="34"/>
      <c r="C1665" s="34"/>
      <c r="D1665" s="34"/>
      <c r="E1665" s="27"/>
      <c r="F1665" s="27"/>
      <c r="G1665" s="27"/>
      <c r="H1665" s="27"/>
      <c r="I1665" s="27"/>
      <c r="J1665" s="27"/>
      <c r="K1665" s="27"/>
      <c r="L1665" s="27"/>
      <c r="M1665" s="28"/>
      <c r="N1665" s="28"/>
      <c r="O1665" s="27"/>
      <c r="P1665" s="27"/>
    </row>
    <row r="1666">
      <c r="A1666" s="33"/>
      <c r="B1666" s="34"/>
      <c r="C1666" s="34"/>
      <c r="D1666" s="35"/>
      <c r="E1666" s="27"/>
      <c r="F1666" s="27"/>
      <c r="G1666" s="27"/>
      <c r="H1666" s="27"/>
      <c r="I1666" s="27"/>
      <c r="J1666" s="27"/>
      <c r="K1666" s="27"/>
      <c r="L1666" s="27"/>
      <c r="M1666" s="28"/>
      <c r="N1666" s="28"/>
      <c r="O1666" s="27"/>
      <c r="P1666" s="27"/>
    </row>
    <row r="1667">
      <c r="A1667" s="33"/>
      <c r="B1667" s="34"/>
      <c r="C1667" s="34"/>
      <c r="D1667" s="34"/>
      <c r="E1667" s="27"/>
      <c r="F1667" s="27"/>
      <c r="G1667" s="27"/>
      <c r="H1667" s="27"/>
      <c r="I1667" s="27"/>
      <c r="J1667" s="27"/>
      <c r="K1667" s="27"/>
      <c r="L1667" s="27"/>
      <c r="M1667" s="28"/>
      <c r="N1667" s="28"/>
      <c r="O1667" s="27"/>
      <c r="P1667" s="27"/>
    </row>
    <row r="1668">
      <c r="A1668" s="33"/>
      <c r="B1668" s="34"/>
      <c r="C1668" s="34"/>
      <c r="D1668" s="34"/>
      <c r="E1668" s="27"/>
      <c r="F1668" s="27"/>
      <c r="G1668" s="27"/>
      <c r="H1668" s="27"/>
      <c r="I1668" s="27"/>
      <c r="J1668" s="27"/>
      <c r="K1668" s="27"/>
      <c r="L1668" s="27"/>
      <c r="M1668" s="28"/>
      <c r="N1668" s="28"/>
      <c r="O1668" s="27"/>
      <c r="P1668" s="27"/>
    </row>
    <row r="1669">
      <c r="A1669" s="33"/>
      <c r="B1669" s="34"/>
      <c r="C1669" s="34"/>
      <c r="D1669" s="34"/>
      <c r="E1669" s="27"/>
      <c r="F1669" s="27"/>
      <c r="G1669" s="27"/>
      <c r="H1669" s="27"/>
      <c r="I1669" s="27"/>
      <c r="J1669" s="27"/>
      <c r="K1669" s="27"/>
      <c r="L1669" s="27"/>
      <c r="M1669" s="28"/>
      <c r="N1669" s="28"/>
      <c r="O1669" s="27"/>
      <c r="P1669" s="27"/>
    </row>
    <row r="1670">
      <c r="A1670" s="33"/>
      <c r="B1670" s="34"/>
      <c r="C1670" s="34"/>
      <c r="D1670" s="34"/>
      <c r="E1670" s="27"/>
      <c r="F1670" s="27"/>
      <c r="G1670" s="27"/>
      <c r="H1670" s="27"/>
      <c r="I1670" s="27"/>
      <c r="J1670" s="27"/>
      <c r="K1670" s="27"/>
      <c r="L1670" s="27"/>
      <c r="M1670" s="28"/>
      <c r="N1670" s="28"/>
      <c r="O1670" s="27"/>
      <c r="P1670" s="27"/>
    </row>
    <row r="1671">
      <c r="A1671" s="33"/>
      <c r="B1671" s="34"/>
      <c r="C1671" s="34"/>
      <c r="D1671" s="34"/>
      <c r="E1671" s="27"/>
      <c r="F1671" s="27"/>
      <c r="G1671" s="27"/>
      <c r="H1671" s="27"/>
      <c r="I1671" s="27"/>
      <c r="J1671" s="27"/>
      <c r="K1671" s="27"/>
      <c r="L1671" s="27"/>
      <c r="M1671" s="28"/>
      <c r="N1671" s="28"/>
      <c r="O1671" s="27"/>
      <c r="P1671" s="27"/>
    </row>
    <row r="1672">
      <c r="A1672" s="33"/>
      <c r="B1672" s="34"/>
      <c r="C1672" s="34"/>
      <c r="D1672" s="34"/>
      <c r="E1672" s="27"/>
      <c r="F1672" s="27"/>
      <c r="G1672" s="27"/>
      <c r="H1672" s="27"/>
      <c r="I1672" s="27"/>
      <c r="J1672" s="27"/>
      <c r="K1672" s="27"/>
      <c r="L1672" s="27"/>
      <c r="M1672" s="28"/>
      <c r="N1672" s="28"/>
      <c r="O1672" s="27"/>
      <c r="P1672" s="27"/>
    </row>
    <row r="1673">
      <c r="A1673" s="33"/>
      <c r="B1673" s="34"/>
      <c r="C1673" s="34"/>
      <c r="D1673" s="34"/>
      <c r="E1673" s="27"/>
      <c r="F1673" s="27"/>
      <c r="G1673" s="27"/>
      <c r="H1673" s="27"/>
      <c r="I1673" s="27"/>
      <c r="J1673" s="27"/>
      <c r="K1673" s="27"/>
      <c r="L1673" s="27"/>
      <c r="M1673" s="28"/>
      <c r="N1673" s="28"/>
      <c r="O1673" s="27"/>
      <c r="P1673" s="27"/>
    </row>
    <row r="1674">
      <c r="A1674" s="33"/>
      <c r="B1674" s="34"/>
      <c r="C1674" s="34"/>
      <c r="D1674" s="34"/>
      <c r="E1674" s="27"/>
      <c r="F1674" s="27"/>
      <c r="G1674" s="27"/>
      <c r="H1674" s="27"/>
      <c r="I1674" s="27"/>
      <c r="J1674" s="27"/>
      <c r="K1674" s="27"/>
      <c r="L1674" s="27"/>
      <c r="M1674" s="28"/>
      <c r="N1674" s="28"/>
      <c r="O1674" s="27"/>
      <c r="P1674" s="27"/>
    </row>
    <row r="1675">
      <c r="A1675" s="33"/>
      <c r="B1675" s="34"/>
      <c r="C1675" s="34"/>
      <c r="D1675" s="34"/>
      <c r="E1675" s="27"/>
      <c r="F1675" s="27"/>
      <c r="G1675" s="27"/>
      <c r="H1675" s="27"/>
      <c r="I1675" s="27"/>
      <c r="J1675" s="27"/>
      <c r="K1675" s="27"/>
      <c r="L1675" s="27"/>
      <c r="M1675" s="28"/>
      <c r="N1675" s="28"/>
      <c r="O1675" s="27"/>
      <c r="P1675" s="27"/>
    </row>
    <row r="1676">
      <c r="A1676" s="33"/>
      <c r="B1676" s="34"/>
      <c r="C1676" s="34"/>
      <c r="D1676" s="34"/>
      <c r="E1676" s="27"/>
      <c r="F1676" s="27"/>
      <c r="G1676" s="27"/>
      <c r="H1676" s="27"/>
      <c r="I1676" s="27"/>
      <c r="J1676" s="27"/>
      <c r="K1676" s="27"/>
      <c r="L1676" s="27"/>
      <c r="M1676" s="28"/>
      <c r="N1676" s="28"/>
      <c r="O1676" s="27"/>
      <c r="P1676" s="27"/>
    </row>
    <row r="1677">
      <c r="A1677" s="33"/>
      <c r="B1677" s="34"/>
      <c r="C1677" s="34"/>
      <c r="D1677" s="34"/>
      <c r="E1677" s="27"/>
      <c r="F1677" s="27"/>
      <c r="G1677" s="27"/>
      <c r="H1677" s="27"/>
      <c r="I1677" s="27"/>
      <c r="J1677" s="27"/>
      <c r="K1677" s="27"/>
      <c r="L1677" s="27"/>
      <c r="M1677" s="28"/>
      <c r="N1677" s="28"/>
      <c r="O1677" s="27"/>
      <c r="P1677" s="27"/>
    </row>
    <row r="1678">
      <c r="A1678" s="33"/>
      <c r="B1678" s="34"/>
      <c r="C1678" s="34"/>
      <c r="D1678" s="34"/>
      <c r="E1678" s="27"/>
      <c r="F1678" s="27"/>
      <c r="G1678" s="27"/>
      <c r="H1678" s="27"/>
      <c r="I1678" s="27"/>
      <c r="J1678" s="27"/>
      <c r="K1678" s="27"/>
      <c r="L1678" s="27"/>
      <c r="M1678" s="28"/>
      <c r="N1678" s="28"/>
      <c r="O1678" s="27"/>
      <c r="P1678" s="27"/>
    </row>
    <row r="1679">
      <c r="A1679" s="33"/>
      <c r="B1679" s="34"/>
      <c r="C1679" s="34"/>
      <c r="D1679" s="34"/>
      <c r="E1679" s="27"/>
      <c r="F1679" s="27"/>
      <c r="G1679" s="27"/>
      <c r="H1679" s="27"/>
      <c r="I1679" s="27"/>
      <c r="J1679" s="27"/>
      <c r="K1679" s="27"/>
      <c r="L1679" s="27"/>
      <c r="M1679" s="28"/>
      <c r="N1679" s="28"/>
      <c r="O1679" s="27"/>
      <c r="P1679" s="27"/>
    </row>
    <row r="1680">
      <c r="A1680" s="33"/>
      <c r="B1680" s="34"/>
      <c r="C1680" s="34"/>
      <c r="D1680" s="34"/>
      <c r="E1680" s="27"/>
      <c r="F1680" s="27"/>
      <c r="G1680" s="27"/>
      <c r="H1680" s="27"/>
      <c r="I1680" s="27"/>
      <c r="J1680" s="27"/>
      <c r="K1680" s="27"/>
      <c r="L1680" s="27"/>
      <c r="M1680" s="28"/>
      <c r="N1680" s="28"/>
      <c r="O1680" s="27"/>
      <c r="P1680" s="27"/>
    </row>
    <row r="1681">
      <c r="A1681" s="33"/>
      <c r="B1681" s="34"/>
      <c r="C1681" s="34"/>
      <c r="D1681" s="34"/>
      <c r="E1681" s="27"/>
      <c r="F1681" s="27"/>
      <c r="G1681" s="27"/>
      <c r="H1681" s="27"/>
      <c r="I1681" s="27"/>
      <c r="J1681" s="27"/>
      <c r="K1681" s="27"/>
      <c r="L1681" s="27"/>
      <c r="M1681" s="28"/>
      <c r="N1681" s="28"/>
      <c r="O1681" s="27"/>
      <c r="P1681" s="27"/>
    </row>
    <row r="1682">
      <c r="A1682" s="33"/>
      <c r="B1682" s="34"/>
      <c r="C1682" s="34"/>
      <c r="D1682" s="34"/>
      <c r="E1682" s="27"/>
      <c r="F1682" s="27"/>
      <c r="G1682" s="27"/>
      <c r="H1682" s="27"/>
      <c r="I1682" s="27"/>
      <c r="J1682" s="27"/>
      <c r="K1682" s="27"/>
      <c r="L1682" s="27"/>
      <c r="M1682" s="28"/>
      <c r="N1682" s="28"/>
      <c r="O1682" s="27"/>
      <c r="P1682" s="27"/>
    </row>
    <row r="1683">
      <c r="A1683" s="33"/>
      <c r="B1683" s="34"/>
      <c r="C1683" s="34"/>
      <c r="D1683" s="34"/>
      <c r="E1683" s="27"/>
      <c r="F1683" s="27"/>
      <c r="G1683" s="27"/>
      <c r="H1683" s="27"/>
      <c r="I1683" s="27"/>
      <c r="J1683" s="27"/>
      <c r="K1683" s="27"/>
      <c r="L1683" s="27"/>
      <c r="M1683" s="28"/>
      <c r="N1683" s="28"/>
      <c r="O1683" s="27"/>
      <c r="P1683" s="27"/>
    </row>
    <row r="1684">
      <c r="A1684" s="33"/>
      <c r="B1684" s="34"/>
      <c r="C1684" s="34"/>
      <c r="D1684" s="34"/>
      <c r="E1684" s="27"/>
      <c r="F1684" s="27"/>
      <c r="G1684" s="27"/>
      <c r="H1684" s="27"/>
      <c r="I1684" s="27"/>
      <c r="J1684" s="27"/>
      <c r="K1684" s="27"/>
      <c r="L1684" s="27"/>
      <c r="M1684" s="28"/>
      <c r="N1684" s="28"/>
      <c r="O1684" s="27"/>
      <c r="P1684" s="27"/>
    </row>
    <row r="1685">
      <c r="A1685" s="33"/>
      <c r="B1685" s="34"/>
      <c r="C1685" s="34"/>
      <c r="D1685" s="34"/>
      <c r="E1685" s="27"/>
      <c r="F1685" s="27"/>
      <c r="G1685" s="27"/>
      <c r="H1685" s="27"/>
      <c r="I1685" s="27"/>
      <c r="J1685" s="27"/>
      <c r="K1685" s="27"/>
      <c r="L1685" s="27"/>
      <c r="M1685" s="28"/>
      <c r="N1685" s="28"/>
      <c r="O1685" s="27"/>
      <c r="P1685" s="27"/>
    </row>
    <row r="1686">
      <c r="A1686" s="33"/>
      <c r="B1686" s="34"/>
      <c r="C1686" s="34"/>
      <c r="D1686" s="34"/>
      <c r="E1686" s="27"/>
      <c r="F1686" s="27"/>
      <c r="G1686" s="27"/>
      <c r="H1686" s="27"/>
      <c r="I1686" s="27"/>
      <c r="J1686" s="27"/>
      <c r="K1686" s="27"/>
      <c r="L1686" s="27"/>
      <c r="M1686" s="28"/>
      <c r="N1686" s="28"/>
      <c r="O1686" s="27"/>
      <c r="P1686" s="27"/>
    </row>
    <row r="1687">
      <c r="A1687" s="33"/>
      <c r="B1687" s="34"/>
      <c r="C1687" s="34"/>
      <c r="D1687" s="34"/>
      <c r="E1687" s="27"/>
      <c r="F1687" s="27"/>
      <c r="G1687" s="27"/>
      <c r="H1687" s="27"/>
      <c r="I1687" s="27"/>
      <c r="J1687" s="27"/>
      <c r="K1687" s="27"/>
      <c r="L1687" s="27"/>
      <c r="M1687" s="28"/>
      <c r="N1687" s="28"/>
      <c r="O1687" s="27"/>
      <c r="P1687" s="27"/>
    </row>
    <row r="1688">
      <c r="A1688" s="33"/>
      <c r="B1688" s="34"/>
      <c r="C1688" s="34"/>
      <c r="D1688" s="34"/>
      <c r="E1688" s="27"/>
      <c r="F1688" s="27"/>
      <c r="G1688" s="27"/>
      <c r="H1688" s="27"/>
      <c r="I1688" s="27"/>
      <c r="J1688" s="27"/>
      <c r="K1688" s="27"/>
      <c r="L1688" s="27"/>
      <c r="M1688" s="28"/>
      <c r="N1688" s="28"/>
      <c r="O1688" s="27"/>
      <c r="P1688" s="27"/>
    </row>
    <row r="1689">
      <c r="A1689" s="33"/>
      <c r="B1689" s="34"/>
      <c r="C1689" s="34"/>
      <c r="D1689" s="34"/>
      <c r="E1689" s="27"/>
      <c r="F1689" s="27"/>
      <c r="G1689" s="27"/>
      <c r="H1689" s="27"/>
      <c r="I1689" s="27"/>
      <c r="J1689" s="27"/>
      <c r="K1689" s="27"/>
      <c r="L1689" s="27"/>
      <c r="M1689" s="28"/>
      <c r="N1689" s="28"/>
      <c r="O1689" s="27"/>
      <c r="P1689" s="27"/>
    </row>
    <row r="1690">
      <c r="A1690" s="33"/>
      <c r="B1690" s="34"/>
      <c r="C1690" s="34"/>
      <c r="D1690" s="34"/>
      <c r="E1690" s="27"/>
      <c r="F1690" s="27"/>
      <c r="G1690" s="27"/>
      <c r="H1690" s="27"/>
      <c r="I1690" s="27"/>
      <c r="J1690" s="27"/>
      <c r="K1690" s="27"/>
      <c r="L1690" s="27"/>
      <c r="M1690" s="28"/>
      <c r="N1690" s="28"/>
      <c r="O1690" s="27"/>
      <c r="P1690" s="27"/>
    </row>
    <row r="1691">
      <c r="A1691" s="33"/>
      <c r="B1691" s="34"/>
      <c r="C1691" s="34"/>
      <c r="D1691" s="34"/>
      <c r="E1691" s="27"/>
      <c r="F1691" s="27"/>
      <c r="G1691" s="27"/>
      <c r="H1691" s="27"/>
      <c r="I1691" s="27"/>
      <c r="J1691" s="27"/>
      <c r="K1691" s="27"/>
      <c r="L1691" s="27"/>
      <c r="M1691" s="28"/>
      <c r="N1691" s="28"/>
      <c r="O1691" s="27"/>
      <c r="P1691" s="27"/>
    </row>
    <row r="1692">
      <c r="A1692" s="33"/>
      <c r="B1692" s="34"/>
      <c r="C1692" s="34"/>
      <c r="D1692" s="34"/>
      <c r="E1692" s="27"/>
      <c r="F1692" s="27"/>
      <c r="G1692" s="27"/>
      <c r="H1692" s="27"/>
      <c r="I1692" s="27"/>
      <c r="J1692" s="27"/>
      <c r="K1692" s="27"/>
      <c r="L1692" s="27"/>
      <c r="M1692" s="28"/>
      <c r="N1692" s="28"/>
      <c r="O1692" s="27"/>
      <c r="P1692" s="27"/>
    </row>
    <row r="1693">
      <c r="A1693" s="33"/>
      <c r="B1693" s="34"/>
      <c r="C1693" s="34"/>
      <c r="D1693" s="34"/>
      <c r="E1693" s="27"/>
      <c r="F1693" s="27"/>
      <c r="G1693" s="27"/>
      <c r="H1693" s="27"/>
      <c r="I1693" s="27"/>
      <c r="J1693" s="27"/>
      <c r="K1693" s="27"/>
      <c r="L1693" s="27"/>
      <c r="M1693" s="28"/>
      <c r="N1693" s="28"/>
      <c r="O1693" s="27"/>
      <c r="P1693" s="27"/>
    </row>
    <row r="1694">
      <c r="A1694" s="33"/>
      <c r="B1694" s="34"/>
      <c r="C1694" s="34"/>
      <c r="D1694" s="34"/>
      <c r="E1694" s="27"/>
      <c r="F1694" s="27"/>
      <c r="G1694" s="27"/>
      <c r="H1694" s="27"/>
      <c r="I1694" s="27"/>
      <c r="J1694" s="27"/>
      <c r="K1694" s="27"/>
      <c r="L1694" s="27"/>
      <c r="M1694" s="28"/>
      <c r="N1694" s="28"/>
      <c r="O1694" s="27"/>
      <c r="P1694" s="27"/>
    </row>
    <row r="1695">
      <c r="A1695" s="33"/>
      <c r="B1695" s="34"/>
      <c r="C1695" s="34"/>
      <c r="D1695" s="34"/>
      <c r="E1695" s="27"/>
      <c r="F1695" s="27"/>
      <c r="G1695" s="27"/>
      <c r="H1695" s="27"/>
      <c r="I1695" s="27"/>
      <c r="J1695" s="27"/>
      <c r="K1695" s="27"/>
      <c r="L1695" s="27"/>
      <c r="M1695" s="28"/>
      <c r="N1695" s="28"/>
      <c r="O1695" s="27"/>
      <c r="P1695" s="27"/>
    </row>
    <row r="1696">
      <c r="A1696" s="33"/>
      <c r="B1696" s="34"/>
      <c r="C1696" s="34"/>
      <c r="D1696" s="34"/>
      <c r="E1696" s="27"/>
      <c r="F1696" s="27"/>
      <c r="G1696" s="27"/>
      <c r="H1696" s="27"/>
      <c r="I1696" s="27"/>
      <c r="J1696" s="27"/>
      <c r="K1696" s="27"/>
      <c r="L1696" s="27"/>
      <c r="M1696" s="28"/>
      <c r="N1696" s="28"/>
      <c r="O1696" s="27"/>
      <c r="P1696" s="27"/>
    </row>
    <row r="1697">
      <c r="A1697" s="33"/>
      <c r="B1697" s="34"/>
      <c r="C1697" s="34"/>
      <c r="D1697" s="34"/>
      <c r="E1697" s="27"/>
      <c r="F1697" s="27"/>
      <c r="G1697" s="27"/>
      <c r="H1697" s="27"/>
      <c r="I1697" s="27"/>
      <c r="J1697" s="27"/>
      <c r="K1697" s="27"/>
      <c r="L1697" s="27"/>
      <c r="M1697" s="28"/>
      <c r="N1697" s="28"/>
      <c r="O1697" s="27"/>
      <c r="P1697" s="27"/>
    </row>
    <row r="1698">
      <c r="A1698" s="33"/>
      <c r="B1698" s="34"/>
      <c r="C1698" s="34"/>
      <c r="D1698" s="34"/>
      <c r="E1698" s="27"/>
      <c r="F1698" s="27"/>
      <c r="G1698" s="27"/>
      <c r="H1698" s="27"/>
      <c r="I1698" s="27"/>
      <c r="J1698" s="27"/>
      <c r="K1698" s="27"/>
      <c r="L1698" s="27"/>
      <c r="M1698" s="28"/>
      <c r="N1698" s="28"/>
      <c r="O1698" s="27"/>
      <c r="P1698" s="27"/>
    </row>
    <row r="1699">
      <c r="A1699" s="33"/>
      <c r="B1699" s="34"/>
      <c r="C1699" s="34"/>
      <c r="D1699" s="34"/>
      <c r="E1699" s="27"/>
      <c r="F1699" s="27"/>
      <c r="G1699" s="27"/>
      <c r="H1699" s="27"/>
      <c r="I1699" s="27"/>
      <c r="J1699" s="27"/>
      <c r="K1699" s="27"/>
      <c r="L1699" s="27"/>
      <c r="M1699" s="28"/>
      <c r="N1699" s="28"/>
      <c r="O1699" s="27"/>
      <c r="P1699" s="27"/>
    </row>
    <row r="1700">
      <c r="A1700" s="33"/>
      <c r="B1700" s="34"/>
      <c r="C1700" s="34"/>
      <c r="D1700" s="34"/>
      <c r="E1700" s="27"/>
      <c r="F1700" s="27"/>
      <c r="G1700" s="27"/>
      <c r="H1700" s="27"/>
      <c r="I1700" s="27"/>
      <c r="J1700" s="27"/>
      <c r="K1700" s="27"/>
      <c r="L1700" s="27"/>
      <c r="M1700" s="28"/>
      <c r="N1700" s="28"/>
      <c r="O1700" s="27"/>
      <c r="P1700" s="27"/>
    </row>
    <row r="1701">
      <c r="A1701" s="33"/>
      <c r="B1701" s="34"/>
      <c r="C1701" s="34"/>
      <c r="D1701" s="34"/>
      <c r="E1701" s="27"/>
      <c r="F1701" s="27"/>
      <c r="G1701" s="27"/>
      <c r="H1701" s="27"/>
      <c r="I1701" s="27"/>
      <c r="J1701" s="27"/>
      <c r="K1701" s="27"/>
      <c r="L1701" s="27"/>
      <c r="M1701" s="28"/>
      <c r="N1701" s="28"/>
      <c r="O1701" s="27"/>
      <c r="P1701" s="27"/>
    </row>
    <row r="1702">
      <c r="A1702" s="33"/>
      <c r="B1702" s="34"/>
      <c r="C1702" s="34"/>
      <c r="D1702" s="34"/>
      <c r="E1702" s="27"/>
      <c r="F1702" s="27"/>
      <c r="G1702" s="27"/>
      <c r="H1702" s="27"/>
      <c r="I1702" s="27"/>
      <c r="J1702" s="27"/>
      <c r="K1702" s="27"/>
      <c r="L1702" s="27"/>
      <c r="M1702" s="28"/>
      <c r="N1702" s="28"/>
      <c r="O1702" s="27"/>
      <c r="P1702" s="27"/>
    </row>
    <row r="1703">
      <c r="A1703" s="33"/>
      <c r="B1703" s="34"/>
      <c r="C1703" s="34"/>
      <c r="D1703" s="34"/>
      <c r="E1703" s="27"/>
      <c r="F1703" s="27"/>
      <c r="G1703" s="27"/>
      <c r="H1703" s="27"/>
      <c r="I1703" s="27"/>
      <c r="J1703" s="27"/>
      <c r="K1703" s="27"/>
      <c r="L1703" s="27"/>
      <c r="M1703" s="28"/>
      <c r="N1703" s="28"/>
      <c r="O1703" s="27"/>
      <c r="P1703" s="27"/>
    </row>
    <row r="1704">
      <c r="A1704" s="33"/>
      <c r="B1704" s="34"/>
      <c r="C1704" s="34"/>
      <c r="D1704" s="34"/>
      <c r="E1704" s="27"/>
      <c r="F1704" s="27"/>
      <c r="G1704" s="27"/>
      <c r="H1704" s="27"/>
      <c r="I1704" s="27"/>
      <c r="J1704" s="27"/>
      <c r="K1704" s="27"/>
      <c r="L1704" s="27"/>
      <c r="M1704" s="28"/>
      <c r="N1704" s="28"/>
      <c r="O1704" s="27"/>
      <c r="P1704" s="27"/>
    </row>
    <row r="1705">
      <c r="A1705" s="33"/>
      <c r="B1705" s="34"/>
      <c r="C1705" s="34"/>
      <c r="D1705" s="34"/>
      <c r="E1705" s="27"/>
      <c r="F1705" s="27"/>
      <c r="G1705" s="27"/>
      <c r="H1705" s="27"/>
      <c r="I1705" s="27"/>
      <c r="J1705" s="27"/>
      <c r="K1705" s="27"/>
      <c r="L1705" s="27"/>
      <c r="M1705" s="28"/>
      <c r="N1705" s="28"/>
      <c r="O1705" s="27"/>
      <c r="P1705" s="27"/>
    </row>
    <row r="1706">
      <c r="A1706" s="33"/>
      <c r="B1706" s="34"/>
      <c r="C1706" s="34"/>
      <c r="D1706" s="34"/>
      <c r="E1706" s="27"/>
      <c r="F1706" s="27"/>
      <c r="G1706" s="27"/>
      <c r="H1706" s="27"/>
      <c r="I1706" s="27"/>
      <c r="J1706" s="27"/>
      <c r="K1706" s="27"/>
      <c r="L1706" s="27"/>
      <c r="M1706" s="28"/>
      <c r="N1706" s="28"/>
      <c r="O1706" s="27"/>
      <c r="P1706" s="27"/>
    </row>
    <row r="1707">
      <c r="A1707" s="33"/>
      <c r="B1707" s="34"/>
      <c r="C1707" s="34"/>
      <c r="D1707" s="34"/>
      <c r="E1707" s="27"/>
      <c r="F1707" s="27"/>
      <c r="G1707" s="27"/>
      <c r="H1707" s="27"/>
      <c r="I1707" s="27"/>
      <c r="J1707" s="27"/>
      <c r="K1707" s="27"/>
      <c r="L1707" s="27"/>
      <c r="M1707" s="28"/>
      <c r="N1707" s="28"/>
      <c r="O1707" s="27"/>
      <c r="P1707" s="27"/>
    </row>
    <row r="1708">
      <c r="A1708" s="33"/>
      <c r="B1708" s="34"/>
      <c r="C1708" s="34"/>
      <c r="D1708" s="34"/>
      <c r="E1708" s="27"/>
      <c r="F1708" s="27"/>
      <c r="G1708" s="27"/>
      <c r="H1708" s="27"/>
      <c r="I1708" s="27"/>
      <c r="J1708" s="27"/>
      <c r="K1708" s="27"/>
      <c r="L1708" s="27"/>
      <c r="M1708" s="28"/>
      <c r="N1708" s="28"/>
      <c r="O1708" s="27"/>
      <c r="P1708" s="27"/>
    </row>
    <row r="1709">
      <c r="A1709" s="33"/>
      <c r="B1709" s="34"/>
      <c r="C1709" s="34"/>
      <c r="D1709" s="34"/>
      <c r="E1709" s="27"/>
      <c r="F1709" s="27"/>
      <c r="G1709" s="27"/>
      <c r="H1709" s="27"/>
      <c r="I1709" s="27"/>
      <c r="J1709" s="27"/>
      <c r="K1709" s="27"/>
      <c r="L1709" s="27"/>
      <c r="M1709" s="28"/>
      <c r="N1709" s="28"/>
      <c r="O1709" s="27"/>
      <c r="P1709" s="27"/>
    </row>
    <row r="1710">
      <c r="A1710" s="33"/>
      <c r="B1710" s="34"/>
      <c r="C1710" s="34"/>
      <c r="D1710" s="34"/>
      <c r="E1710" s="27"/>
      <c r="F1710" s="27"/>
      <c r="G1710" s="27"/>
      <c r="H1710" s="27"/>
      <c r="I1710" s="27"/>
      <c r="J1710" s="27"/>
      <c r="K1710" s="27"/>
      <c r="L1710" s="27"/>
      <c r="M1710" s="28"/>
      <c r="N1710" s="28"/>
      <c r="O1710" s="27"/>
      <c r="P1710" s="27"/>
    </row>
    <row r="1711">
      <c r="A1711" s="33"/>
      <c r="B1711" s="34"/>
      <c r="C1711" s="34"/>
      <c r="D1711" s="34"/>
      <c r="E1711" s="27"/>
      <c r="F1711" s="27"/>
      <c r="G1711" s="27"/>
      <c r="H1711" s="27"/>
      <c r="I1711" s="27"/>
      <c r="J1711" s="27"/>
      <c r="K1711" s="27"/>
      <c r="L1711" s="27"/>
      <c r="M1711" s="28"/>
      <c r="N1711" s="28"/>
      <c r="O1711" s="27"/>
      <c r="P1711" s="27"/>
    </row>
    <row r="1712">
      <c r="A1712" s="33"/>
      <c r="B1712" s="34"/>
      <c r="C1712" s="34"/>
      <c r="D1712" s="34"/>
      <c r="E1712" s="27"/>
      <c r="F1712" s="27"/>
      <c r="G1712" s="27"/>
      <c r="H1712" s="27"/>
      <c r="I1712" s="27"/>
      <c r="J1712" s="27"/>
      <c r="K1712" s="27"/>
      <c r="L1712" s="27"/>
      <c r="M1712" s="28"/>
      <c r="N1712" s="28"/>
      <c r="O1712" s="27"/>
      <c r="P1712" s="27"/>
    </row>
    <row r="1713">
      <c r="A1713" s="33"/>
      <c r="B1713" s="34"/>
      <c r="C1713" s="34"/>
      <c r="D1713" s="34"/>
      <c r="E1713" s="27"/>
      <c r="F1713" s="27"/>
      <c r="G1713" s="27"/>
      <c r="H1713" s="27"/>
      <c r="I1713" s="27"/>
      <c r="J1713" s="27"/>
      <c r="K1713" s="27"/>
      <c r="L1713" s="27"/>
      <c r="M1713" s="28"/>
      <c r="N1713" s="28"/>
      <c r="O1713" s="27"/>
      <c r="P1713" s="27"/>
    </row>
    <row r="1714">
      <c r="A1714" s="33"/>
      <c r="B1714" s="34"/>
      <c r="C1714" s="34"/>
      <c r="D1714" s="34"/>
      <c r="E1714" s="27"/>
      <c r="F1714" s="27"/>
      <c r="G1714" s="27"/>
      <c r="H1714" s="27"/>
      <c r="I1714" s="27"/>
      <c r="J1714" s="27"/>
      <c r="K1714" s="27"/>
      <c r="L1714" s="27"/>
      <c r="M1714" s="28"/>
      <c r="N1714" s="28"/>
      <c r="O1714" s="27"/>
      <c r="P1714" s="27"/>
    </row>
    <row r="1715">
      <c r="A1715" s="33"/>
      <c r="B1715" s="34"/>
      <c r="C1715" s="34"/>
      <c r="D1715" s="34"/>
      <c r="E1715" s="27"/>
      <c r="F1715" s="27"/>
      <c r="G1715" s="27"/>
      <c r="H1715" s="27"/>
      <c r="I1715" s="27"/>
      <c r="J1715" s="27"/>
      <c r="K1715" s="27"/>
      <c r="L1715" s="27"/>
      <c r="M1715" s="28"/>
      <c r="N1715" s="28"/>
      <c r="O1715" s="27"/>
      <c r="P1715" s="27"/>
    </row>
    <row r="1716">
      <c r="A1716" s="33"/>
      <c r="B1716" s="34"/>
      <c r="C1716" s="34"/>
      <c r="D1716" s="34"/>
      <c r="E1716" s="27"/>
      <c r="F1716" s="27"/>
      <c r="G1716" s="27"/>
      <c r="H1716" s="27"/>
      <c r="I1716" s="27"/>
      <c r="J1716" s="27"/>
      <c r="K1716" s="27"/>
      <c r="L1716" s="27"/>
      <c r="M1716" s="28"/>
      <c r="N1716" s="28"/>
      <c r="O1716" s="27"/>
      <c r="P1716" s="27"/>
    </row>
    <row r="1717">
      <c r="A1717" s="33"/>
      <c r="B1717" s="34"/>
      <c r="C1717" s="34"/>
      <c r="D1717" s="34"/>
      <c r="E1717" s="27"/>
      <c r="F1717" s="27"/>
      <c r="G1717" s="27"/>
      <c r="H1717" s="27"/>
      <c r="I1717" s="27"/>
      <c r="J1717" s="27"/>
      <c r="K1717" s="27"/>
      <c r="L1717" s="27"/>
      <c r="M1717" s="28"/>
      <c r="N1717" s="28"/>
      <c r="O1717" s="27"/>
      <c r="P1717" s="27"/>
    </row>
    <row r="1718">
      <c r="A1718" s="33"/>
      <c r="B1718" s="34"/>
      <c r="C1718" s="34"/>
      <c r="D1718" s="34"/>
      <c r="E1718" s="27"/>
      <c r="F1718" s="27"/>
      <c r="G1718" s="27"/>
      <c r="H1718" s="27"/>
      <c r="I1718" s="27"/>
      <c r="J1718" s="27"/>
      <c r="K1718" s="27"/>
      <c r="L1718" s="27"/>
      <c r="M1718" s="28"/>
      <c r="N1718" s="28"/>
      <c r="O1718" s="27"/>
      <c r="P1718" s="27"/>
    </row>
    <row r="1719">
      <c r="A1719" s="33"/>
      <c r="B1719" s="34"/>
      <c r="C1719" s="34"/>
      <c r="D1719" s="34"/>
      <c r="E1719" s="27"/>
      <c r="F1719" s="27"/>
      <c r="G1719" s="27"/>
      <c r="H1719" s="27"/>
      <c r="I1719" s="27"/>
      <c r="J1719" s="27"/>
      <c r="K1719" s="27"/>
      <c r="L1719" s="27"/>
      <c r="M1719" s="28"/>
      <c r="N1719" s="28"/>
      <c r="O1719" s="27"/>
      <c r="P1719" s="27"/>
    </row>
    <row r="1720">
      <c r="A1720" s="33"/>
      <c r="B1720" s="34"/>
      <c r="C1720" s="34"/>
      <c r="D1720" s="34"/>
      <c r="E1720" s="27"/>
      <c r="F1720" s="27"/>
      <c r="G1720" s="27"/>
      <c r="H1720" s="27"/>
      <c r="I1720" s="27"/>
      <c r="J1720" s="27"/>
      <c r="K1720" s="27"/>
      <c r="L1720" s="27"/>
      <c r="M1720" s="28"/>
      <c r="N1720" s="28"/>
      <c r="O1720" s="27"/>
      <c r="P1720" s="27"/>
    </row>
    <row r="1721">
      <c r="A1721" s="33"/>
      <c r="B1721" s="34"/>
      <c r="C1721" s="34"/>
      <c r="D1721" s="34"/>
      <c r="E1721" s="27"/>
      <c r="F1721" s="27"/>
      <c r="G1721" s="27"/>
      <c r="H1721" s="27"/>
      <c r="I1721" s="27"/>
      <c r="J1721" s="27"/>
      <c r="K1721" s="27"/>
      <c r="L1721" s="27"/>
      <c r="M1721" s="28"/>
      <c r="N1721" s="28"/>
      <c r="O1721" s="27"/>
      <c r="P1721" s="27"/>
    </row>
    <row r="1722">
      <c r="A1722" s="33"/>
      <c r="B1722" s="34"/>
      <c r="C1722" s="34"/>
      <c r="D1722" s="34"/>
      <c r="E1722" s="27"/>
      <c r="F1722" s="27"/>
      <c r="G1722" s="27"/>
      <c r="H1722" s="27"/>
      <c r="I1722" s="27"/>
      <c r="J1722" s="27"/>
      <c r="K1722" s="27"/>
      <c r="L1722" s="27"/>
      <c r="M1722" s="28"/>
      <c r="N1722" s="28"/>
      <c r="O1722" s="27"/>
      <c r="P1722" s="27"/>
    </row>
    <row r="1723">
      <c r="A1723" s="33"/>
      <c r="B1723" s="34"/>
      <c r="C1723" s="34"/>
      <c r="D1723" s="34"/>
      <c r="E1723" s="27"/>
      <c r="F1723" s="27"/>
      <c r="G1723" s="27"/>
      <c r="H1723" s="27"/>
      <c r="I1723" s="27"/>
      <c r="J1723" s="27"/>
      <c r="K1723" s="27"/>
      <c r="L1723" s="27"/>
      <c r="M1723" s="28"/>
      <c r="N1723" s="28"/>
      <c r="O1723" s="27"/>
      <c r="P1723" s="27"/>
    </row>
    <row r="1724">
      <c r="A1724" s="33"/>
      <c r="B1724" s="34"/>
      <c r="C1724" s="34"/>
      <c r="D1724" s="34"/>
      <c r="E1724" s="27"/>
      <c r="F1724" s="27"/>
      <c r="G1724" s="27"/>
      <c r="H1724" s="27"/>
      <c r="I1724" s="27"/>
      <c r="J1724" s="27"/>
      <c r="K1724" s="27"/>
      <c r="L1724" s="27"/>
      <c r="M1724" s="28"/>
      <c r="N1724" s="28"/>
      <c r="O1724" s="27"/>
      <c r="P1724" s="27"/>
    </row>
    <row r="1725">
      <c r="A1725" s="33"/>
      <c r="B1725" s="34"/>
      <c r="C1725" s="34"/>
      <c r="D1725" s="34"/>
      <c r="E1725" s="27"/>
      <c r="F1725" s="27"/>
      <c r="G1725" s="27"/>
      <c r="H1725" s="27"/>
      <c r="I1725" s="27"/>
      <c r="J1725" s="27"/>
      <c r="K1725" s="27"/>
      <c r="L1725" s="27"/>
      <c r="M1725" s="28"/>
      <c r="N1725" s="28"/>
      <c r="O1725" s="27"/>
      <c r="P1725" s="27"/>
    </row>
    <row r="1726">
      <c r="A1726" s="33"/>
      <c r="B1726" s="34"/>
      <c r="C1726" s="34"/>
      <c r="D1726" s="34"/>
      <c r="E1726" s="27"/>
      <c r="F1726" s="27"/>
      <c r="G1726" s="27"/>
      <c r="H1726" s="27"/>
      <c r="I1726" s="27"/>
      <c r="J1726" s="27"/>
      <c r="K1726" s="27"/>
      <c r="L1726" s="27"/>
      <c r="M1726" s="28"/>
      <c r="N1726" s="28"/>
      <c r="O1726" s="27"/>
      <c r="P1726" s="27"/>
    </row>
    <row r="1727">
      <c r="A1727" s="33"/>
      <c r="B1727" s="34"/>
      <c r="C1727" s="34"/>
      <c r="D1727" s="34"/>
      <c r="E1727" s="27"/>
      <c r="F1727" s="27"/>
      <c r="G1727" s="27"/>
      <c r="H1727" s="27"/>
      <c r="I1727" s="27"/>
      <c r="J1727" s="27"/>
      <c r="K1727" s="27"/>
      <c r="L1727" s="27"/>
      <c r="M1727" s="28"/>
      <c r="N1727" s="28"/>
      <c r="O1727" s="27"/>
      <c r="P1727" s="27"/>
    </row>
    <row r="1728">
      <c r="A1728" s="33"/>
      <c r="B1728" s="34"/>
      <c r="C1728" s="34"/>
      <c r="D1728" s="34"/>
      <c r="E1728" s="27"/>
      <c r="F1728" s="27"/>
      <c r="G1728" s="27"/>
      <c r="H1728" s="27"/>
      <c r="I1728" s="27"/>
      <c r="J1728" s="27"/>
      <c r="K1728" s="27"/>
      <c r="L1728" s="27"/>
      <c r="M1728" s="28"/>
      <c r="N1728" s="28"/>
      <c r="O1728" s="27"/>
      <c r="P1728" s="27"/>
    </row>
    <row r="1729">
      <c r="A1729" s="33"/>
      <c r="B1729" s="34"/>
      <c r="C1729" s="34"/>
      <c r="D1729" s="34"/>
      <c r="E1729" s="27"/>
      <c r="F1729" s="27"/>
      <c r="G1729" s="27"/>
      <c r="H1729" s="27"/>
      <c r="I1729" s="27"/>
      <c r="J1729" s="27"/>
      <c r="K1729" s="27"/>
      <c r="L1729" s="27"/>
      <c r="M1729" s="28"/>
      <c r="N1729" s="28"/>
      <c r="O1729" s="27"/>
      <c r="P1729" s="27"/>
    </row>
    <row r="1730">
      <c r="A1730" s="33"/>
      <c r="B1730" s="34"/>
      <c r="C1730" s="34"/>
      <c r="D1730" s="34"/>
      <c r="E1730" s="27"/>
      <c r="F1730" s="27"/>
      <c r="G1730" s="27"/>
      <c r="H1730" s="27"/>
      <c r="I1730" s="27"/>
      <c r="J1730" s="27"/>
      <c r="K1730" s="27"/>
      <c r="L1730" s="27"/>
      <c r="M1730" s="28"/>
      <c r="N1730" s="28"/>
      <c r="O1730" s="27"/>
      <c r="P1730" s="27"/>
    </row>
    <row r="1731">
      <c r="A1731" s="33"/>
      <c r="B1731" s="34"/>
      <c r="C1731" s="34"/>
      <c r="D1731" s="34"/>
      <c r="E1731" s="27"/>
      <c r="F1731" s="27"/>
      <c r="G1731" s="27"/>
      <c r="H1731" s="27"/>
      <c r="I1731" s="27"/>
      <c r="J1731" s="27"/>
      <c r="K1731" s="27"/>
      <c r="L1731" s="27"/>
      <c r="M1731" s="28"/>
      <c r="N1731" s="28"/>
      <c r="O1731" s="27"/>
      <c r="P1731" s="27"/>
    </row>
    <row r="1732">
      <c r="A1732" s="33"/>
      <c r="B1732" s="34"/>
      <c r="C1732" s="34"/>
      <c r="D1732" s="34"/>
      <c r="E1732" s="27"/>
      <c r="F1732" s="27"/>
      <c r="G1732" s="27"/>
      <c r="H1732" s="27"/>
      <c r="I1732" s="27"/>
      <c r="J1732" s="27"/>
      <c r="K1732" s="27"/>
      <c r="L1732" s="27"/>
      <c r="M1732" s="28"/>
      <c r="N1732" s="28"/>
      <c r="O1732" s="27"/>
      <c r="P1732" s="27"/>
    </row>
    <row r="1733">
      <c r="A1733" s="33"/>
      <c r="B1733" s="34"/>
      <c r="C1733" s="34"/>
      <c r="D1733" s="34"/>
      <c r="E1733" s="27"/>
      <c r="F1733" s="27"/>
      <c r="G1733" s="27"/>
      <c r="H1733" s="27"/>
      <c r="I1733" s="27"/>
      <c r="J1733" s="27"/>
      <c r="K1733" s="27"/>
      <c r="L1733" s="27"/>
      <c r="M1733" s="28"/>
      <c r="N1733" s="28"/>
      <c r="O1733" s="27"/>
      <c r="P1733" s="27"/>
    </row>
    <row r="1734">
      <c r="A1734" s="33"/>
      <c r="B1734" s="34"/>
      <c r="C1734" s="34"/>
      <c r="D1734" s="34"/>
      <c r="E1734" s="27"/>
      <c r="F1734" s="27"/>
      <c r="G1734" s="27"/>
      <c r="H1734" s="27"/>
      <c r="I1734" s="27"/>
      <c r="J1734" s="27"/>
      <c r="K1734" s="27"/>
      <c r="L1734" s="27"/>
      <c r="M1734" s="28"/>
      <c r="N1734" s="28"/>
      <c r="O1734" s="27"/>
      <c r="P1734" s="27"/>
    </row>
    <row r="1735">
      <c r="A1735" s="33"/>
      <c r="B1735" s="34"/>
      <c r="C1735" s="34"/>
      <c r="D1735" s="34"/>
      <c r="E1735" s="27"/>
      <c r="F1735" s="27"/>
      <c r="G1735" s="27"/>
      <c r="H1735" s="27"/>
      <c r="I1735" s="27"/>
      <c r="J1735" s="27"/>
      <c r="K1735" s="27"/>
      <c r="L1735" s="27"/>
      <c r="M1735" s="28"/>
      <c r="N1735" s="28"/>
      <c r="O1735" s="27"/>
      <c r="P1735" s="27"/>
    </row>
    <row r="1736">
      <c r="A1736" s="33"/>
      <c r="B1736" s="34"/>
      <c r="C1736" s="34"/>
      <c r="D1736" s="34"/>
      <c r="E1736" s="27"/>
      <c r="F1736" s="27"/>
      <c r="G1736" s="27"/>
      <c r="H1736" s="27"/>
      <c r="I1736" s="27"/>
      <c r="J1736" s="27"/>
      <c r="K1736" s="27"/>
      <c r="L1736" s="27"/>
      <c r="M1736" s="28"/>
      <c r="N1736" s="28"/>
      <c r="O1736" s="27"/>
      <c r="P1736" s="27"/>
    </row>
    <row r="1737">
      <c r="A1737" s="33"/>
      <c r="B1737" s="34"/>
      <c r="C1737" s="34"/>
      <c r="D1737" s="34"/>
      <c r="E1737" s="27"/>
      <c r="F1737" s="27"/>
      <c r="G1737" s="27"/>
      <c r="H1737" s="27"/>
      <c r="I1737" s="27"/>
      <c r="J1737" s="27"/>
      <c r="K1737" s="27"/>
      <c r="L1737" s="27"/>
      <c r="M1737" s="28"/>
      <c r="N1737" s="28"/>
      <c r="O1737" s="27"/>
      <c r="P1737" s="27"/>
    </row>
    <row r="1738">
      <c r="A1738" s="33"/>
      <c r="B1738" s="34"/>
      <c r="C1738" s="34"/>
      <c r="D1738" s="34"/>
      <c r="E1738" s="27"/>
      <c r="F1738" s="27"/>
      <c r="G1738" s="27"/>
      <c r="H1738" s="27"/>
      <c r="I1738" s="27"/>
      <c r="J1738" s="27"/>
      <c r="K1738" s="27"/>
      <c r="L1738" s="27"/>
      <c r="M1738" s="28"/>
      <c r="N1738" s="28"/>
      <c r="O1738" s="27"/>
      <c r="P1738" s="27"/>
    </row>
    <row r="1739">
      <c r="A1739" s="33"/>
      <c r="B1739" s="34"/>
      <c r="C1739" s="34"/>
      <c r="D1739" s="34"/>
      <c r="E1739" s="27"/>
      <c r="F1739" s="27"/>
      <c r="G1739" s="27"/>
      <c r="H1739" s="27"/>
      <c r="I1739" s="27"/>
      <c r="J1739" s="27"/>
      <c r="K1739" s="27"/>
      <c r="L1739" s="27"/>
      <c r="M1739" s="28"/>
      <c r="N1739" s="28"/>
      <c r="O1739" s="27"/>
      <c r="P1739" s="27"/>
    </row>
    <row r="1740">
      <c r="A1740" s="33"/>
      <c r="B1740" s="34"/>
      <c r="C1740" s="34"/>
      <c r="D1740" s="34"/>
      <c r="E1740" s="27"/>
      <c r="F1740" s="27"/>
      <c r="G1740" s="27"/>
      <c r="H1740" s="27"/>
      <c r="I1740" s="27"/>
      <c r="J1740" s="27"/>
      <c r="K1740" s="27"/>
      <c r="L1740" s="27"/>
      <c r="M1740" s="28"/>
      <c r="N1740" s="28"/>
      <c r="O1740" s="27"/>
      <c r="P1740" s="27"/>
    </row>
    <row r="1741">
      <c r="A1741" s="33"/>
      <c r="B1741" s="34"/>
      <c r="C1741" s="34"/>
      <c r="D1741" s="34"/>
      <c r="E1741" s="27"/>
      <c r="F1741" s="27"/>
      <c r="G1741" s="27"/>
      <c r="H1741" s="27"/>
      <c r="I1741" s="27"/>
      <c r="J1741" s="27"/>
      <c r="K1741" s="27"/>
      <c r="L1741" s="27"/>
      <c r="M1741" s="28"/>
      <c r="N1741" s="28"/>
      <c r="O1741" s="27"/>
      <c r="P1741" s="27"/>
    </row>
    <row r="1742">
      <c r="A1742" s="33"/>
      <c r="B1742" s="34"/>
      <c r="C1742" s="34"/>
      <c r="D1742" s="34"/>
      <c r="E1742" s="27"/>
      <c r="F1742" s="27"/>
      <c r="G1742" s="27"/>
      <c r="H1742" s="27"/>
      <c r="I1742" s="27"/>
      <c r="J1742" s="27"/>
      <c r="K1742" s="27"/>
      <c r="L1742" s="27"/>
      <c r="M1742" s="28"/>
      <c r="N1742" s="28"/>
      <c r="O1742" s="27"/>
      <c r="P1742" s="27"/>
    </row>
    <row r="1743">
      <c r="A1743" s="33"/>
      <c r="B1743" s="34"/>
      <c r="C1743" s="34"/>
      <c r="D1743" s="34"/>
      <c r="E1743" s="27"/>
      <c r="F1743" s="27"/>
      <c r="G1743" s="27"/>
      <c r="H1743" s="27"/>
      <c r="I1743" s="27"/>
      <c r="J1743" s="27"/>
      <c r="K1743" s="27"/>
      <c r="L1743" s="27"/>
      <c r="M1743" s="28"/>
      <c r="N1743" s="28"/>
      <c r="O1743" s="27"/>
      <c r="P1743" s="27"/>
    </row>
    <row r="1744">
      <c r="A1744" s="33"/>
      <c r="B1744" s="34"/>
      <c r="C1744" s="34"/>
      <c r="D1744" s="34"/>
      <c r="E1744" s="27"/>
      <c r="F1744" s="27"/>
      <c r="G1744" s="27"/>
      <c r="H1744" s="27"/>
      <c r="I1744" s="27"/>
      <c r="J1744" s="27"/>
      <c r="K1744" s="27"/>
      <c r="L1744" s="27"/>
      <c r="M1744" s="28"/>
      <c r="N1744" s="28"/>
      <c r="O1744" s="27"/>
      <c r="P1744" s="27"/>
    </row>
    <row r="1745">
      <c r="A1745" s="33"/>
      <c r="B1745" s="34"/>
      <c r="C1745" s="34"/>
      <c r="D1745" s="34"/>
      <c r="E1745" s="27"/>
      <c r="F1745" s="27"/>
      <c r="G1745" s="27"/>
      <c r="H1745" s="27"/>
      <c r="I1745" s="27"/>
      <c r="J1745" s="27"/>
      <c r="K1745" s="27"/>
      <c r="L1745" s="27"/>
      <c r="M1745" s="28"/>
      <c r="N1745" s="28"/>
      <c r="O1745" s="27"/>
      <c r="P1745" s="27"/>
    </row>
    <row r="1746">
      <c r="A1746" s="33"/>
      <c r="B1746" s="34"/>
      <c r="C1746" s="34"/>
      <c r="D1746" s="34"/>
      <c r="E1746" s="27"/>
      <c r="F1746" s="27"/>
      <c r="G1746" s="27"/>
      <c r="H1746" s="27"/>
      <c r="I1746" s="27"/>
      <c r="J1746" s="27"/>
      <c r="K1746" s="27"/>
      <c r="L1746" s="27"/>
      <c r="M1746" s="28"/>
      <c r="N1746" s="28"/>
      <c r="O1746" s="27"/>
      <c r="P1746" s="27"/>
    </row>
    <row r="1747">
      <c r="A1747" s="33"/>
      <c r="B1747" s="34"/>
      <c r="C1747" s="34"/>
      <c r="D1747" s="34"/>
      <c r="E1747" s="27"/>
      <c r="F1747" s="27"/>
      <c r="G1747" s="27"/>
      <c r="H1747" s="27"/>
      <c r="I1747" s="27"/>
      <c r="J1747" s="27"/>
      <c r="K1747" s="27"/>
      <c r="L1747" s="27"/>
      <c r="M1747" s="28"/>
      <c r="N1747" s="28"/>
      <c r="O1747" s="27"/>
      <c r="P1747" s="27"/>
    </row>
    <row r="1748">
      <c r="A1748" s="33"/>
      <c r="B1748" s="34"/>
      <c r="C1748" s="34"/>
      <c r="D1748" s="34"/>
      <c r="E1748" s="27"/>
      <c r="F1748" s="27"/>
      <c r="G1748" s="27"/>
      <c r="H1748" s="27"/>
      <c r="I1748" s="27"/>
      <c r="J1748" s="27"/>
      <c r="K1748" s="27"/>
      <c r="L1748" s="27"/>
      <c r="M1748" s="28"/>
      <c r="N1748" s="28"/>
      <c r="O1748" s="27"/>
      <c r="P1748" s="27"/>
    </row>
    <row r="1749">
      <c r="A1749" s="33"/>
      <c r="B1749" s="34"/>
      <c r="C1749" s="34"/>
      <c r="D1749" s="34"/>
      <c r="E1749" s="27"/>
      <c r="F1749" s="27"/>
      <c r="G1749" s="27"/>
      <c r="H1749" s="27"/>
      <c r="I1749" s="27"/>
      <c r="J1749" s="27"/>
      <c r="K1749" s="27"/>
      <c r="L1749" s="27"/>
      <c r="M1749" s="28"/>
      <c r="N1749" s="28"/>
      <c r="O1749" s="27"/>
      <c r="P1749" s="27"/>
    </row>
    <row r="1750">
      <c r="A1750" s="33"/>
      <c r="B1750" s="34"/>
      <c r="C1750" s="34"/>
      <c r="D1750" s="34"/>
      <c r="E1750" s="27"/>
      <c r="F1750" s="27"/>
      <c r="G1750" s="27"/>
      <c r="H1750" s="27"/>
      <c r="I1750" s="27"/>
      <c r="J1750" s="27"/>
      <c r="K1750" s="27"/>
      <c r="L1750" s="27"/>
      <c r="M1750" s="28"/>
      <c r="N1750" s="28"/>
      <c r="O1750" s="27"/>
      <c r="P1750" s="27"/>
    </row>
    <row r="1751">
      <c r="A1751" s="33"/>
      <c r="B1751" s="34"/>
      <c r="C1751" s="34"/>
      <c r="D1751" s="34"/>
      <c r="E1751" s="27"/>
      <c r="F1751" s="27"/>
      <c r="G1751" s="27"/>
      <c r="H1751" s="27"/>
      <c r="I1751" s="27"/>
      <c r="J1751" s="27"/>
      <c r="K1751" s="27"/>
      <c r="L1751" s="27"/>
      <c r="M1751" s="28"/>
      <c r="N1751" s="28"/>
      <c r="O1751" s="27"/>
      <c r="P1751" s="27"/>
    </row>
    <row r="1752">
      <c r="A1752" s="33"/>
      <c r="B1752" s="34"/>
      <c r="C1752" s="34"/>
      <c r="D1752" s="34"/>
      <c r="E1752" s="27"/>
      <c r="F1752" s="27"/>
      <c r="G1752" s="27"/>
      <c r="H1752" s="27"/>
      <c r="I1752" s="27"/>
      <c r="J1752" s="27"/>
      <c r="K1752" s="27"/>
      <c r="L1752" s="27"/>
      <c r="M1752" s="28"/>
      <c r="N1752" s="28"/>
      <c r="O1752" s="27"/>
      <c r="P1752" s="27"/>
    </row>
    <row r="1753">
      <c r="A1753" s="33"/>
      <c r="B1753" s="34"/>
      <c r="C1753" s="34"/>
      <c r="D1753" s="34"/>
      <c r="E1753" s="27"/>
      <c r="F1753" s="27"/>
      <c r="G1753" s="27"/>
      <c r="H1753" s="27"/>
      <c r="I1753" s="27"/>
      <c r="J1753" s="27"/>
      <c r="K1753" s="27"/>
      <c r="L1753" s="27"/>
      <c r="M1753" s="28"/>
      <c r="N1753" s="28"/>
      <c r="O1753" s="27"/>
      <c r="P1753" s="27"/>
    </row>
    <row r="1754">
      <c r="A1754" s="33"/>
      <c r="B1754" s="34"/>
      <c r="C1754" s="34"/>
      <c r="D1754" s="34"/>
      <c r="E1754" s="27"/>
      <c r="F1754" s="27"/>
      <c r="G1754" s="27"/>
      <c r="H1754" s="27"/>
      <c r="I1754" s="27"/>
      <c r="J1754" s="27"/>
      <c r="K1754" s="27"/>
      <c r="L1754" s="27"/>
      <c r="M1754" s="28"/>
      <c r="N1754" s="28"/>
      <c r="O1754" s="27"/>
      <c r="P1754" s="27"/>
    </row>
    <row r="1755">
      <c r="A1755" s="33"/>
      <c r="B1755" s="34"/>
      <c r="C1755" s="34"/>
      <c r="D1755" s="34"/>
      <c r="E1755" s="27"/>
      <c r="F1755" s="27"/>
      <c r="G1755" s="27"/>
      <c r="H1755" s="27"/>
      <c r="I1755" s="27"/>
      <c r="J1755" s="27"/>
      <c r="K1755" s="27"/>
      <c r="L1755" s="27"/>
      <c r="M1755" s="28"/>
      <c r="N1755" s="28"/>
      <c r="O1755" s="27"/>
      <c r="P1755" s="27"/>
    </row>
    <row r="1756">
      <c r="A1756" s="33"/>
      <c r="B1756" s="34"/>
      <c r="C1756" s="34"/>
      <c r="D1756" s="34"/>
      <c r="E1756" s="27"/>
      <c r="F1756" s="27"/>
      <c r="G1756" s="27"/>
      <c r="H1756" s="27"/>
      <c r="I1756" s="27"/>
      <c r="J1756" s="27"/>
      <c r="K1756" s="27"/>
      <c r="L1756" s="27"/>
      <c r="M1756" s="28"/>
      <c r="N1756" s="28"/>
      <c r="O1756" s="27"/>
      <c r="P1756" s="27"/>
    </row>
    <row r="1757">
      <c r="A1757" s="33"/>
      <c r="B1757" s="34"/>
      <c r="C1757" s="34"/>
      <c r="D1757" s="34"/>
      <c r="E1757" s="27"/>
      <c r="F1757" s="27"/>
      <c r="G1757" s="27"/>
      <c r="H1757" s="27"/>
      <c r="I1757" s="27"/>
      <c r="J1757" s="27"/>
      <c r="K1757" s="27"/>
      <c r="L1757" s="27"/>
      <c r="M1757" s="28"/>
      <c r="N1757" s="28"/>
      <c r="O1757" s="27"/>
      <c r="P1757" s="27"/>
    </row>
    <row r="1758">
      <c r="A1758" s="33"/>
      <c r="B1758" s="34"/>
      <c r="C1758" s="34"/>
      <c r="D1758" s="34"/>
      <c r="E1758" s="27"/>
      <c r="F1758" s="27"/>
      <c r="G1758" s="27"/>
      <c r="H1758" s="27"/>
      <c r="I1758" s="27"/>
      <c r="J1758" s="27"/>
      <c r="K1758" s="27"/>
      <c r="L1758" s="27"/>
      <c r="M1758" s="28"/>
      <c r="N1758" s="28"/>
      <c r="O1758" s="27"/>
      <c r="P1758" s="27"/>
    </row>
    <row r="1759">
      <c r="A1759" s="33"/>
      <c r="B1759" s="34"/>
      <c r="C1759" s="34"/>
      <c r="D1759" s="34"/>
      <c r="E1759" s="27"/>
      <c r="F1759" s="27"/>
      <c r="G1759" s="27"/>
      <c r="H1759" s="27"/>
      <c r="I1759" s="27"/>
      <c r="J1759" s="27"/>
      <c r="K1759" s="27"/>
      <c r="L1759" s="27"/>
      <c r="M1759" s="28"/>
      <c r="N1759" s="28"/>
      <c r="O1759" s="27"/>
      <c r="P1759" s="27"/>
    </row>
    <row r="1760">
      <c r="A1760" s="33"/>
      <c r="B1760" s="34"/>
      <c r="C1760" s="34"/>
      <c r="D1760" s="34"/>
      <c r="E1760" s="27"/>
      <c r="F1760" s="27"/>
      <c r="G1760" s="27"/>
      <c r="H1760" s="27"/>
      <c r="I1760" s="27"/>
      <c r="J1760" s="27"/>
      <c r="K1760" s="27"/>
      <c r="L1760" s="27"/>
      <c r="M1760" s="28"/>
      <c r="N1760" s="28"/>
      <c r="O1760" s="27"/>
      <c r="P1760" s="27"/>
    </row>
    <row r="1761">
      <c r="A1761" s="33"/>
      <c r="B1761" s="34"/>
      <c r="C1761" s="34"/>
      <c r="D1761" s="34"/>
      <c r="E1761" s="27"/>
      <c r="F1761" s="27"/>
      <c r="G1761" s="27"/>
      <c r="H1761" s="27"/>
      <c r="I1761" s="27"/>
      <c r="J1761" s="27"/>
      <c r="K1761" s="27"/>
      <c r="L1761" s="27"/>
      <c r="M1761" s="28"/>
      <c r="N1761" s="28"/>
      <c r="O1761" s="27"/>
      <c r="P1761" s="27"/>
    </row>
    <row r="1762">
      <c r="A1762" s="33"/>
      <c r="B1762" s="34"/>
      <c r="C1762" s="34"/>
      <c r="D1762" s="34"/>
      <c r="E1762" s="27"/>
      <c r="F1762" s="27"/>
      <c r="G1762" s="27"/>
      <c r="H1762" s="27"/>
      <c r="I1762" s="27"/>
      <c r="J1762" s="27"/>
      <c r="K1762" s="27"/>
      <c r="L1762" s="27"/>
      <c r="M1762" s="28"/>
      <c r="N1762" s="28"/>
      <c r="O1762" s="27"/>
      <c r="P1762" s="27"/>
    </row>
    <row r="1763">
      <c r="A1763" s="33"/>
      <c r="B1763" s="34"/>
      <c r="C1763" s="34"/>
      <c r="D1763" s="34"/>
      <c r="E1763" s="27"/>
      <c r="F1763" s="27"/>
      <c r="G1763" s="27"/>
      <c r="H1763" s="27"/>
      <c r="I1763" s="27"/>
      <c r="J1763" s="27"/>
      <c r="K1763" s="27"/>
      <c r="L1763" s="27"/>
      <c r="M1763" s="28"/>
      <c r="N1763" s="28"/>
      <c r="O1763" s="27"/>
      <c r="P1763" s="27"/>
    </row>
    <row r="1764">
      <c r="A1764" s="33"/>
      <c r="B1764" s="34"/>
      <c r="C1764" s="34"/>
      <c r="D1764" s="34"/>
      <c r="E1764" s="27"/>
      <c r="F1764" s="27"/>
      <c r="G1764" s="27"/>
      <c r="H1764" s="27"/>
      <c r="I1764" s="27"/>
      <c r="J1764" s="27"/>
      <c r="K1764" s="27"/>
      <c r="L1764" s="27"/>
      <c r="M1764" s="28"/>
      <c r="N1764" s="28"/>
      <c r="O1764" s="27"/>
      <c r="P1764" s="27"/>
    </row>
    <row r="1765">
      <c r="A1765" s="33"/>
      <c r="B1765" s="34"/>
      <c r="C1765" s="34"/>
      <c r="D1765" s="34"/>
      <c r="E1765" s="27"/>
      <c r="F1765" s="27"/>
      <c r="G1765" s="27"/>
      <c r="H1765" s="27"/>
      <c r="I1765" s="27"/>
      <c r="J1765" s="27"/>
      <c r="K1765" s="27"/>
      <c r="L1765" s="27"/>
      <c r="M1765" s="28"/>
      <c r="N1765" s="28"/>
      <c r="O1765" s="27"/>
      <c r="P1765" s="27"/>
    </row>
    <row r="1766">
      <c r="A1766" s="33"/>
      <c r="B1766" s="34"/>
      <c r="C1766" s="34"/>
      <c r="D1766" s="34"/>
      <c r="E1766" s="27"/>
      <c r="F1766" s="27"/>
      <c r="G1766" s="27"/>
      <c r="H1766" s="27"/>
      <c r="I1766" s="27"/>
      <c r="J1766" s="27"/>
      <c r="K1766" s="27"/>
      <c r="L1766" s="27"/>
      <c r="M1766" s="28"/>
      <c r="N1766" s="28"/>
      <c r="O1766" s="27"/>
      <c r="P1766" s="27"/>
    </row>
    <row r="1767">
      <c r="A1767" s="33"/>
      <c r="B1767" s="34"/>
      <c r="C1767" s="34"/>
      <c r="D1767" s="34"/>
      <c r="E1767" s="27"/>
      <c r="F1767" s="27"/>
      <c r="G1767" s="27"/>
      <c r="H1767" s="27"/>
      <c r="I1767" s="27"/>
      <c r="J1767" s="27"/>
      <c r="K1767" s="27"/>
      <c r="L1767" s="27"/>
      <c r="M1767" s="28"/>
      <c r="N1767" s="28"/>
      <c r="O1767" s="27"/>
      <c r="P1767" s="27"/>
    </row>
    <row r="1768">
      <c r="A1768" s="33"/>
      <c r="B1768" s="34"/>
      <c r="C1768" s="34"/>
      <c r="D1768" s="34"/>
      <c r="E1768" s="27"/>
      <c r="F1768" s="27"/>
      <c r="G1768" s="27"/>
      <c r="H1768" s="27"/>
      <c r="I1768" s="27"/>
      <c r="J1768" s="27"/>
      <c r="K1768" s="27"/>
      <c r="L1768" s="27"/>
      <c r="M1768" s="28"/>
      <c r="N1768" s="28"/>
      <c r="O1768" s="27"/>
      <c r="P1768" s="27"/>
    </row>
    <row r="1769">
      <c r="A1769" s="33"/>
      <c r="B1769" s="34"/>
      <c r="C1769" s="34"/>
      <c r="D1769" s="34"/>
      <c r="E1769" s="27"/>
      <c r="F1769" s="27"/>
      <c r="G1769" s="27"/>
      <c r="H1769" s="27"/>
      <c r="I1769" s="27"/>
      <c r="J1769" s="27"/>
      <c r="K1769" s="27"/>
      <c r="L1769" s="27"/>
      <c r="M1769" s="28"/>
      <c r="N1769" s="28"/>
      <c r="O1769" s="27"/>
      <c r="P1769" s="27"/>
    </row>
    <row r="1770">
      <c r="A1770" s="33"/>
      <c r="B1770" s="34"/>
      <c r="C1770" s="34"/>
      <c r="D1770" s="34"/>
      <c r="E1770" s="27"/>
      <c r="F1770" s="27"/>
      <c r="G1770" s="27"/>
      <c r="H1770" s="27"/>
      <c r="I1770" s="27"/>
      <c r="J1770" s="27"/>
      <c r="K1770" s="27"/>
      <c r="L1770" s="27"/>
      <c r="M1770" s="28"/>
      <c r="N1770" s="28"/>
      <c r="O1770" s="27"/>
      <c r="P1770" s="27"/>
    </row>
    <row r="1771">
      <c r="A1771" s="33"/>
      <c r="B1771" s="34"/>
      <c r="C1771" s="34"/>
      <c r="D1771" s="34"/>
      <c r="E1771" s="27"/>
      <c r="F1771" s="27"/>
      <c r="G1771" s="27"/>
      <c r="H1771" s="27"/>
      <c r="I1771" s="27"/>
      <c r="J1771" s="27"/>
      <c r="K1771" s="27"/>
      <c r="L1771" s="27"/>
      <c r="M1771" s="28"/>
      <c r="N1771" s="28"/>
      <c r="O1771" s="27"/>
      <c r="P1771" s="27"/>
    </row>
    <row r="1772">
      <c r="A1772" s="33"/>
      <c r="B1772" s="34"/>
      <c r="C1772" s="34"/>
      <c r="D1772" s="34"/>
      <c r="E1772" s="27"/>
      <c r="F1772" s="27"/>
      <c r="G1772" s="27"/>
      <c r="H1772" s="27"/>
      <c r="I1772" s="27"/>
      <c r="J1772" s="27"/>
      <c r="K1772" s="27"/>
      <c r="L1772" s="27"/>
      <c r="M1772" s="28"/>
      <c r="N1772" s="28"/>
      <c r="O1772" s="27"/>
      <c r="P1772" s="27"/>
    </row>
    <row r="1773">
      <c r="A1773" s="33"/>
      <c r="B1773" s="34"/>
      <c r="C1773" s="34"/>
      <c r="D1773" s="34"/>
      <c r="E1773" s="27"/>
      <c r="F1773" s="27"/>
      <c r="G1773" s="27"/>
      <c r="H1773" s="27"/>
      <c r="I1773" s="27"/>
      <c r="J1773" s="27"/>
      <c r="K1773" s="27"/>
      <c r="L1773" s="27"/>
      <c r="M1773" s="28"/>
      <c r="N1773" s="28"/>
      <c r="O1773" s="27"/>
      <c r="P1773" s="27"/>
    </row>
    <row r="1774">
      <c r="A1774" s="33"/>
      <c r="B1774" s="34"/>
      <c r="C1774" s="34"/>
      <c r="D1774" s="34"/>
      <c r="E1774" s="27"/>
      <c r="F1774" s="27"/>
      <c r="G1774" s="27"/>
      <c r="H1774" s="27"/>
      <c r="I1774" s="27"/>
      <c r="J1774" s="27"/>
      <c r="K1774" s="27"/>
      <c r="L1774" s="27"/>
      <c r="M1774" s="28"/>
      <c r="N1774" s="28"/>
      <c r="O1774" s="27"/>
      <c r="P1774" s="27"/>
    </row>
    <row r="1775">
      <c r="A1775" s="33"/>
      <c r="B1775" s="34"/>
      <c r="C1775" s="34"/>
      <c r="D1775" s="34"/>
      <c r="E1775" s="27"/>
      <c r="F1775" s="27"/>
      <c r="G1775" s="27"/>
      <c r="H1775" s="27"/>
      <c r="I1775" s="27"/>
      <c r="J1775" s="27"/>
      <c r="K1775" s="27"/>
      <c r="L1775" s="27"/>
      <c r="M1775" s="28"/>
      <c r="N1775" s="28"/>
      <c r="O1775" s="27"/>
      <c r="P1775" s="27"/>
    </row>
    <row r="1776">
      <c r="A1776" s="33"/>
      <c r="B1776" s="34"/>
      <c r="C1776" s="34"/>
      <c r="D1776" s="34"/>
      <c r="E1776" s="27"/>
      <c r="F1776" s="27"/>
      <c r="G1776" s="27"/>
      <c r="H1776" s="27"/>
      <c r="I1776" s="27"/>
      <c r="J1776" s="27"/>
      <c r="K1776" s="27"/>
      <c r="L1776" s="27"/>
      <c r="M1776" s="28"/>
      <c r="N1776" s="28"/>
      <c r="O1776" s="27"/>
      <c r="P1776" s="27"/>
    </row>
    <row r="1777">
      <c r="A1777" s="33"/>
      <c r="B1777" s="34"/>
      <c r="C1777" s="34"/>
      <c r="D1777" s="34"/>
      <c r="E1777" s="27"/>
      <c r="F1777" s="27"/>
      <c r="G1777" s="27"/>
      <c r="H1777" s="27"/>
      <c r="I1777" s="27"/>
      <c r="J1777" s="27"/>
      <c r="K1777" s="27"/>
      <c r="L1777" s="27"/>
      <c r="M1777" s="28"/>
      <c r="N1777" s="28"/>
      <c r="O1777" s="27"/>
      <c r="P1777" s="27"/>
    </row>
    <row r="1778">
      <c r="A1778" s="33"/>
      <c r="B1778" s="34"/>
      <c r="C1778" s="34"/>
      <c r="D1778" s="34"/>
      <c r="E1778" s="27"/>
      <c r="F1778" s="27"/>
      <c r="G1778" s="27"/>
      <c r="H1778" s="27"/>
      <c r="I1778" s="27"/>
      <c r="J1778" s="27"/>
      <c r="K1778" s="27"/>
      <c r="L1778" s="27"/>
      <c r="M1778" s="28"/>
      <c r="N1778" s="28"/>
      <c r="O1778" s="27"/>
      <c r="P1778" s="27"/>
    </row>
    <row r="1779">
      <c r="A1779" s="33"/>
      <c r="B1779" s="34"/>
      <c r="C1779" s="34"/>
      <c r="D1779" s="34"/>
      <c r="E1779" s="27"/>
      <c r="F1779" s="27"/>
      <c r="G1779" s="27"/>
      <c r="H1779" s="27"/>
      <c r="I1779" s="27"/>
      <c r="J1779" s="27"/>
      <c r="K1779" s="27"/>
      <c r="L1779" s="27"/>
      <c r="M1779" s="28"/>
      <c r="N1779" s="28"/>
      <c r="O1779" s="27"/>
      <c r="P1779" s="27"/>
    </row>
    <row r="1780">
      <c r="A1780" s="33"/>
      <c r="B1780" s="34"/>
      <c r="C1780" s="34"/>
      <c r="D1780" s="34"/>
      <c r="E1780" s="27"/>
      <c r="F1780" s="27"/>
      <c r="G1780" s="27"/>
      <c r="H1780" s="27"/>
      <c r="I1780" s="27"/>
      <c r="J1780" s="27"/>
      <c r="K1780" s="27"/>
      <c r="L1780" s="27"/>
      <c r="M1780" s="28"/>
      <c r="N1780" s="28"/>
      <c r="O1780" s="27"/>
      <c r="P1780" s="27"/>
    </row>
    <row r="1781">
      <c r="A1781" s="33"/>
      <c r="B1781" s="34"/>
      <c r="C1781" s="34"/>
      <c r="D1781" s="34"/>
      <c r="E1781" s="27"/>
      <c r="F1781" s="27"/>
      <c r="G1781" s="27"/>
      <c r="H1781" s="27"/>
      <c r="I1781" s="27"/>
      <c r="J1781" s="27"/>
      <c r="K1781" s="27"/>
      <c r="L1781" s="27"/>
      <c r="M1781" s="28"/>
      <c r="N1781" s="28"/>
      <c r="O1781" s="27"/>
      <c r="P1781" s="27"/>
    </row>
    <row r="1782">
      <c r="A1782" s="33"/>
      <c r="B1782" s="34"/>
      <c r="C1782" s="34"/>
      <c r="D1782" s="34"/>
      <c r="E1782" s="27"/>
      <c r="F1782" s="27"/>
      <c r="G1782" s="27"/>
      <c r="H1782" s="27"/>
      <c r="I1782" s="27"/>
      <c r="J1782" s="27"/>
      <c r="K1782" s="27"/>
      <c r="L1782" s="27"/>
      <c r="M1782" s="28"/>
      <c r="N1782" s="28"/>
      <c r="O1782" s="27"/>
      <c r="P1782" s="27"/>
    </row>
    <row r="1783">
      <c r="A1783" s="33"/>
      <c r="B1783" s="34"/>
      <c r="C1783" s="34"/>
      <c r="D1783" s="34"/>
      <c r="E1783" s="27"/>
      <c r="F1783" s="27"/>
      <c r="G1783" s="27"/>
      <c r="H1783" s="27"/>
      <c r="I1783" s="27"/>
      <c r="J1783" s="27"/>
      <c r="K1783" s="27"/>
      <c r="L1783" s="27"/>
      <c r="M1783" s="28"/>
      <c r="N1783" s="28"/>
      <c r="O1783" s="27"/>
      <c r="P1783" s="27"/>
    </row>
    <row r="1784">
      <c r="A1784" s="33"/>
      <c r="B1784" s="34"/>
      <c r="C1784" s="34"/>
      <c r="D1784" s="34"/>
      <c r="E1784" s="27"/>
      <c r="F1784" s="27"/>
      <c r="G1784" s="27"/>
      <c r="H1784" s="27"/>
      <c r="I1784" s="27"/>
      <c r="J1784" s="27"/>
      <c r="K1784" s="27"/>
      <c r="L1784" s="27"/>
      <c r="M1784" s="28"/>
      <c r="N1784" s="28"/>
      <c r="O1784" s="27"/>
      <c r="P1784" s="27"/>
    </row>
    <row r="1785">
      <c r="A1785" s="33"/>
      <c r="B1785" s="34"/>
      <c r="C1785" s="34"/>
      <c r="D1785" s="34"/>
      <c r="E1785" s="27"/>
      <c r="F1785" s="27"/>
      <c r="G1785" s="27"/>
      <c r="H1785" s="27"/>
      <c r="I1785" s="27"/>
      <c r="J1785" s="27"/>
      <c r="K1785" s="27"/>
      <c r="L1785" s="27"/>
      <c r="M1785" s="28"/>
      <c r="N1785" s="28"/>
      <c r="O1785" s="27"/>
      <c r="P1785" s="27"/>
    </row>
    <row r="1786">
      <c r="A1786" s="33"/>
      <c r="B1786" s="34"/>
      <c r="C1786" s="34"/>
      <c r="D1786" s="34"/>
      <c r="E1786" s="27"/>
      <c r="F1786" s="27"/>
      <c r="G1786" s="27"/>
      <c r="H1786" s="27"/>
      <c r="I1786" s="27"/>
      <c r="J1786" s="27"/>
      <c r="K1786" s="27"/>
      <c r="L1786" s="27"/>
      <c r="M1786" s="28"/>
      <c r="N1786" s="28"/>
      <c r="O1786" s="27"/>
      <c r="P1786" s="27"/>
    </row>
    <row r="1787">
      <c r="A1787" s="33"/>
      <c r="B1787" s="34"/>
      <c r="C1787" s="34"/>
      <c r="D1787" s="34"/>
      <c r="E1787" s="27"/>
      <c r="F1787" s="27"/>
      <c r="G1787" s="27"/>
      <c r="H1787" s="27"/>
      <c r="I1787" s="27"/>
      <c r="J1787" s="27"/>
      <c r="K1787" s="27"/>
      <c r="L1787" s="27"/>
      <c r="M1787" s="28"/>
      <c r="N1787" s="28"/>
      <c r="O1787" s="27"/>
      <c r="P1787" s="27"/>
    </row>
    <row r="1788">
      <c r="A1788" s="33"/>
      <c r="B1788" s="34"/>
      <c r="C1788" s="34"/>
      <c r="D1788" s="34"/>
      <c r="E1788" s="27"/>
      <c r="F1788" s="27"/>
      <c r="G1788" s="27"/>
      <c r="H1788" s="27"/>
      <c r="I1788" s="27"/>
      <c r="J1788" s="27"/>
      <c r="K1788" s="27"/>
      <c r="L1788" s="27"/>
      <c r="M1788" s="28"/>
      <c r="N1788" s="28"/>
      <c r="O1788" s="27"/>
      <c r="P1788" s="27"/>
    </row>
    <row r="1789">
      <c r="A1789" s="33"/>
      <c r="B1789" s="34"/>
      <c r="C1789" s="34"/>
      <c r="D1789" s="34"/>
      <c r="E1789" s="27"/>
      <c r="F1789" s="27"/>
      <c r="G1789" s="27"/>
      <c r="H1789" s="27"/>
      <c r="I1789" s="27"/>
      <c r="J1789" s="27"/>
      <c r="K1789" s="27"/>
      <c r="L1789" s="27"/>
      <c r="M1789" s="28"/>
      <c r="N1789" s="28"/>
      <c r="O1789" s="27"/>
      <c r="P1789" s="27"/>
    </row>
    <row r="1790">
      <c r="A1790" s="33"/>
      <c r="B1790" s="34"/>
      <c r="C1790" s="34"/>
      <c r="D1790" s="34"/>
      <c r="E1790" s="27"/>
      <c r="F1790" s="27"/>
      <c r="G1790" s="27"/>
      <c r="H1790" s="27"/>
      <c r="I1790" s="27"/>
      <c r="J1790" s="27"/>
      <c r="K1790" s="27"/>
      <c r="L1790" s="27"/>
      <c r="M1790" s="28"/>
      <c r="N1790" s="28"/>
      <c r="O1790" s="27"/>
      <c r="P1790" s="27"/>
    </row>
    <row r="1791">
      <c r="A1791" s="33"/>
      <c r="B1791" s="34"/>
      <c r="C1791" s="34"/>
      <c r="D1791" s="34"/>
      <c r="E1791" s="27"/>
      <c r="F1791" s="27"/>
      <c r="G1791" s="27"/>
      <c r="H1791" s="27"/>
      <c r="I1791" s="27"/>
      <c r="J1791" s="27"/>
      <c r="K1791" s="27"/>
      <c r="L1791" s="27"/>
      <c r="M1791" s="28"/>
      <c r="N1791" s="28"/>
      <c r="O1791" s="27"/>
      <c r="P1791" s="27"/>
    </row>
    <row r="1792">
      <c r="A1792" s="33"/>
      <c r="B1792" s="34"/>
      <c r="C1792" s="34"/>
      <c r="D1792" s="34"/>
      <c r="E1792" s="27"/>
      <c r="F1792" s="27"/>
      <c r="G1792" s="27"/>
      <c r="H1792" s="27"/>
      <c r="I1792" s="27"/>
      <c r="J1792" s="27"/>
      <c r="K1792" s="27"/>
      <c r="L1792" s="27"/>
      <c r="M1792" s="28"/>
      <c r="N1792" s="28"/>
      <c r="O1792" s="27"/>
      <c r="P1792" s="27"/>
    </row>
    <row r="1793">
      <c r="A1793" s="33"/>
      <c r="B1793" s="34"/>
      <c r="C1793" s="34"/>
      <c r="D1793" s="34"/>
      <c r="E1793" s="27"/>
      <c r="F1793" s="27"/>
      <c r="G1793" s="27"/>
      <c r="H1793" s="27"/>
      <c r="I1793" s="27"/>
      <c r="J1793" s="27"/>
      <c r="K1793" s="27"/>
      <c r="L1793" s="27"/>
      <c r="M1793" s="28"/>
      <c r="N1793" s="28"/>
      <c r="O1793" s="27"/>
      <c r="P1793" s="27"/>
    </row>
    <row r="1794">
      <c r="A1794" s="33"/>
      <c r="B1794" s="34"/>
      <c r="C1794" s="34"/>
      <c r="D1794" s="34"/>
      <c r="E1794" s="27"/>
      <c r="F1794" s="27"/>
      <c r="G1794" s="27"/>
      <c r="H1794" s="27"/>
      <c r="I1794" s="27"/>
      <c r="J1794" s="27"/>
      <c r="K1794" s="27"/>
      <c r="L1794" s="27"/>
      <c r="M1794" s="28"/>
      <c r="N1794" s="28"/>
      <c r="O1794" s="27"/>
      <c r="P1794" s="27"/>
    </row>
    <row r="1795">
      <c r="A1795" s="33"/>
      <c r="B1795" s="34"/>
      <c r="C1795" s="34"/>
      <c r="D1795" s="34"/>
      <c r="E1795" s="27"/>
      <c r="F1795" s="27"/>
      <c r="G1795" s="27"/>
      <c r="H1795" s="27"/>
      <c r="I1795" s="27"/>
      <c r="J1795" s="27"/>
      <c r="K1795" s="27"/>
      <c r="L1795" s="27"/>
      <c r="M1795" s="28"/>
      <c r="N1795" s="28"/>
      <c r="O1795" s="27"/>
      <c r="P1795" s="27"/>
    </row>
    <row r="1796">
      <c r="A1796" s="33"/>
      <c r="B1796" s="34"/>
      <c r="C1796" s="34"/>
      <c r="D1796" s="34"/>
      <c r="E1796" s="27"/>
      <c r="F1796" s="27"/>
      <c r="G1796" s="27"/>
      <c r="H1796" s="27"/>
      <c r="I1796" s="27"/>
      <c r="J1796" s="27"/>
      <c r="K1796" s="27"/>
      <c r="L1796" s="27"/>
      <c r="M1796" s="28"/>
      <c r="N1796" s="28"/>
      <c r="O1796" s="27"/>
      <c r="P1796" s="27"/>
    </row>
    <row r="1797">
      <c r="A1797" s="33"/>
      <c r="B1797" s="34"/>
      <c r="C1797" s="34"/>
      <c r="D1797" s="34"/>
      <c r="E1797" s="27"/>
      <c r="F1797" s="27"/>
      <c r="G1797" s="27"/>
      <c r="H1797" s="27"/>
      <c r="I1797" s="27"/>
      <c r="J1797" s="27"/>
      <c r="K1797" s="27"/>
      <c r="L1797" s="27"/>
      <c r="M1797" s="28"/>
      <c r="N1797" s="28"/>
      <c r="O1797" s="27"/>
      <c r="P1797" s="27"/>
    </row>
    <row r="1798">
      <c r="A1798" s="33"/>
      <c r="B1798" s="34"/>
      <c r="C1798" s="34"/>
      <c r="D1798" s="34"/>
      <c r="E1798" s="27"/>
      <c r="F1798" s="27"/>
      <c r="G1798" s="27"/>
      <c r="H1798" s="27"/>
      <c r="I1798" s="27"/>
      <c r="J1798" s="27"/>
      <c r="K1798" s="27"/>
      <c r="L1798" s="27"/>
      <c r="M1798" s="28"/>
      <c r="N1798" s="28"/>
      <c r="O1798" s="27"/>
      <c r="P1798" s="27"/>
    </row>
    <row r="1799">
      <c r="A1799" s="33"/>
      <c r="B1799" s="34"/>
      <c r="C1799" s="34"/>
      <c r="D1799" s="34"/>
      <c r="E1799" s="27"/>
      <c r="F1799" s="27"/>
      <c r="G1799" s="27"/>
      <c r="H1799" s="27"/>
      <c r="I1799" s="27"/>
      <c r="J1799" s="27"/>
      <c r="K1799" s="27"/>
      <c r="L1799" s="27"/>
      <c r="M1799" s="28"/>
      <c r="N1799" s="28"/>
      <c r="O1799" s="27"/>
      <c r="P1799" s="27"/>
    </row>
    <row r="1800">
      <c r="A1800" s="33"/>
      <c r="B1800" s="34"/>
      <c r="C1800" s="34"/>
      <c r="D1800" s="34"/>
      <c r="E1800" s="27"/>
      <c r="F1800" s="27"/>
      <c r="G1800" s="27"/>
      <c r="H1800" s="27"/>
      <c r="I1800" s="27"/>
      <c r="J1800" s="27"/>
      <c r="K1800" s="27"/>
      <c r="L1800" s="27"/>
      <c r="M1800" s="28"/>
      <c r="N1800" s="28"/>
      <c r="O1800" s="27"/>
      <c r="P1800" s="27"/>
    </row>
    <row r="1801">
      <c r="A1801" s="33"/>
      <c r="B1801" s="34"/>
      <c r="C1801" s="34"/>
      <c r="D1801" s="34"/>
      <c r="E1801" s="27"/>
      <c r="F1801" s="27"/>
      <c r="G1801" s="27"/>
      <c r="H1801" s="27"/>
      <c r="I1801" s="27"/>
      <c r="J1801" s="27"/>
      <c r="K1801" s="27"/>
      <c r="L1801" s="27"/>
      <c r="M1801" s="28"/>
      <c r="N1801" s="28"/>
      <c r="O1801" s="27"/>
      <c r="P1801" s="27"/>
    </row>
    <row r="1802">
      <c r="A1802" s="33"/>
      <c r="B1802" s="34"/>
      <c r="C1802" s="34"/>
      <c r="D1802" s="34"/>
      <c r="E1802" s="27"/>
      <c r="F1802" s="27"/>
      <c r="G1802" s="27"/>
      <c r="H1802" s="27"/>
      <c r="I1802" s="27"/>
      <c r="J1802" s="27"/>
      <c r="K1802" s="27"/>
      <c r="L1802" s="27"/>
      <c r="M1802" s="28"/>
      <c r="N1802" s="28"/>
      <c r="O1802" s="27"/>
      <c r="P1802" s="27"/>
    </row>
    <row r="1803">
      <c r="A1803" s="33"/>
      <c r="B1803" s="34"/>
      <c r="C1803" s="34"/>
      <c r="D1803" s="34"/>
      <c r="E1803" s="27"/>
      <c r="F1803" s="27"/>
      <c r="G1803" s="27"/>
      <c r="H1803" s="27"/>
      <c r="I1803" s="27"/>
      <c r="J1803" s="27"/>
      <c r="K1803" s="27"/>
      <c r="L1803" s="27"/>
      <c r="M1803" s="28"/>
      <c r="N1803" s="28"/>
      <c r="O1803" s="27"/>
      <c r="P1803" s="27"/>
    </row>
    <row r="1804">
      <c r="A1804" s="33"/>
      <c r="B1804" s="34"/>
      <c r="C1804" s="34"/>
      <c r="D1804" s="34"/>
      <c r="E1804" s="27"/>
      <c r="F1804" s="27"/>
      <c r="G1804" s="27"/>
      <c r="H1804" s="27"/>
      <c r="I1804" s="27"/>
      <c r="J1804" s="27"/>
      <c r="K1804" s="27"/>
      <c r="L1804" s="27"/>
      <c r="M1804" s="28"/>
      <c r="N1804" s="28"/>
      <c r="O1804" s="27"/>
      <c r="P1804" s="27"/>
    </row>
    <row r="1805">
      <c r="A1805" s="33"/>
      <c r="B1805" s="34"/>
      <c r="C1805" s="34"/>
      <c r="D1805" s="34"/>
      <c r="E1805" s="27"/>
      <c r="F1805" s="27"/>
      <c r="G1805" s="27"/>
      <c r="H1805" s="27"/>
      <c r="I1805" s="27"/>
      <c r="J1805" s="27"/>
      <c r="K1805" s="27"/>
      <c r="L1805" s="27"/>
      <c r="M1805" s="28"/>
      <c r="N1805" s="28"/>
      <c r="O1805" s="27"/>
      <c r="P1805" s="27"/>
    </row>
    <row r="1806">
      <c r="A1806" s="33"/>
      <c r="B1806" s="34"/>
      <c r="C1806" s="34"/>
      <c r="D1806" s="34"/>
      <c r="E1806" s="27"/>
      <c r="F1806" s="27"/>
      <c r="G1806" s="27"/>
      <c r="H1806" s="27"/>
      <c r="I1806" s="27"/>
      <c r="J1806" s="27"/>
      <c r="K1806" s="27"/>
      <c r="L1806" s="27"/>
      <c r="M1806" s="28"/>
      <c r="N1806" s="28"/>
      <c r="O1806" s="27"/>
      <c r="P1806" s="27"/>
    </row>
    <row r="1807">
      <c r="A1807" s="33"/>
      <c r="B1807" s="34"/>
      <c r="C1807" s="34"/>
      <c r="D1807" s="34"/>
      <c r="E1807" s="27"/>
      <c r="F1807" s="27"/>
      <c r="G1807" s="27"/>
      <c r="H1807" s="27"/>
      <c r="I1807" s="27"/>
      <c r="J1807" s="27"/>
      <c r="K1807" s="27"/>
      <c r="L1807" s="27"/>
      <c r="M1807" s="28"/>
      <c r="N1807" s="28"/>
      <c r="O1807" s="27"/>
      <c r="P1807" s="27"/>
    </row>
    <row r="1808">
      <c r="A1808" s="33"/>
      <c r="B1808" s="34"/>
      <c r="C1808" s="34"/>
      <c r="D1808" s="34"/>
      <c r="E1808" s="27"/>
      <c r="F1808" s="27"/>
      <c r="G1808" s="27"/>
      <c r="H1808" s="27"/>
      <c r="I1808" s="27"/>
      <c r="J1808" s="27"/>
      <c r="K1808" s="27"/>
      <c r="L1808" s="27"/>
      <c r="M1808" s="28"/>
      <c r="N1808" s="28"/>
      <c r="O1808" s="27"/>
      <c r="P1808" s="27"/>
    </row>
    <row r="1809">
      <c r="A1809" s="33"/>
      <c r="B1809" s="34"/>
      <c r="C1809" s="34"/>
      <c r="D1809" s="34"/>
      <c r="E1809" s="27"/>
      <c r="F1809" s="27"/>
      <c r="G1809" s="27"/>
      <c r="H1809" s="27"/>
      <c r="I1809" s="27"/>
      <c r="J1809" s="27"/>
      <c r="K1809" s="27"/>
      <c r="L1809" s="27"/>
      <c r="M1809" s="28"/>
      <c r="N1809" s="28"/>
      <c r="O1809" s="27"/>
      <c r="P1809" s="27"/>
    </row>
    <row r="1810">
      <c r="A1810" s="33"/>
      <c r="B1810" s="34"/>
      <c r="C1810" s="34"/>
      <c r="D1810" s="34"/>
      <c r="E1810" s="27"/>
      <c r="F1810" s="27"/>
      <c r="G1810" s="27"/>
      <c r="H1810" s="27"/>
      <c r="I1810" s="27"/>
      <c r="J1810" s="27"/>
      <c r="K1810" s="27"/>
      <c r="L1810" s="27"/>
      <c r="M1810" s="28"/>
      <c r="N1810" s="28"/>
      <c r="O1810" s="27"/>
      <c r="P1810" s="27"/>
    </row>
    <row r="1811">
      <c r="A1811" s="33"/>
      <c r="B1811" s="34"/>
      <c r="C1811" s="34"/>
      <c r="D1811" s="34"/>
      <c r="E1811" s="27"/>
      <c r="F1811" s="27"/>
      <c r="G1811" s="27"/>
      <c r="H1811" s="27"/>
      <c r="I1811" s="27"/>
      <c r="J1811" s="27"/>
      <c r="K1811" s="27"/>
      <c r="L1811" s="27"/>
      <c r="M1811" s="28"/>
      <c r="N1811" s="28"/>
      <c r="O1811" s="27"/>
      <c r="P1811" s="27"/>
    </row>
    <row r="1812">
      <c r="A1812" s="33"/>
      <c r="B1812" s="34"/>
      <c r="C1812" s="34"/>
      <c r="D1812" s="34"/>
      <c r="E1812" s="27"/>
      <c r="F1812" s="27"/>
      <c r="G1812" s="27"/>
      <c r="H1812" s="27"/>
      <c r="I1812" s="27"/>
      <c r="J1812" s="27"/>
      <c r="K1812" s="27"/>
      <c r="L1812" s="27"/>
      <c r="M1812" s="28"/>
      <c r="N1812" s="28"/>
      <c r="O1812" s="27"/>
      <c r="P1812" s="27"/>
    </row>
    <row r="1813">
      <c r="A1813" s="33"/>
      <c r="B1813" s="34"/>
      <c r="C1813" s="34"/>
      <c r="D1813" s="34"/>
      <c r="E1813" s="27"/>
      <c r="F1813" s="27"/>
      <c r="G1813" s="27"/>
      <c r="H1813" s="27"/>
      <c r="I1813" s="27"/>
      <c r="J1813" s="27"/>
      <c r="K1813" s="27"/>
      <c r="L1813" s="27"/>
      <c r="M1813" s="28"/>
      <c r="N1813" s="28"/>
      <c r="O1813" s="27"/>
      <c r="P1813" s="27"/>
    </row>
    <row r="1814">
      <c r="A1814" s="33"/>
      <c r="B1814" s="34"/>
      <c r="C1814" s="34"/>
      <c r="D1814" s="34"/>
      <c r="E1814" s="27"/>
      <c r="F1814" s="27"/>
      <c r="G1814" s="27"/>
      <c r="H1814" s="27"/>
      <c r="I1814" s="27"/>
      <c r="J1814" s="27"/>
      <c r="K1814" s="27"/>
      <c r="L1814" s="27"/>
      <c r="M1814" s="28"/>
      <c r="N1814" s="28"/>
      <c r="O1814" s="27"/>
      <c r="P1814" s="27"/>
    </row>
    <row r="1815">
      <c r="A1815" s="33"/>
      <c r="B1815" s="34"/>
      <c r="C1815" s="34"/>
      <c r="D1815" s="34"/>
      <c r="E1815" s="27"/>
      <c r="F1815" s="27"/>
      <c r="G1815" s="27"/>
      <c r="H1815" s="27"/>
      <c r="I1815" s="27"/>
      <c r="J1815" s="27"/>
      <c r="K1815" s="27"/>
      <c r="L1815" s="27"/>
      <c r="M1815" s="28"/>
      <c r="N1815" s="28"/>
      <c r="O1815" s="27"/>
      <c r="P1815" s="27"/>
    </row>
    <row r="1816">
      <c r="A1816" s="33"/>
      <c r="B1816" s="34"/>
      <c r="C1816" s="34"/>
      <c r="D1816" s="34"/>
      <c r="E1816" s="27"/>
      <c r="F1816" s="27"/>
      <c r="G1816" s="27"/>
      <c r="H1816" s="27"/>
      <c r="I1816" s="27"/>
      <c r="J1816" s="27"/>
      <c r="K1816" s="27"/>
      <c r="L1816" s="27"/>
      <c r="M1816" s="28"/>
      <c r="N1816" s="28"/>
      <c r="O1816" s="27"/>
      <c r="P1816" s="27"/>
    </row>
    <row r="1817">
      <c r="A1817" s="33"/>
      <c r="B1817" s="34"/>
      <c r="C1817" s="34"/>
      <c r="D1817" s="34"/>
      <c r="E1817" s="27"/>
      <c r="F1817" s="27"/>
      <c r="G1817" s="27"/>
      <c r="H1817" s="27"/>
      <c r="I1817" s="27"/>
      <c r="J1817" s="27"/>
      <c r="K1817" s="27"/>
      <c r="L1817" s="27"/>
      <c r="M1817" s="28"/>
      <c r="N1817" s="28"/>
      <c r="O1817" s="27"/>
      <c r="P1817" s="27"/>
    </row>
    <row r="1818">
      <c r="A1818" s="33"/>
      <c r="B1818" s="34"/>
      <c r="C1818" s="34"/>
      <c r="D1818" s="34"/>
      <c r="E1818" s="27"/>
      <c r="F1818" s="27"/>
      <c r="G1818" s="27"/>
      <c r="H1818" s="27"/>
      <c r="I1818" s="27"/>
      <c r="J1818" s="27"/>
      <c r="K1818" s="27"/>
      <c r="L1818" s="27"/>
      <c r="M1818" s="28"/>
      <c r="N1818" s="28"/>
      <c r="O1818" s="27"/>
      <c r="P1818" s="27"/>
    </row>
    <row r="1819">
      <c r="A1819" s="33"/>
      <c r="B1819" s="34"/>
      <c r="C1819" s="34"/>
      <c r="D1819" s="34"/>
      <c r="E1819" s="27"/>
      <c r="F1819" s="27"/>
      <c r="G1819" s="27"/>
      <c r="H1819" s="27"/>
      <c r="I1819" s="27"/>
      <c r="J1819" s="27"/>
      <c r="K1819" s="27"/>
      <c r="L1819" s="27"/>
      <c r="M1819" s="28"/>
      <c r="N1819" s="28"/>
      <c r="O1819" s="27"/>
      <c r="P1819" s="27"/>
    </row>
    <row r="1820">
      <c r="A1820" s="33"/>
      <c r="B1820" s="34"/>
      <c r="C1820" s="34"/>
      <c r="D1820" s="34"/>
      <c r="E1820" s="27"/>
      <c r="F1820" s="27"/>
      <c r="G1820" s="27"/>
      <c r="H1820" s="27"/>
      <c r="I1820" s="27"/>
      <c r="J1820" s="27"/>
      <c r="K1820" s="27"/>
      <c r="L1820" s="27"/>
      <c r="M1820" s="28"/>
      <c r="N1820" s="28"/>
      <c r="O1820" s="27"/>
      <c r="P1820" s="27"/>
    </row>
    <row r="1821">
      <c r="A1821" s="33"/>
      <c r="B1821" s="34"/>
      <c r="C1821" s="34"/>
      <c r="D1821" s="34"/>
      <c r="E1821" s="27"/>
      <c r="F1821" s="27"/>
      <c r="G1821" s="27"/>
      <c r="H1821" s="27"/>
      <c r="I1821" s="27"/>
      <c r="J1821" s="27"/>
      <c r="K1821" s="27"/>
      <c r="L1821" s="27"/>
      <c r="M1821" s="28"/>
      <c r="N1821" s="28"/>
      <c r="O1821" s="27"/>
      <c r="P1821" s="27"/>
    </row>
    <row r="1822">
      <c r="A1822" s="33"/>
      <c r="B1822" s="34"/>
      <c r="C1822" s="34"/>
      <c r="D1822" s="34"/>
      <c r="E1822" s="27"/>
      <c r="F1822" s="27"/>
      <c r="G1822" s="27"/>
      <c r="H1822" s="27"/>
      <c r="I1822" s="27"/>
      <c r="J1822" s="27"/>
      <c r="K1822" s="27"/>
      <c r="L1822" s="27"/>
      <c r="M1822" s="28"/>
      <c r="N1822" s="28"/>
      <c r="O1822" s="27"/>
      <c r="P1822" s="27"/>
    </row>
    <row r="1823">
      <c r="A1823" s="33"/>
      <c r="B1823" s="34"/>
      <c r="C1823" s="34"/>
      <c r="D1823" s="34"/>
      <c r="E1823" s="27"/>
      <c r="F1823" s="27"/>
      <c r="G1823" s="27"/>
      <c r="H1823" s="27"/>
      <c r="I1823" s="27"/>
      <c r="J1823" s="27"/>
      <c r="K1823" s="27"/>
      <c r="L1823" s="27"/>
      <c r="M1823" s="28"/>
      <c r="N1823" s="28"/>
      <c r="O1823" s="27"/>
      <c r="P1823" s="27"/>
    </row>
    <row r="1824">
      <c r="A1824" s="33"/>
      <c r="B1824" s="34"/>
      <c r="C1824" s="34"/>
      <c r="D1824" s="34"/>
      <c r="E1824" s="27"/>
      <c r="F1824" s="27"/>
      <c r="G1824" s="27"/>
      <c r="H1824" s="27"/>
      <c r="I1824" s="27"/>
      <c r="J1824" s="27"/>
      <c r="K1824" s="27"/>
      <c r="L1824" s="27"/>
      <c r="M1824" s="28"/>
      <c r="N1824" s="28"/>
      <c r="O1824" s="27"/>
      <c r="P1824" s="27"/>
    </row>
    <row r="1825">
      <c r="A1825" s="33"/>
      <c r="B1825" s="34"/>
      <c r="C1825" s="34"/>
      <c r="D1825" s="34"/>
      <c r="E1825" s="27"/>
      <c r="F1825" s="27"/>
      <c r="G1825" s="27"/>
      <c r="H1825" s="27"/>
      <c r="I1825" s="27"/>
      <c r="J1825" s="27"/>
      <c r="K1825" s="27"/>
      <c r="L1825" s="27"/>
      <c r="M1825" s="28"/>
      <c r="N1825" s="28"/>
      <c r="O1825" s="27"/>
      <c r="P1825" s="27"/>
    </row>
    <row r="1826">
      <c r="A1826" s="33"/>
      <c r="B1826" s="34"/>
      <c r="C1826" s="34"/>
      <c r="D1826" s="34"/>
      <c r="E1826" s="27"/>
      <c r="F1826" s="27"/>
      <c r="G1826" s="27"/>
      <c r="H1826" s="27"/>
      <c r="I1826" s="27"/>
      <c r="J1826" s="27"/>
      <c r="K1826" s="27"/>
      <c r="L1826" s="27"/>
      <c r="M1826" s="28"/>
      <c r="N1826" s="28"/>
      <c r="O1826" s="27"/>
      <c r="P1826" s="27"/>
    </row>
    <row r="1827">
      <c r="A1827" s="33"/>
      <c r="B1827" s="34"/>
      <c r="C1827" s="34"/>
      <c r="D1827" s="34"/>
      <c r="E1827" s="27"/>
      <c r="F1827" s="27"/>
      <c r="G1827" s="27"/>
      <c r="H1827" s="27"/>
      <c r="I1827" s="27"/>
      <c r="J1827" s="27"/>
      <c r="K1827" s="27"/>
      <c r="L1827" s="27"/>
      <c r="M1827" s="28"/>
      <c r="N1827" s="28"/>
      <c r="O1827" s="27"/>
      <c r="P1827" s="27"/>
    </row>
    <row r="1828">
      <c r="A1828" s="33"/>
      <c r="B1828" s="34"/>
      <c r="C1828" s="34"/>
      <c r="D1828" s="34"/>
      <c r="E1828" s="27"/>
      <c r="F1828" s="27"/>
      <c r="G1828" s="27"/>
      <c r="H1828" s="27"/>
      <c r="I1828" s="27"/>
      <c r="J1828" s="27"/>
      <c r="K1828" s="27"/>
      <c r="L1828" s="27"/>
      <c r="M1828" s="28"/>
      <c r="N1828" s="28"/>
      <c r="O1828" s="27"/>
      <c r="P1828" s="27"/>
    </row>
    <row r="1829">
      <c r="A1829" s="33"/>
      <c r="B1829" s="34"/>
      <c r="C1829" s="34"/>
      <c r="D1829" s="34"/>
      <c r="E1829" s="27"/>
      <c r="F1829" s="27"/>
      <c r="G1829" s="27"/>
      <c r="H1829" s="27"/>
      <c r="I1829" s="27"/>
      <c r="J1829" s="27"/>
      <c r="K1829" s="27"/>
      <c r="L1829" s="27"/>
      <c r="M1829" s="28"/>
      <c r="N1829" s="28"/>
      <c r="O1829" s="27"/>
      <c r="P1829" s="27"/>
    </row>
    <row r="1830">
      <c r="A1830" s="33"/>
      <c r="B1830" s="34"/>
      <c r="C1830" s="34"/>
      <c r="D1830" s="34"/>
      <c r="E1830" s="27"/>
      <c r="F1830" s="27"/>
      <c r="G1830" s="27"/>
      <c r="H1830" s="27"/>
      <c r="I1830" s="27"/>
      <c r="J1830" s="27"/>
      <c r="K1830" s="27"/>
      <c r="L1830" s="27"/>
      <c r="M1830" s="28"/>
      <c r="N1830" s="28"/>
      <c r="O1830" s="27"/>
      <c r="P1830" s="27"/>
    </row>
    <row r="1831">
      <c r="A1831" s="33"/>
      <c r="B1831" s="34"/>
      <c r="C1831" s="34"/>
      <c r="D1831" s="34"/>
      <c r="E1831" s="27"/>
      <c r="F1831" s="27"/>
      <c r="G1831" s="27"/>
      <c r="H1831" s="27"/>
      <c r="I1831" s="27"/>
      <c r="J1831" s="27"/>
      <c r="K1831" s="27"/>
      <c r="L1831" s="27"/>
      <c r="M1831" s="28"/>
      <c r="N1831" s="28"/>
      <c r="O1831" s="27"/>
      <c r="P1831" s="27"/>
    </row>
    <row r="1832">
      <c r="A1832" s="33"/>
      <c r="B1832" s="34"/>
      <c r="C1832" s="34"/>
      <c r="D1832" s="34"/>
      <c r="E1832" s="27"/>
      <c r="F1832" s="27"/>
      <c r="G1832" s="27"/>
      <c r="H1832" s="27"/>
      <c r="I1832" s="27"/>
      <c r="J1832" s="27"/>
      <c r="K1832" s="27"/>
      <c r="L1832" s="27"/>
      <c r="M1832" s="28"/>
      <c r="N1832" s="28"/>
      <c r="O1832" s="27"/>
      <c r="P1832" s="27"/>
    </row>
    <row r="1833">
      <c r="A1833" s="33"/>
      <c r="B1833" s="34"/>
      <c r="C1833" s="34"/>
      <c r="D1833" s="34"/>
      <c r="E1833" s="27"/>
      <c r="F1833" s="27"/>
      <c r="G1833" s="27"/>
      <c r="H1833" s="27"/>
      <c r="I1833" s="27"/>
      <c r="J1833" s="27"/>
      <c r="K1833" s="27"/>
      <c r="L1833" s="27"/>
      <c r="M1833" s="28"/>
      <c r="N1833" s="28"/>
      <c r="O1833" s="27"/>
      <c r="P1833" s="27"/>
    </row>
    <row r="1834">
      <c r="A1834" s="33"/>
      <c r="B1834" s="34"/>
      <c r="C1834" s="34"/>
      <c r="D1834" s="34"/>
      <c r="E1834" s="27"/>
      <c r="F1834" s="27"/>
      <c r="G1834" s="27"/>
      <c r="H1834" s="27"/>
      <c r="I1834" s="27"/>
      <c r="J1834" s="27"/>
      <c r="K1834" s="27"/>
      <c r="L1834" s="27"/>
      <c r="M1834" s="28"/>
      <c r="N1834" s="28"/>
      <c r="O1834" s="27"/>
      <c r="P1834" s="27"/>
    </row>
    <row r="1835">
      <c r="A1835" s="33"/>
      <c r="B1835" s="34"/>
      <c r="C1835" s="34"/>
      <c r="D1835" s="34"/>
      <c r="E1835" s="27"/>
      <c r="F1835" s="27"/>
      <c r="G1835" s="27"/>
      <c r="H1835" s="27"/>
      <c r="I1835" s="27"/>
      <c r="J1835" s="27"/>
      <c r="K1835" s="27"/>
      <c r="L1835" s="27"/>
      <c r="M1835" s="28"/>
      <c r="N1835" s="28"/>
      <c r="O1835" s="27"/>
      <c r="P1835" s="27"/>
    </row>
    <row r="1836">
      <c r="A1836" s="33"/>
      <c r="B1836" s="34"/>
      <c r="C1836" s="34"/>
      <c r="D1836" s="34"/>
      <c r="E1836" s="27"/>
      <c r="F1836" s="27"/>
      <c r="G1836" s="27"/>
      <c r="H1836" s="27"/>
      <c r="I1836" s="27"/>
      <c r="J1836" s="27"/>
      <c r="K1836" s="27"/>
      <c r="L1836" s="27"/>
      <c r="M1836" s="28"/>
      <c r="N1836" s="28"/>
      <c r="O1836" s="27"/>
      <c r="P1836" s="27"/>
    </row>
    <row r="1837">
      <c r="A1837" s="33"/>
      <c r="B1837" s="34"/>
      <c r="C1837" s="34"/>
      <c r="D1837" s="34"/>
      <c r="E1837" s="27"/>
      <c r="F1837" s="27"/>
      <c r="G1837" s="27"/>
      <c r="H1837" s="27"/>
      <c r="I1837" s="27"/>
      <c r="J1837" s="27"/>
      <c r="K1837" s="27"/>
      <c r="L1837" s="27"/>
      <c r="M1837" s="28"/>
      <c r="N1837" s="28"/>
      <c r="O1837" s="27"/>
      <c r="P1837" s="27"/>
    </row>
    <row r="1838">
      <c r="A1838" s="33"/>
      <c r="B1838" s="34"/>
      <c r="C1838" s="34"/>
      <c r="D1838" s="34"/>
      <c r="E1838" s="27"/>
      <c r="F1838" s="27"/>
      <c r="G1838" s="27"/>
      <c r="H1838" s="27"/>
      <c r="I1838" s="27"/>
      <c r="J1838" s="27"/>
      <c r="K1838" s="27"/>
      <c r="L1838" s="27"/>
      <c r="M1838" s="28"/>
      <c r="N1838" s="28"/>
      <c r="O1838" s="27"/>
      <c r="P1838" s="27"/>
    </row>
    <row r="1839">
      <c r="A1839" s="33"/>
      <c r="B1839" s="34"/>
      <c r="C1839" s="34"/>
      <c r="D1839" s="34"/>
      <c r="E1839" s="27"/>
      <c r="F1839" s="27"/>
      <c r="G1839" s="27"/>
      <c r="H1839" s="27"/>
      <c r="I1839" s="27"/>
      <c r="J1839" s="27"/>
      <c r="K1839" s="27"/>
      <c r="L1839" s="27"/>
      <c r="M1839" s="28"/>
      <c r="N1839" s="28"/>
      <c r="O1839" s="27"/>
      <c r="P1839" s="27"/>
    </row>
    <row r="1840">
      <c r="A1840" s="33"/>
      <c r="B1840" s="34"/>
      <c r="C1840" s="34"/>
      <c r="D1840" s="34"/>
      <c r="E1840" s="27"/>
      <c r="F1840" s="27"/>
      <c r="G1840" s="27"/>
      <c r="H1840" s="27"/>
      <c r="I1840" s="27"/>
      <c r="J1840" s="27"/>
      <c r="K1840" s="27"/>
      <c r="L1840" s="27"/>
      <c r="M1840" s="28"/>
      <c r="N1840" s="28"/>
      <c r="O1840" s="27"/>
      <c r="P1840" s="27"/>
    </row>
    <row r="1841">
      <c r="A1841" s="33"/>
      <c r="B1841" s="34"/>
      <c r="C1841" s="34"/>
      <c r="D1841" s="34"/>
      <c r="E1841" s="27"/>
      <c r="F1841" s="27"/>
      <c r="G1841" s="27"/>
      <c r="H1841" s="27"/>
      <c r="I1841" s="27"/>
      <c r="J1841" s="27"/>
      <c r="K1841" s="27"/>
      <c r="L1841" s="27"/>
      <c r="M1841" s="28"/>
      <c r="N1841" s="28"/>
      <c r="O1841" s="27"/>
      <c r="P1841" s="27"/>
    </row>
    <row r="1842">
      <c r="A1842" s="33"/>
      <c r="B1842" s="34"/>
      <c r="C1842" s="34"/>
      <c r="D1842" s="34"/>
      <c r="E1842" s="27"/>
      <c r="F1842" s="27"/>
      <c r="G1842" s="27"/>
      <c r="H1842" s="27"/>
      <c r="I1842" s="27"/>
      <c r="J1842" s="27"/>
      <c r="K1842" s="27"/>
      <c r="L1842" s="27"/>
      <c r="M1842" s="28"/>
      <c r="N1842" s="28"/>
      <c r="O1842" s="27"/>
      <c r="P1842" s="27"/>
    </row>
    <row r="1843">
      <c r="A1843" s="33"/>
      <c r="B1843" s="34"/>
      <c r="C1843" s="34"/>
      <c r="D1843" s="34"/>
      <c r="E1843" s="27"/>
      <c r="F1843" s="27"/>
      <c r="G1843" s="27"/>
      <c r="H1843" s="27"/>
      <c r="I1843" s="27"/>
      <c r="J1843" s="27"/>
      <c r="K1843" s="27"/>
      <c r="L1843" s="27"/>
      <c r="M1843" s="28"/>
      <c r="N1843" s="28"/>
      <c r="O1843" s="27"/>
      <c r="P1843" s="27"/>
    </row>
    <row r="1844">
      <c r="A1844" s="33"/>
      <c r="B1844" s="34"/>
      <c r="C1844" s="34"/>
      <c r="D1844" s="34"/>
      <c r="E1844" s="27"/>
      <c r="F1844" s="27"/>
      <c r="G1844" s="27"/>
      <c r="H1844" s="27"/>
      <c r="I1844" s="27"/>
      <c r="J1844" s="27"/>
      <c r="K1844" s="27"/>
      <c r="L1844" s="27"/>
      <c r="M1844" s="28"/>
      <c r="N1844" s="28"/>
      <c r="O1844" s="27"/>
      <c r="P1844" s="27"/>
    </row>
    <row r="1845">
      <c r="A1845" s="33"/>
      <c r="B1845" s="34"/>
      <c r="C1845" s="34"/>
      <c r="D1845" s="34"/>
      <c r="E1845" s="27"/>
      <c r="F1845" s="27"/>
      <c r="G1845" s="27"/>
      <c r="H1845" s="27"/>
      <c r="I1845" s="27"/>
      <c r="J1845" s="27"/>
      <c r="K1845" s="27"/>
      <c r="L1845" s="27"/>
      <c r="M1845" s="28"/>
      <c r="N1845" s="28"/>
      <c r="O1845" s="27"/>
      <c r="P1845" s="27"/>
    </row>
    <row r="1846">
      <c r="A1846" s="33"/>
      <c r="B1846" s="34"/>
      <c r="C1846" s="34"/>
      <c r="D1846" s="34"/>
      <c r="E1846" s="27"/>
      <c r="F1846" s="27"/>
      <c r="G1846" s="27"/>
      <c r="H1846" s="27"/>
      <c r="I1846" s="27"/>
      <c r="J1846" s="27"/>
      <c r="K1846" s="27"/>
      <c r="L1846" s="27"/>
      <c r="M1846" s="28"/>
      <c r="N1846" s="28"/>
      <c r="O1846" s="27"/>
      <c r="P1846" s="27"/>
    </row>
    <row r="1847">
      <c r="A1847" s="33"/>
      <c r="B1847" s="34"/>
      <c r="C1847" s="34"/>
      <c r="D1847" s="34"/>
      <c r="E1847" s="27"/>
      <c r="F1847" s="27"/>
      <c r="G1847" s="27"/>
      <c r="H1847" s="27"/>
      <c r="I1847" s="27"/>
      <c r="J1847" s="27"/>
      <c r="K1847" s="27"/>
      <c r="L1847" s="27"/>
      <c r="M1847" s="28"/>
      <c r="N1847" s="28"/>
      <c r="O1847" s="27"/>
      <c r="P1847" s="27"/>
    </row>
    <row r="1848">
      <c r="A1848" s="33"/>
      <c r="B1848" s="34"/>
      <c r="C1848" s="34"/>
      <c r="D1848" s="34"/>
      <c r="E1848" s="27"/>
      <c r="F1848" s="27"/>
      <c r="G1848" s="27"/>
      <c r="H1848" s="27"/>
      <c r="I1848" s="27"/>
      <c r="J1848" s="27"/>
      <c r="K1848" s="27"/>
      <c r="L1848" s="27"/>
      <c r="M1848" s="28"/>
      <c r="N1848" s="28"/>
      <c r="O1848" s="27"/>
      <c r="P1848" s="27"/>
    </row>
    <row r="1849">
      <c r="A1849" s="33"/>
      <c r="B1849" s="34"/>
      <c r="C1849" s="34"/>
      <c r="D1849" s="34"/>
      <c r="E1849" s="27"/>
      <c r="F1849" s="27"/>
      <c r="G1849" s="27"/>
      <c r="H1849" s="27"/>
      <c r="I1849" s="27"/>
      <c r="J1849" s="27"/>
      <c r="K1849" s="27"/>
      <c r="L1849" s="27"/>
      <c r="M1849" s="28"/>
      <c r="N1849" s="28"/>
      <c r="O1849" s="27"/>
      <c r="P1849" s="27"/>
    </row>
    <row r="1850">
      <c r="A1850" s="33"/>
      <c r="B1850" s="34"/>
      <c r="C1850" s="34"/>
      <c r="D1850" s="34"/>
      <c r="E1850" s="27"/>
      <c r="F1850" s="27"/>
      <c r="G1850" s="27"/>
      <c r="H1850" s="27"/>
      <c r="I1850" s="27"/>
      <c r="J1850" s="27"/>
      <c r="K1850" s="27"/>
      <c r="L1850" s="27"/>
      <c r="M1850" s="28"/>
      <c r="N1850" s="28"/>
      <c r="O1850" s="27"/>
      <c r="P1850" s="27"/>
    </row>
    <row r="1851">
      <c r="A1851" s="33"/>
      <c r="B1851" s="34"/>
      <c r="C1851" s="34"/>
      <c r="D1851" s="34"/>
      <c r="E1851" s="27"/>
      <c r="F1851" s="27"/>
      <c r="G1851" s="27"/>
      <c r="H1851" s="27"/>
      <c r="I1851" s="27"/>
      <c r="J1851" s="27"/>
      <c r="K1851" s="27"/>
      <c r="L1851" s="27"/>
      <c r="M1851" s="28"/>
      <c r="N1851" s="28"/>
      <c r="O1851" s="27"/>
      <c r="P1851" s="27"/>
    </row>
    <row r="1852">
      <c r="A1852" s="33"/>
      <c r="B1852" s="34"/>
      <c r="C1852" s="34"/>
      <c r="D1852" s="34"/>
      <c r="E1852" s="27"/>
      <c r="F1852" s="27"/>
      <c r="G1852" s="27"/>
      <c r="H1852" s="27"/>
      <c r="I1852" s="27"/>
      <c r="J1852" s="27"/>
      <c r="K1852" s="27"/>
      <c r="L1852" s="27"/>
      <c r="M1852" s="28"/>
      <c r="N1852" s="28"/>
      <c r="O1852" s="27"/>
      <c r="P1852" s="27"/>
    </row>
    <row r="1853">
      <c r="A1853" s="33"/>
      <c r="B1853" s="34"/>
      <c r="C1853" s="34"/>
      <c r="D1853" s="34"/>
      <c r="E1853" s="27"/>
      <c r="F1853" s="27"/>
      <c r="G1853" s="27"/>
      <c r="H1853" s="27"/>
      <c r="I1853" s="27"/>
      <c r="J1853" s="27"/>
      <c r="K1853" s="27"/>
      <c r="L1853" s="27"/>
      <c r="M1853" s="28"/>
      <c r="N1853" s="28"/>
      <c r="O1853" s="27"/>
      <c r="P1853" s="27"/>
    </row>
    <row r="1854">
      <c r="A1854" s="33"/>
      <c r="B1854" s="34"/>
      <c r="C1854" s="34"/>
      <c r="D1854" s="34"/>
      <c r="E1854" s="27"/>
      <c r="F1854" s="27"/>
      <c r="G1854" s="27"/>
      <c r="H1854" s="27"/>
      <c r="I1854" s="27"/>
      <c r="J1854" s="27"/>
      <c r="K1854" s="27"/>
      <c r="L1854" s="27"/>
      <c r="M1854" s="28"/>
      <c r="N1854" s="28"/>
      <c r="O1854" s="27"/>
      <c r="P1854" s="27"/>
    </row>
    <row r="1855">
      <c r="A1855" s="33"/>
      <c r="B1855" s="34"/>
      <c r="C1855" s="34"/>
      <c r="D1855" s="34"/>
      <c r="E1855" s="27"/>
      <c r="F1855" s="27"/>
      <c r="G1855" s="27"/>
      <c r="H1855" s="27"/>
      <c r="I1855" s="27"/>
      <c r="J1855" s="27"/>
      <c r="K1855" s="27"/>
      <c r="L1855" s="27"/>
      <c r="M1855" s="28"/>
      <c r="N1855" s="28"/>
      <c r="O1855" s="27"/>
      <c r="P1855" s="27"/>
    </row>
    <row r="1856">
      <c r="A1856" s="33"/>
      <c r="B1856" s="34"/>
      <c r="C1856" s="34"/>
      <c r="D1856" s="34"/>
      <c r="E1856" s="27"/>
      <c r="F1856" s="27"/>
      <c r="G1856" s="27"/>
      <c r="H1856" s="27"/>
      <c r="I1856" s="27"/>
      <c r="J1856" s="27"/>
      <c r="K1856" s="27"/>
      <c r="L1856" s="27"/>
      <c r="M1856" s="28"/>
      <c r="N1856" s="28"/>
      <c r="O1856" s="27"/>
      <c r="P1856" s="27"/>
    </row>
    <row r="1857">
      <c r="A1857" s="33"/>
      <c r="B1857" s="34"/>
      <c r="C1857" s="34"/>
      <c r="D1857" s="34"/>
      <c r="E1857" s="27"/>
      <c r="F1857" s="27"/>
      <c r="G1857" s="27"/>
      <c r="H1857" s="27"/>
      <c r="I1857" s="27"/>
      <c r="J1857" s="27"/>
      <c r="K1857" s="27"/>
      <c r="L1857" s="27"/>
      <c r="M1857" s="28"/>
      <c r="N1857" s="28"/>
      <c r="O1857" s="27"/>
      <c r="P1857" s="27"/>
    </row>
    <row r="1858">
      <c r="A1858" s="33"/>
      <c r="B1858" s="34"/>
      <c r="C1858" s="34"/>
      <c r="D1858" s="34"/>
      <c r="E1858" s="27"/>
      <c r="F1858" s="27"/>
      <c r="G1858" s="27"/>
      <c r="H1858" s="27"/>
      <c r="I1858" s="27"/>
      <c r="J1858" s="27"/>
      <c r="K1858" s="27"/>
      <c r="L1858" s="27"/>
      <c r="M1858" s="28"/>
      <c r="N1858" s="28"/>
      <c r="O1858" s="27"/>
      <c r="P1858" s="27"/>
    </row>
    <row r="1859">
      <c r="A1859" s="33"/>
      <c r="B1859" s="34"/>
      <c r="C1859" s="34"/>
      <c r="D1859" s="34"/>
      <c r="E1859" s="27"/>
      <c r="F1859" s="27"/>
      <c r="G1859" s="27"/>
      <c r="H1859" s="27"/>
      <c r="I1859" s="27"/>
      <c r="J1859" s="27"/>
      <c r="K1859" s="27"/>
      <c r="L1859" s="27"/>
      <c r="M1859" s="28"/>
      <c r="N1859" s="28"/>
      <c r="O1859" s="27"/>
      <c r="P1859" s="27"/>
    </row>
    <row r="1860">
      <c r="A1860" s="33"/>
      <c r="B1860" s="34"/>
      <c r="C1860" s="34"/>
      <c r="D1860" s="34"/>
      <c r="E1860" s="27"/>
      <c r="F1860" s="27"/>
      <c r="G1860" s="27"/>
      <c r="H1860" s="27"/>
      <c r="I1860" s="27"/>
      <c r="J1860" s="27"/>
      <c r="K1860" s="27"/>
      <c r="L1860" s="27"/>
      <c r="M1860" s="28"/>
      <c r="N1860" s="28"/>
      <c r="O1860" s="27"/>
      <c r="P1860" s="27"/>
    </row>
    <row r="1861">
      <c r="A1861" s="33"/>
      <c r="B1861" s="34"/>
      <c r="C1861" s="34"/>
      <c r="D1861" s="34"/>
      <c r="E1861" s="27"/>
      <c r="F1861" s="27"/>
      <c r="G1861" s="27"/>
      <c r="H1861" s="27"/>
      <c r="I1861" s="27"/>
      <c r="J1861" s="27"/>
      <c r="K1861" s="27"/>
      <c r="L1861" s="27"/>
      <c r="M1861" s="28"/>
      <c r="N1861" s="28"/>
      <c r="O1861" s="27"/>
      <c r="P1861" s="27"/>
    </row>
    <row r="1862">
      <c r="A1862" s="33"/>
      <c r="B1862" s="34"/>
      <c r="C1862" s="34"/>
      <c r="D1862" s="34"/>
      <c r="E1862" s="27"/>
      <c r="F1862" s="27"/>
      <c r="G1862" s="27"/>
      <c r="H1862" s="27"/>
      <c r="I1862" s="27"/>
      <c r="J1862" s="27"/>
      <c r="K1862" s="27"/>
      <c r="L1862" s="27"/>
      <c r="M1862" s="28"/>
      <c r="N1862" s="28"/>
      <c r="O1862" s="27"/>
      <c r="P1862" s="27"/>
    </row>
    <row r="1863">
      <c r="A1863" s="33"/>
      <c r="B1863" s="34"/>
      <c r="C1863" s="34"/>
      <c r="D1863" s="34"/>
      <c r="E1863" s="27"/>
      <c r="F1863" s="27"/>
      <c r="G1863" s="27"/>
      <c r="H1863" s="27"/>
      <c r="I1863" s="27"/>
      <c r="J1863" s="27"/>
      <c r="K1863" s="27"/>
      <c r="L1863" s="27"/>
      <c r="M1863" s="28"/>
      <c r="N1863" s="28"/>
      <c r="O1863" s="27"/>
      <c r="P1863" s="27"/>
    </row>
    <row r="1864">
      <c r="A1864" s="33"/>
      <c r="B1864" s="34"/>
      <c r="C1864" s="34"/>
      <c r="D1864" s="34"/>
      <c r="E1864" s="27"/>
      <c r="F1864" s="27"/>
      <c r="G1864" s="27"/>
      <c r="H1864" s="27"/>
      <c r="I1864" s="27"/>
      <c r="J1864" s="27"/>
      <c r="K1864" s="27"/>
      <c r="L1864" s="27"/>
      <c r="M1864" s="28"/>
      <c r="N1864" s="28"/>
      <c r="O1864" s="27"/>
      <c r="P1864" s="27"/>
    </row>
    <row r="1865">
      <c r="A1865" s="33"/>
      <c r="B1865" s="34"/>
      <c r="C1865" s="34"/>
      <c r="D1865" s="34"/>
      <c r="E1865" s="27"/>
      <c r="F1865" s="27"/>
      <c r="G1865" s="27"/>
      <c r="H1865" s="27"/>
      <c r="I1865" s="27"/>
      <c r="J1865" s="27"/>
      <c r="K1865" s="27"/>
      <c r="L1865" s="27"/>
      <c r="M1865" s="28"/>
      <c r="N1865" s="28"/>
      <c r="O1865" s="27"/>
      <c r="P1865" s="27"/>
    </row>
    <row r="1866">
      <c r="A1866" s="33"/>
      <c r="B1866" s="34"/>
      <c r="C1866" s="34"/>
      <c r="D1866" s="34"/>
      <c r="E1866" s="27"/>
      <c r="F1866" s="27"/>
      <c r="G1866" s="27"/>
      <c r="H1866" s="27"/>
      <c r="I1866" s="27"/>
      <c r="J1866" s="27"/>
      <c r="K1866" s="27"/>
      <c r="L1866" s="27"/>
      <c r="M1866" s="28"/>
      <c r="N1866" s="28"/>
      <c r="O1866" s="27"/>
      <c r="P1866" s="27"/>
    </row>
    <row r="1867">
      <c r="A1867" s="33"/>
      <c r="B1867" s="34"/>
      <c r="C1867" s="34"/>
      <c r="D1867" s="34"/>
      <c r="E1867" s="27"/>
      <c r="F1867" s="27"/>
      <c r="G1867" s="27"/>
      <c r="H1867" s="27"/>
      <c r="I1867" s="27"/>
      <c r="J1867" s="27"/>
      <c r="K1867" s="27"/>
      <c r="L1867" s="27"/>
      <c r="M1867" s="28"/>
      <c r="N1867" s="28"/>
      <c r="O1867" s="27"/>
      <c r="P1867" s="27"/>
    </row>
    <row r="1868">
      <c r="A1868" s="33"/>
      <c r="B1868" s="34"/>
      <c r="C1868" s="34"/>
      <c r="D1868" s="34"/>
      <c r="E1868" s="27"/>
      <c r="F1868" s="27"/>
      <c r="G1868" s="27"/>
      <c r="H1868" s="27"/>
      <c r="I1868" s="27"/>
      <c r="J1868" s="27"/>
      <c r="K1868" s="27"/>
      <c r="L1868" s="27"/>
      <c r="M1868" s="28"/>
      <c r="N1868" s="28"/>
      <c r="O1868" s="27"/>
      <c r="P1868" s="27"/>
    </row>
    <row r="1869">
      <c r="A1869" s="33"/>
      <c r="B1869" s="34"/>
      <c r="C1869" s="34"/>
      <c r="D1869" s="34"/>
      <c r="E1869" s="27"/>
      <c r="F1869" s="27"/>
      <c r="G1869" s="27"/>
      <c r="H1869" s="27"/>
      <c r="I1869" s="27"/>
      <c r="J1869" s="27"/>
      <c r="K1869" s="27"/>
      <c r="L1869" s="27"/>
      <c r="M1869" s="28"/>
      <c r="N1869" s="28"/>
      <c r="O1869" s="27"/>
      <c r="P1869" s="27"/>
    </row>
    <row r="1870">
      <c r="A1870" s="33"/>
      <c r="B1870" s="34"/>
      <c r="C1870" s="34"/>
      <c r="D1870" s="34"/>
      <c r="E1870" s="27"/>
      <c r="F1870" s="27"/>
      <c r="G1870" s="27"/>
      <c r="H1870" s="27"/>
      <c r="I1870" s="27"/>
      <c r="J1870" s="27"/>
      <c r="K1870" s="27"/>
      <c r="L1870" s="27"/>
      <c r="M1870" s="28"/>
      <c r="N1870" s="28"/>
      <c r="O1870" s="27"/>
      <c r="P1870" s="27"/>
    </row>
    <row r="1871">
      <c r="A1871" s="33"/>
      <c r="B1871" s="34"/>
      <c r="C1871" s="34"/>
      <c r="D1871" s="34"/>
      <c r="E1871" s="27"/>
      <c r="F1871" s="27"/>
      <c r="G1871" s="27"/>
      <c r="H1871" s="27"/>
      <c r="I1871" s="27"/>
      <c r="J1871" s="27"/>
      <c r="K1871" s="27"/>
      <c r="L1871" s="27"/>
      <c r="M1871" s="28"/>
      <c r="N1871" s="28"/>
      <c r="O1871" s="27"/>
      <c r="P1871" s="27"/>
    </row>
    <row r="1872">
      <c r="A1872" s="33"/>
      <c r="B1872" s="34"/>
      <c r="C1872" s="34"/>
      <c r="D1872" s="34"/>
      <c r="E1872" s="27"/>
      <c r="F1872" s="27"/>
      <c r="G1872" s="27"/>
      <c r="H1872" s="27"/>
      <c r="I1872" s="27"/>
      <c r="J1872" s="27"/>
      <c r="K1872" s="27"/>
      <c r="L1872" s="27"/>
      <c r="M1872" s="28"/>
      <c r="N1872" s="28"/>
      <c r="O1872" s="27"/>
      <c r="P1872" s="27"/>
    </row>
    <row r="1873">
      <c r="A1873" s="33"/>
      <c r="B1873" s="34"/>
      <c r="C1873" s="34"/>
      <c r="D1873" s="34"/>
      <c r="E1873" s="27"/>
      <c r="F1873" s="27"/>
      <c r="G1873" s="27"/>
      <c r="H1873" s="27"/>
      <c r="I1873" s="27"/>
      <c r="J1873" s="27"/>
      <c r="K1873" s="27"/>
      <c r="L1873" s="27"/>
      <c r="M1873" s="28"/>
      <c r="N1873" s="28"/>
      <c r="O1873" s="27"/>
      <c r="P1873" s="27"/>
    </row>
    <row r="1874">
      <c r="A1874" s="33"/>
      <c r="B1874" s="34"/>
      <c r="C1874" s="34"/>
      <c r="D1874" s="34"/>
      <c r="E1874" s="27"/>
      <c r="F1874" s="27"/>
      <c r="G1874" s="27"/>
      <c r="H1874" s="27"/>
      <c r="I1874" s="27"/>
      <c r="J1874" s="27"/>
      <c r="K1874" s="27"/>
      <c r="L1874" s="27"/>
      <c r="M1874" s="28"/>
      <c r="N1874" s="28"/>
      <c r="O1874" s="27"/>
      <c r="P1874" s="27"/>
    </row>
    <row r="1875">
      <c r="A1875" s="33"/>
      <c r="B1875" s="34"/>
      <c r="C1875" s="34"/>
      <c r="D1875" s="34"/>
      <c r="E1875" s="27"/>
      <c r="F1875" s="27"/>
      <c r="G1875" s="27"/>
      <c r="H1875" s="27"/>
      <c r="I1875" s="27"/>
      <c r="J1875" s="27"/>
      <c r="K1875" s="27"/>
      <c r="L1875" s="27"/>
      <c r="M1875" s="28"/>
      <c r="N1875" s="28"/>
      <c r="O1875" s="27"/>
      <c r="P1875" s="27"/>
    </row>
    <row r="1876">
      <c r="A1876" s="33"/>
      <c r="B1876" s="34"/>
      <c r="C1876" s="34"/>
      <c r="D1876" s="34"/>
      <c r="E1876" s="27"/>
      <c r="F1876" s="27"/>
      <c r="G1876" s="27"/>
      <c r="H1876" s="27"/>
      <c r="I1876" s="27"/>
      <c r="J1876" s="27"/>
      <c r="K1876" s="27"/>
      <c r="L1876" s="27"/>
      <c r="M1876" s="28"/>
      <c r="N1876" s="28"/>
      <c r="O1876" s="27"/>
      <c r="P1876" s="27"/>
    </row>
    <row r="1877">
      <c r="A1877" s="33"/>
      <c r="B1877" s="34"/>
      <c r="C1877" s="34"/>
      <c r="D1877" s="34"/>
      <c r="E1877" s="27"/>
      <c r="F1877" s="27"/>
      <c r="G1877" s="27"/>
      <c r="H1877" s="27"/>
      <c r="I1877" s="27"/>
      <c r="J1877" s="27"/>
      <c r="K1877" s="27"/>
      <c r="L1877" s="27"/>
      <c r="M1877" s="28"/>
      <c r="N1877" s="28"/>
      <c r="O1877" s="27"/>
      <c r="P1877" s="27"/>
    </row>
    <row r="1878">
      <c r="A1878" s="33"/>
      <c r="B1878" s="34"/>
      <c r="C1878" s="34"/>
      <c r="D1878" s="34"/>
      <c r="E1878" s="27"/>
      <c r="F1878" s="27"/>
      <c r="G1878" s="27"/>
      <c r="H1878" s="27"/>
      <c r="I1878" s="27"/>
      <c r="J1878" s="27"/>
      <c r="K1878" s="27"/>
      <c r="L1878" s="27"/>
      <c r="M1878" s="28"/>
      <c r="N1878" s="28"/>
      <c r="O1878" s="27"/>
      <c r="P1878" s="27"/>
    </row>
    <row r="1879">
      <c r="A1879" s="33"/>
      <c r="B1879" s="34"/>
      <c r="C1879" s="34"/>
      <c r="D1879" s="34"/>
      <c r="E1879" s="27"/>
      <c r="F1879" s="27"/>
      <c r="G1879" s="27"/>
      <c r="H1879" s="27"/>
      <c r="I1879" s="27"/>
      <c r="J1879" s="27"/>
      <c r="K1879" s="27"/>
      <c r="L1879" s="27"/>
      <c r="M1879" s="28"/>
      <c r="N1879" s="28"/>
      <c r="O1879" s="27"/>
      <c r="P1879" s="27"/>
    </row>
    <row r="1880">
      <c r="A1880" s="33"/>
      <c r="B1880" s="34"/>
      <c r="C1880" s="34"/>
      <c r="D1880" s="34"/>
      <c r="E1880" s="27"/>
      <c r="F1880" s="27"/>
      <c r="G1880" s="27"/>
      <c r="H1880" s="27"/>
      <c r="I1880" s="27"/>
      <c r="J1880" s="27"/>
      <c r="K1880" s="27"/>
      <c r="L1880" s="27"/>
      <c r="M1880" s="28"/>
      <c r="N1880" s="28"/>
      <c r="O1880" s="27"/>
      <c r="P1880" s="27"/>
    </row>
    <row r="1881">
      <c r="A1881" s="33"/>
      <c r="B1881" s="34"/>
      <c r="C1881" s="34"/>
      <c r="D1881" s="34"/>
      <c r="E1881" s="27"/>
      <c r="F1881" s="27"/>
      <c r="G1881" s="27"/>
      <c r="H1881" s="27"/>
      <c r="I1881" s="27"/>
      <c r="J1881" s="27"/>
      <c r="K1881" s="27"/>
      <c r="L1881" s="27"/>
      <c r="M1881" s="28"/>
      <c r="N1881" s="28"/>
      <c r="O1881" s="27"/>
      <c r="P1881" s="27"/>
    </row>
    <row r="1882">
      <c r="A1882" s="33"/>
      <c r="B1882" s="34"/>
      <c r="C1882" s="34"/>
      <c r="D1882" s="34"/>
      <c r="E1882" s="27"/>
      <c r="F1882" s="27"/>
      <c r="G1882" s="27"/>
      <c r="H1882" s="27"/>
      <c r="I1882" s="27"/>
      <c r="J1882" s="27"/>
      <c r="K1882" s="27"/>
      <c r="L1882" s="27"/>
      <c r="M1882" s="28"/>
      <c r="N1882" s="28"/>
      <c r="O1882" s="27"/>
      <c r="P1882" s="27"/>
    </row>
    <row r="1883">
      <c r="A1883" s="33"/>
      <c r="B1883" s="34"/>
      <c r="C1883" s="34"/>
      <c r="D1883" s="34"/>
      <c r="E1883" s="27"/>
      <c r="F1883" s="27"/>
      <c r="G1883" s="27"/>
      <c r="H1883" s="27"/>
      <c r="I1883" s="27"/>
      <c r="J1883" s="27"/>
      <c r="K1883" s="27"/>
      <c r="L1883" s="27"/>
      <c r="M1883" s="28"/>
      <c r="N1883" s="28"/>
      <c r="O1883" s="27"/>
      <c r="P1883" s="27"/>
    </row>
    <row r="1884">
      <c r="A1884" s="33"/>
      <c r="B1884" s="34"/>
      <c r="C1884" s="34"/>
      <c r="D1884" s="34"/>
      <c r="E1884" s="27"/>
      <c r="F1884" s="27"/>
      <c r="G1884" s="27"/>
      <c r="H1884" s="27"/>
      <c r="I1884" s="27"/>
      <c r="J1884" s="27"/>
      <c r="K1884" s="27"/>
      <c r="L1884" s="27"/>
      <c r="M1884" s="28"/>
      <c r="N1884" s="28"/>
      <c r="O1884" s="27"/>
      <c r="P1884" s="27"/>
    </row>
    <row r="1885">
      <c r="A1885" s="33"/>
      <c r="B1885" s="34"/>
      <c r="C1885" s="34"/>
      <c r="D1885" s="34"/>
      <c r="E1885" s="27"/>
      <c r="F1885" s="27"/>
      <c r="G1885" s="27"/>
      <c r="H1885" s="27"/>
      <c r="I1885" s="27"/>
      <c r="J1885" s="27"/>
      <c r="K1885" s="27"/>
      <c r="L1885" s="27"/>
      <c r="M1885" s="28"/>
      <c r="N1885" s="28"/>
      <c r="O1885" s="27"/>
      <c r="P1885" s="27"/>
    </row>
    <row r="1886">
      <c r="A1886" s="33"/>
      <c r="B1886" s="34"/>
      <c r="C1886" s="34"/>
      <c r="D1886" s="34"/>
      <c r="E1886" s="27"/>
      <c r="F1886" s="27"/>
      <c r="G1886" s="27"/>
      <c r="H1886" s="27"/>
      <c r="I1886" s="27"/>
      <c r="J1886" s="27"/>
      <c r="K1886" s="27"/>
      <c r="L1886" s="27"/>
      <c r="M1886" s="28"/>
      <c r="N1886" s="28"/>
      <c r="O1886" s="27"/>
      <c r="P1886" s="27"/>
    </row>
    <row r="1887">
      <c r="A1887" s="33"/>
      <c r="B1887" s="34"/>
      <c r="C1887" s="34"/>
      <c r="D1887" s="34"/>
      <c r="E1887" s="27"/>
      <c r="F1887" s="27"/>
      <c r="G1887" s="27"/>
      <c r="H1887" s="27"/>
      <c r="I1887" s="27"/>
      <c r="J1887" s="27"/>
      <c r="K1887" s="27"/>
      <c r="L1887" s="27"/>
      <c r="M1887" s="28"/>
      <c r="N1887" s="28"/>
      <c r="O1887" s="27"/>
      <c r="P1887" s="27"/>
    </row>
    <row r="1888">
      <c r="A1888" s="33"/>
      <c r="B1888" s="34"/>
      <c r="C1888" s="34"/>
      <c r="D1888" s="34"/>
      <c r="E1888" s="27"/>
      <c r="F1888" s="27"/>
      <c r="G1888" s="27"/>
      <c r="H1888" s="27"/>
      <c r="I1888" s="27"/>
      <c r="J1888" s="27"/>
      <c r="K1888" s="27"/>
      <c r="L1888" s="27"/>
      <c r="M1888" s="28"/>
      <c r="N1888" s="28"/>
      <c r="O1888" s="27"/>
      <c r="P1888" s="27"/>
    </row>
    <row r="1889">
      <c r="A1889" s="33"/>
      <c r="B1889" s="34"/>
      <c r="C1889" s="34"/>
      <c r="D1889" s="34"/>
      <c r="E1889" s="27"/>
      <c r="F1889" s="27"/>
      <c r="G1889" s="27"/>
      <c r="H1889" s="27"/>
      <c r="I1889" s="27"/>
      <c r="J1889" s="27"/>
      <c r="K1889" s="27"/>
      <c r="L1889" s="27"/>
      <c r="M1889" s="28"/>
      <c r="N1889" s="28"/>
      <c r="O1889" s="27"/>
      <c r="P1889" s="27"/>
    </row>
    <row r="1890">
      <c r="A1890" s="33"/>
      <c r="B1890" s="34"/>
      <c r="C1890" s="34"/>
      <c r="D1890" s="34"/>
      <c r="E1890" s="27"/>
      <c r="F1890" s="27"/>
      <c r="G1890" s="27"/>
      <c r="H1890" s="27"/>
      <c r="I1890" s="27"/>
      <c r="J1890" s="27"/>
      <c r="K1890" s="27"/>
      <c r="L1890" s="27"/>
      <c r="M1890" s="28"/>
      <c r="N1890" s="28"/>
      <c r="O1890" s="27"/>
      <c r="P1890" s="27"/>
    </row>
    <row r="1891">
      <c r="A1891" s="33"/>
      <c r="B1891" s="34"/>
      <c r="C1891" s="34"/>
      <c r="D1891" s="34"/>
      <c r="E1891" s="27"/>
      <c r="F1891" s="27"/>
      <c r="G1891" s="27"/>
      <c r="H1891" s="27"/>
      <c r="I1891" s="27"/>
      <c r="J1891" s="27"/>
      <c r="K1891" s="27"/>
      <c r="L1891" s="27"/>
      <c r="M1891" s="28"/>
      <c r="N1891" s="28"/>
      <c r="O1891" s="27"/>
      <c r="P1891" s="27"/>
    </row>
    <row r="1892">
      <c r="A1892" s="33"/>
      <c r="B1892" s="34"/>
      <c r="C1892" s="34"/>
      <c r="D1892" s="34"/>
      <c r="E1892" s="27"/>
      <c r="F1892" s="27"/>
      <c r="G1892" s="27"/>
      <c r="H1892" s="27"/>
      <c r="I1892" s="27"/>
      <c r="J1892" s="27"/>
      <c r="K1892" s="27"/>
      <c r="L1892" s="27"/>
      <c r="M1892" s="28"/>
      <c r="N1892" s="28"/>
      <c r="O1892" s="27"/>
      <c r="P1892" s="27"/>
    </row>
    <row r="1893">
      <c r="A1893" s="33"/>
      <c r="B1893" s="34"/>
      <c r="C1893" s="34"/>
      <c r="D1893" s="34"/>
      <c r="E1893" s="27"/>
      <c r="F1893" s="27"/>
      <c r="G1893" s="27"/>
      <c r="H1893" s="27"/>
      <c r="I1893" s="27"/>
      <c r="J1893" s="27"/>
      <c r="K1893" s="27"/>
      <c r="L1893" s="27"/>
      <c r="M1893" s="28"/>
      <c r="N1893" s="28"/>
      <c r="O1893" s="27"/>
      <c r="P1893" s="27"/>
    </row>
    <row r="1894">
      <c r="A1894" s="33"/>
      <c r="B1894" s="34"/>
      <c r="C1894" s="34"/>
      <c r="D1894" s="34"/>
      <c r="E1894" s="27"/>
      <c r="F1894" s="27"/>
      <c r="G1894" s="27"/>
      <c r="H1894" s="27"/>
      <c r="I1894" s="27"/>
      <c r="J1894" s="27"/>
      <c r="K1894" s="27"/>
      <c r="L1894" s="27"/>
      <c r="M1894" s="28"/>
      <c r="N1894" s="28"/>
      <c r="O1894" s="27"/>
      <c r="P1894" s="27"/>
    </row>
    <row r="1895">
      <c r="A1895" s="33"/>
      <c r="B1895" s="34"/>
      <c r="C1895" s="34"/>
      <c r="D1895" s="34"/>
      <c r="E1895" s="27"/>
      <c r="F1895" s="27"/>
      <c r="G1895" s="27"/>
      <c r="H1895" s="27"/>
      <c r="I1895" s="27"/>
      <c r="J1895" s="27"/>
      <c r="K1895" s="27"/>
      <c r="L1895" s="27"/>
      <c r="M1895" s="28"/>
      <c r="N1895" s="28"/>
      <c r="O1895" s="27"/>
      <c r="P1895" s="27"/>
    </row>
    <row r="1896">
      <c r="A1896" s="33"/>
      <c r="B1896" s="34"/>
      <c r="C1896" s="34"/>
      <c r="D1896" s="34"/>
      <c r="E1896" s="27"/>
      <c r="F1896" s="27"/>
      <c r="G1896" s="27"/>
      <c r="H1896" s="27"/>
      <c r="I1896" s="27"/>
      <c r="J1896" s="27"/>
      <c r="K1896" s="27"/>
      <c r="L1896" s="27"/>
      <c r="M1896" s="28"/>
      <c r="N1896" s="28"/>
      <c r="O1896" s="27"/>
      <c r="P1896" s="27"/>
    </row>
    <row r="1897">
      <c r="A1897" s="33"/>
      <c r="B1897" s="34"/>
      <c r="C1897" s="34"/>
      <c r="D1897" s="34"/>
      <c r="E1897" s="27"/>
      <c r="F1897" s="27"/>
      <c r="G1897" s="27"/>
      <c r="H1897" s="27"/>
      <c r="I1897" s="27"/>
      <c r="J1897" s="27"/>
      <c r="K1897" s="27"/>
      <c r="L1897" s="27"/>
      <c r="M1897" s="28"/>
      <c r="N1897" s="28"/>
      <c r="O1897" s="27"/>
      <c r="P1897" s="27"/>
    </row>
    <row r="1898">
      <c r="A1898" s="33"/>
      <c r="B1898" s="34"/>
      <c r="C1898" s="34"/>
      <c r="D1898" s="34"/>
      <c r="E1898" s="27"/>
      <c r="F1898" s="27"/>
      <c r="G1898" s="27"/>
      <c r="H1898" s="27"/>
      <c r="I1898" s="27"/>
      <c r="J1898" s="27"/>
      <c r="K1898" s="27"/>
      <c r="L1898" s="27"/>
      <c r="M1898" s="28"/>
      <c r="N1898" s="28"/>
      <c r="O1898" s="27"/>
      <c r="P1898" s="27"/>
    </row>
    <row r="1899">
      <c r="A1899" s="33"/>
      <c r="B1899" s="34"/>
      <c r="C1899" s="34"/>
      <c r="D1899" s="34"/>
      <c r="E1899" s="27"/>
      <c r="F1899" s="27"/>
      <c r="G1899" s="27"/>
      <c r="H1899" s="27"/>
      <c r="I1899" s="27"/>
      <c r="J1899" s="27"/>
      <c r="K1899" s="27"/>
      <c r="L1899" s="27"/>
      <c r="M1899" s="28"/>
      <c r="N1899" s="28"/>
      <c r="O1899" s="27"/>
      <c r="P1899" s="27"/>
    </row>
    <row r="1900">
      <c r="A1900" s="33"/>
      <c r="B1900" s="34"/>
      <c r="C1900" s="34"/>
      <c r="D1900" s="34"/>
      <c r="E1900" s="27"/>
      <c r="F1900" s="27"/>
      <c r="G1900" s="27"/>
      <c r="H1900" s="27"/>
      <c r="I1900" s="27"/>
      <c r="J1900" s="27"/>
      <c r="K1900" s="27"/>
      <c r="L1900" s="27"/>
      <c r="M1900" s="28"/>
      <c r="N1900" s="28"/>
      <c r="O1900" s="27"/>
      <c r="P1900" s="27"/>
    </row>
    <row r="1901">
      <c r="A1901" s="33"/>
      <c r="B1901" s="34"/>
      <c r="C1901" s="34"/>
      <c r="D1901" s="34"/>
      <c r="E1901" s="27"/>
      <c r="F1901" s="27"/>
      <c r="G1901" s="27"/>
      <c r="H1901" s="27"/>
      <c r="I1901" s="27"/>
      <c r="J1901" s="27"/>
      <c r="K1901" s="27"/>
      <c r="L1901" s="27"/>
      <c r="M1901" s="28"/>
      <c r="N1901" s="28"/>
      <c r="O1901" s="27"/>
      <c r="P1901" s="27"/>
    </row>
    <row r="1902">
      <c r="A1902" s="33"/>
      <c r="B1902" s="34"/>
      <c r="C1902" s="34"/>
      <c r="D1902" s="34"/>
      <c r="E1902" s="27"/>
      <c r="F1902" s="27"/>
      <c r="G1902" s="27"/>
      <c r="H1902" s="27"/>
      <c r="I1902" s="27"/>
      <c r="J1902" s="27"/>
      <c r="K1902" s="27"/>
      <c r="L1902" s="27"/>
      <c r="M1902" s="28"/>
      <c r="N1902" s="28"/>
      <c r="O1902" s="27"/>
      <c r="P1902" s="27"/>
    </row>
    <row r="1903">
      <c r="A1903" s="33"/>
      <c r="B1903" s="34"/>
      <c r="C1903" s="34"/>
      <c r="D1903" s="34"/>
      <c r="E1903" s="27"/>
      <c r="F1903" s="27"/>
      <c r="G1903" s="27"/>
      <c r="H1903" s="27"/>
      <c r="I1903" s="27"/>
      <c r="J1903" s="27"/>
      <c r="K1903" s="27"/>
      <c r="L1903" s="27"/>
      <c r="M1903" s="28"/>
      <c r="N1903" s="28"/>
      <c r="O1903" s="27"/>
      <c r="P1903" s="27"/>
    </row>
    <row r="1904">
      <c r="A1904" s="33"/>
      <c r="B1904" s="34"/>
      <c r="C1904" s="34"/>
      <c r="D1904" s="34"/>
      <c r="E1904" s="27"/>
      <c r="F1904" s="27"/>
      <c r="G1904" s="27"/>
      <c r="H1904" s="27"/>
      <c r="I1904" s="27"/>
      <c r="J1904" s="27"/>
      <c r="K1904" s="27"/>
      <c r="L1904" s="27"/>
      <c r="M1904" s="28"/>
      <c r="N1904" s="28"/>
      <c r="O1904" s="27"/>
      <c r="P1904" s="27"/>
    </row>
    <row r="1905">
      <c r="A1905" s="33"/>
      <c r="B1905" s="34"/>
      <c r="C1905" s="34"/>
      <c r="D1905" s="34"/>
      <c r="E1905" s="27"/>
      <c r="F1905" s="27"/>
      <c r="G1905" s="27"/>
      <c r="H1905" s="27"/>
      <c r="I1905" s="27"/>
      <c r="J1905" s="27"/>
      <c r="K1905" s="27"/>
      <c r="L1905" s="27"/>
      <c r="M1905" s="28"/>
      <c r="N1905" s="28"/>
      <c r="O1905" s="27"/>
      <c r="P1905" s="27"/>
    </row>
    <row r="1906">
      <c r="A1906" s="33"/>
      <c r="B1906" s="34"/>
      <c r="C1906" s="34"/>
      <c r="D1906" s="34"/>
      <c r="E1906" s="27"/>
      <c r="F1906" s="27"/>
      <c r="G1906" s="27"/>
      <c r="H1906" s="27"/>
      <c r="I1906" s="27"/>
      <c r="J1906" s="27"/>
      <c r="K1906" s="27"/>
      <c r="L1906" s="27"/>
      <c r="M1906" s="28"/>
      <c r="N1906" s="28"/>
      <c r="O1906" s="27"/>
      <c r="P1906" s="27"/>
    </row>
    <row r="1907">
      <c r="A1907" s="33"/>
      <c r="B1907" s="34"/>
      <c r="C1907" s="34"/>
      <c r="D1907" s="34"/>
      <c r="E1907" s="27"/>
      <c r="F1907" s="27"/>
      <c r="G1907" s="27"/>
      <c r="H1907" s="27"/>
      <c r="I1907" s="27"/>
      <c r="J1907" s="27"/>
      <c r="K1907" s="27"/>
      <c r="L1907" s="27"/>
      <c r="M1907" s="28"/>
      <c r="N1907" s="28"/>
      <c r="O1907" s="27"/>
      <c r="P1907" s="27"/>
    </row>
    <row r="1908">
      <c r="A1908" s="33"/>
      <c r="B1908" s="34"/>
      <c r="C1908" s="34"/>
      <c r="D1908" s="34"/>
      <c r="E1908" s="27"/>
      <c r="F1908" s="27"/>
      <c r="G1908" s="27"/>
      <c r="H1908" s="27"/>
      <c r="I1908" s="27"/>
      <c r="J1908" s="27"/>
      <c r="K1908" s="27"/>
      <c r="L1908" s="27"/>
      <c r="M1908" s="28"/>
      <c r="N1908" s="28"/>
      <c r="O1908" s="27"/>
      <c r="P1908" s="27"/>
    </row>
    <row r="1909">
      <c r="A1909" s="33"/>
      <c r="B1909" s="34"/>
      <c r="C1909" s="34"/>
      <c r="D1909" s="34"/>
      <c r="E1909" s="27"/>
      <c r="F1909" s="27"/>
      <c r="G1909" s="27"/>
      <c r="H1909" s="27"/>
      <c r="I1909" s="27"/>
      <c r="J1909" s="27"/>
      <c r="K1909" s="27"/>
      <c r="L1909" s="27"/>
      <c r="M1909" s="28"/>
      <c r="N1909" s="28"/>
      <c r="O1909" s="27"/>
      <c r="P1909" s="27"/>
    </row>
    <row r="1910">
      <c r="A1910" s="33"/>
      <c r="B1910" s="34"/>
      <c r="C1910" s="34"/>
      <c r="D1910" s="34"/>
      <c r="E1910" s="27"/>
      <c r="F1910" s="27"/>
      <c r="G1910" s="27"/>
      <c r="H1910" s="27"/>
      <c r="I1910" s="27"/>
      <c r="J1910" s="27"/>
      <c r="K1910" s="27"/>
      <c r="L1910" s="27"/>
      <c r="M1910" s="28"/>
      <c r="N1910" s="28"/>
      <c r="O1910" s="27"/>
      <c r="P1910" s="27"/>
    </row>
    <row r="1911">
      <c r="A1911" s="33"/>
      <c r="B1911" s="34"/>
      <c r="C1911" s="34"/>
      <c r="D1911" s="34"/>
      <c r="E1911" s="27"/>
      <c r="F1911" s="27"/>
      <c r="G1911" s="27"/>
      <c r="H1911" s="27"/>
      <c r="I1911" s="27"/>
      <c r="J1911" s="27"/>
      <c r="K1911" s="27"/>
      <c r="L1911" s="27"/>
      <c r="M1911" s="28"/>
      <c r="N1911" s="28"/>
      <c r="O1911" s="27"/>
      <c r="P1911" s="27"/>
    </row>
    <row r="1912">
      <c r="A1912" s="33"/>
      <c r="B1912" s="34"/>
      <c r="C1912" s="34"/>
      <c r="D1912" s="34"/>
      <c r="E1912" s="27"/>
      <c r="F1912" s="27"/>
      <c r="G1912" s="27"/>
      <c r="H1912" s="27"/>
      <c r="I1912" s="27"/>
      <c r="J1912" s="27"/>
      <c r="K1912" s="27"/>
      <c r="L1912" s="27"/>
      <c r="M1912" s="28"/>
      <c r="N1912" s="28"/>
      <c r="O1912" s="27"/>
      <c r="P1912" s="27"/>
    </row>
    <row r="1913">
      <c r="A1913" s="33"/>
      <c r="B1913" s="34"/>
      <c r="C1913" s="34"/>
      <c r="D1913" s="34"/>
      <c r="E1913" s="27"/>
      <c r="F1913" s="27"/>
      <c r="G1913" s="27"/>
      <c r="H1913" s="27"/>
      <c r="I1913" s="27"/>
      <c r="J1913" s="27"/>
      <c r="K1913" s="27"/>
      <c r="L1913" s="27"/>
      <c r="M1913" s="28"/>
      <c r="N1913" s="28"/>
      <c r="O1913" s="27"/>
      <c r="P1913" s="27"/>
    </row>
    <row r="1914">
      <c r="A1914" s="33"/>
      <c r="B1914" s="34"/>
      <c r="C1914" s="34"/>
      <c r="D1914" s="34"/>
      <c r="E1914" s="27"/>
      <c r="F1914" s="27"/>
      <c r="G1914" s="27"/>
      <c r="H1914" s="27"/>
      <c r="I1914" s="27"/>
      <c r="J1914" s="27"/>
      <c r="K1914" s="27"/>
      <c r="L1914" s="27"/>
      <c r="M1914" s="28"/>
      <c r="N1914" s="28"/>
      <c r="O1914" s="27"/>
      <c r="P1914" s="27"/>
    </row>
    <row r="1915">
      <c r="A1915" s="33"/>
      <c r="B1915" s="34"/>
      <c r="C1915" s="34"/>
      <c r="D1915" s="34"/>
      <c r="E1915" s="27"/>
      <c r="F1915" s="27"/>
      <c r="G1915" s="27"/>
      <c r="H1915" s="27"/>
      <c r="I1915" s="27"/>
      <c r="J1915" s="27"/>
      <c r="K1915" s="27"/>
      <c r="L1915" s="27"/>
      <c r="M1915" s="28"/>
      <c r="N1915" s="28"/>
      <c r="O1915" s="27"/>
      <c r="P1915" s="27"/>
    </row>
    <row r="1916">
      <c r="A1916" s="33"/>
      <c r="B1916" s="34"/>
      <c r="C1916" s="34"/>
      <c r="D1916" s="34"/>
      <c r="E1916" s="27"/>
      <c r="F1916" s="27"/>
      <c r="G1916" s="27"/>
      <c r="H1916" s="27"/>
      <c r="I1916" s="27"/>
      <c r="J1916" s="27"/>
      <c r="K1916" s="27"/>
      <c r="L1916" s="27"/>
      <c r="M1916" s="28"/>
      <c r="N1916" s="28"/>
      <c r="O1916" s="27"/>
      <c r="P1916" s="27"/>
    </row>
    <row r="1917">
      <c r="A1917" s="33"/>
      <c r="B1917" s="34"/>
      <c r="C1917" s="34"/>
      <c r="D1917" s="34"/>
      <c r="E1917" s="27"/>
      <c r="F1917" s="27"/>
      <c r="G1917" s="27"/>
      <c r="H1917" s="27"/>
      <c r="I1917" s="27"/>
      <c r="J1917" s="27"/>
      <c r="K1917" s="27"/>
      <c r="L1917" s="27"/>
      <c r="M1917" s="28"/>
      <c r="N1917" s="28"/>
      <c r="O1917" s="27"/>
      <c r="P1917" s="27"/>
    </row>
    <row r="1918">
      <c r="A1918" s="33"/>
      <c r="B1918" s="34"/>
      <c r="C1918" s="34"/>
      <c r="D1918" s="34"/>
      <c r="E1918" s="27"/>
      <c r="F1918" s="27"/>
      <c r="G1918" s="27"/>
      <c r="H1918" s="27"/>
      <c r="I1918" s="27"/>
      <c r="J1918" s="27"/>
      <c r="K1918" s="27"/>
      <c r="L1918" s="27"/>
      <c r="M1918" s="28"/>
      <c r="N1918" s="28"/>
      <c r="O1918" s="27"/>
      <c r="P1918" s="27"/>
    </row>
    <row r="1919">
      <c r="A1919" s="33"/>
      <c r="B1919" s="34"/>
      <c r="C1919" s="34"/>
      <c r="D1919" s="34"/>
      <c r="E1919" s="27"/>
      <c r="F1919" s="27"/>
      <c r="G1919" s="27"/>
      <c r="H1919" s="27"/>
      <c r="I1919" s="27"/>
      <c r="J1919" s="27"/>
      <c r="K1919" s="27"/>
      <c r="L1919" s="27"/>
      <c r="M1919" s="28"/>
      <c r="N1919" s="28"/>
      <c r="O1919" s="27"/>
      <c r="P1919" s="27"/>
    </row>
    <row r="1920">
      <c r="A1920" s="33"/>
      <c r="B1920" s="34"/>
      <c r="C1920" s="34"/>
      <c r="D1920" s="34"/>
      <c r="E1920" s="27"/>
      <c r="F1920" s="27"/>
      <c r="G1920" s="27"/>
      <c r="H1920" s="27"/>
      <c r="I1920" s="27"/>
      <c r="J1920" s="27"/>
      <c r="K1920" s="27"/>
      <c r="L1920" s="27"/>
      <c r="M1920" s="28"/>
      <c r="N1920" s="28"/>
      <c r="O1920" s="27"/>
      <c r="P1920" s="27"/>
    </row>
    <row r="1921">
      <c r="A1921" s="33"/>
      <c r="B1921" s="34"/>
      <c r="C1921" s="34"/>
      <c r="D1921" s="34"/>
      <c r="E1921" s="27"/>
      <c r="F1921" s="27"/>
      <c r="G1921" s="27"/>
      <c r="H1921" s="27"/>
      <c r="I1921" s="27"/>
      <c r="J1921" s="27"/>
      <c r="K1921" s="27"/>
      <c r="L1921" s="27"/>
      <c r="M1921" s="28"/>
      <c r="N1921" s="28"/>
      <c r="O1921" s="27"/>
      <c r="P1921" s="27"/>
    </row>
    <row r="1922">
      <c r="A1922" s="33"/>
      <c r="B1922" s="34"/>
      <c r="C1922" s="34"/>
      <c r="D1922" s="34"/>
      <c r="E1922" s="27"/>
      <c r="F1922" s="27"/>
      <c r="G1922" s="27"/>
      <c r="H1922" s="27"/>
      <c r="I1922" s="27"/>
      <c r="J1922" s="27"/>
      <c r="K1922" s="27"/>
      <c r="L1922" s="27"/>
      <c r="M1922" s="28"/>
      <c r="N1922" s="28"/>
      <c r="O1922" s="27"/>
      <c r="P1922" s="27"/>
    </row>
    <row r="1923">
      <c r="A1923" s="33"/>
      <c r="B1923" s="34"/>
      <c r="C1923" s="34"/>
      <c r="D1923" s="34"/>
      <c r="E1923" s="27"/>
      <c r="F1923" s="27"/>
      <c r="G1923" s="27"/>
      <c r="H1923" s="27"/>
      <c r="I1923" s="27"/>
      <c r="J1923" s="27"/>
      <c r="K1923" s="27"/>
      <c r="L1923" s="27"/>
      <c r="M1923" s="28"/>
      <c r="N1923" s="28"/>
      <c r="O1923" s="27"/>
      <c r="P1923" s="27"/>
    </row>
    <row r="1924">
      <c r="A1924" s="33"/>
      <c r="B1924" s="34"/>
      <c r="C1924" s="34"/>
      <c r="D1924" s="34"/>
      <c r="E1924" s="27"/>
      <c r="F1924" s="27"/>
      <c r="G1924" s="27"/>
      <c r="H1924" s="27"/>
      <c r="I1924" s="27"/>
      <c r="J1924" s="27"/>
      <c r="K1924" s="27"/>
      <c r="L1924" s="27"/>
      <c r="M1924" s="28"/>
      <c r="N1924" s="28"/>
      <c r="O1924" s="27"/>
      <c r="P1924" s="27"/>
    </row>
    <row r="1925">
      <c r="A1925" s="33"/>
      <c r="B1925" s="34"/>
      <c r="C1925" s="34"/>
      <c r="D1925" s="34"/>
      <c r="E1925" s="27"/>
      <c r="F1925" s="27"/>
      <c r="G1925" s="27"/>
      <c r="H1925" s="27"/>
      <c r="I1925" s="27"/>
      <c r="J1925" s="27"/>
      <c r="K1925" s="27"/>
      <c r="L1925" s="27"/>
      <c r="M1925" s="28"/>
      <c r="N1925" s="28"/>
      <c r="O1925" s="27"/>
      <c r="P1925" s="27"/>
    </row>
    <row r="1926">
      <c r="A1926" s="33"/>
      <c r="B1926" s="34"/>
      <c r="C1926" s="34"/>
      <c r="D1926" s="34"/>
      <c r="E1926" s="27"/>
      <c r="F1926" s="27"/>
      <c r="G1926" s="27"/>
      <c r="H1926" s="27"/>
      <c r="I1926" s="27"/>
      <c r="J1926" s="27"/>
      <c r="K1926" s="27"/>
      <c r="L1926" s="27"/>
      <c r="M1926" s="28"/>
      <c r="N1926" s="28"/>
      <c r="O1926" s="27"/>
      <c r="P1926" s="27"/>
    </row>
    <row r="1927">
      <c r="A1927" s="33"/>
      <c r="B1927" s="34"/>
      <c r="C1927" s="34"/>
      <c r="D1927" s="34"/>
      <c r="E1927" s="27"/>
      <c r="F1927" s="27"/>
      <c r="G1927" s="27"/>
      <c r="H1927" s="27"/>
      <c r="I1927" s="27"/>
      <c r="J1927" s="27"/>
      <c r="K1927" s="27"/>
      <c r="L1927" s="27"/>
      <c r="M1927" s="28"/>
      <c r="N1927" s="28"/>
      <c r="O1927" s="27"/>
      <c r="P1927" s="27"/>
    </row>
    <row r="1928">
      <c r="A1928" s="33"/>
      <c r="B1928" s="34"/>
      <c r="C1928" s="34"/>
      <c r="D1928" s="34"/>
      <c r="E1928" s="27"/>
      <c r="F1928" s="27"/>
      <c r="G1928" s="27"/>
      <c r="H1928" s="27"/>
      <c r="I1928" s="27"/>
      <c r="J1928" s="27"/>
      <c r="K1928" s="27"/>
      <c r="L1928" s="27"/>
      <c r="M1928" s="28"/>
      <c r="N1928" s="28"/>
      <c r="O1928" s="27"/>
      <c r="P1928" s="27"/>
    </row>
    <row r="1929">
      <c r="A1929" s="33"/>
      <c r="B1929" s="34"/>
      <c r="C1929" s="34"/>
      <c r="D1929" s="34"/>
      <c r="E1929" s="27"/>
      <c r="F1929" s="27"/>
      <c r="G1929" s="27"/>
      <c r="H1929" s="27"/>
      <c r="I1929" s="27"/>
      <c r="J1929" s="27"/>
      <c r="K1929" s="27"/>
      <c r="L1929" s="27"/>
      <c r="M1929" s="28"/>
      <c r="N1929" s="28"/>
      <c r="O1929" s="27"/>
      <c r="P1929" s="27"/>
    </row>
    <row r="1930">
      <c r="A1930" s="33"/>
      <c r="B1930" s="34"/>
      <c r="C1930" s="34"/>
      <c r="D1930" s="34"/>
      <c r="E1930" s="27"/>
      <c r="F1930" s="27"/>
      <c r="G1930" s="27"/>
      <c r="H1930" s="27"/>
      <c r="I1930" s="27"/>
      <c r="J1930" s="27"/>
      <c r="K1930" s="27"/>
      <c r="L1930" s="27"/>
      <c r="M1930" s="28"/>
      <c r="N1930" s="28"/>
      <c r="O1930" s="27"/>
      <c r="P1930" s="27"/>
    </row>
    <row r="1931">
      <c r="A1931" s="33"/>
      <c r="B1931" s="34"/>
      <c r="C1931" s="34"/>
      <c r="D1931" s="34"/>
      <c r="E1931" s="27"/>
      <c r="F1931" s="27"/>
      <c r="G1931" s="27"/>
      <c r="H1931" s="27"/>
      <c r="I1931" s="27"/>
      <c r="J1931" s="27"/>
      <c r="K1931" s="27"/>
      <c r="L1931" s="27"/>
      <c r="M1931" s="28"/>
      <c r="N1931" s="28"/>
      <c r="O1931" s="27"/>
      <c r="P1931" s="27"/>
    </row>
    <row r="1932">
      <c r="A1932" s="33"/>
      <c r="B1932" s="34"/>
      <c r="C1932" s="34"/>
      <c r="D1932" s="34"/>
      <c r="E1932" s="27"/>
      <c r="F1932" s="27"/>
      <c r="G1932" s="27"/>
      <c r="H1932" s="27"/>
      <c r="I1932" s="27"/>
      <c r="J1932" s="27"/>
      <c r="K1932" s="27"/>
      <c r="L1932" s="27"/>
      <c r="M1932" s="28"/>
      <c r="N1932" s="28"/>
      <c r="O1932" s="27"/>
      <c r="P1932" s="27"/>
    </row>
    <row r="1933">
      <c r="A1933" s="33"/>
      <c r="B1933" s="34"/>
      <c r="C1933" s="34"/>
      <c r="D1933" s="34"/>
      <c r="E1933" s="27"/>
      <c r="F1933" s="27"/>
      <c r="G1933" s="27"/>
      <c r="H1933" s="27"/>
      <c r="I1933" s="27"/>
      <c r="J1933" s="27"/>
      <c r="K1933" s="27"/>
      <c r="L1933" s="27"/>
      <c r="M1933" s="28"/>
      <c r="N1933" s="28"/>
      <c r="O1933" s="27"/>
      <c r="P1933" s="27"/>
    </row>
    <row r="1934">
      <c r="A1934" s="33"/>
      <c r="B1934" s="34"/>
      <c r="C1934" s="34"/>
      <c r="D1934" s="34"/>
      <c r="E1934" s="27"/>
      <c r="F1934" s="27"/>
      <c r="G1934" s="27"/>
      <c r="H1934" s="27"/>
      <c r="I1934" s="27"/>
      <c r="J1934" s="27"/>
      <c r="K1934" s="27"/>
      <c r="L1934" s="27"/>
      <c r="M1934" s="28"/>
      <c r="N1934" s="28"/>
      <c r="O1934" s="27"/>
      <c r="P1934" s="27"/>
    </row>
    <row r="1935">
      <c r="A1935" s="33"/>
      <c r="B1935" s="34"/>
      <c r="C1935" s="34"/>
      <c r="D1935" s="34"/>
      <c r="E1935" s="27"/>
      <c r="F1935" s="27"/>
      <c r="G1935" s="27"/>
      <c r="H1935" s="27"/>
      <c r="I1935" s="27"/>
      <c r="J1935" s="27"/>
      <c r="K1935" s="27"/>
      <c r="L1935" s="27"/>
      <c r="M1935" s="28"/>
      <c r="N1935" s="28"/>
      <c r="O1935" s="27"/>
      <c r="P1935" s="27"/>
    </row>
    <row r="1936">
      <c r="A1936" s="33"/>
      <c r="B1936" s="34"/>
      <c r="C1936" s="34"/>
      <c r="D1936" s="34"/>
      <c r="E1936" s="27"/>
      <c r="F1936" s="27"/>
      <c r="G1936" s="27"/>
      <c r="H1936" s="27"/>
      <c r="I1936" s="27"/>
      <c r="J1936" s="27"/>
      <c r="K1936" s="27"/>
      <c r="L1936" s="27"/>
      <c r="M1936" s="28"/>
      <c r="N1936" s="28"/>
      <c r="O1936" s="27"/>
      <c r="P1936" s="27"/>
    </row>
    <row r="1937">
      <c r="A1937" s="33"/>
      <c r="B1937" s="34"/>
      <c r="C1937" s="34"/>
      <c r="D1937" s="34"/>
      <c r="E1937" s="27"/>
      <c r="F1937" s="27"/>
      <c r="G1937" s="27"/>
      <c r="H1937" s="27"/>
      <c r="I1937" s="27"/>
      <c r="J1937" s="27"/>
      <c r="K1937" s="27"/>
      <c r="L1937" s="27"/>
      <c r="M1937" s="28"/>
      <c r="N1937" s="28"/>
      <c r="O1937" s="27"/>
      <c r="P1937" s="27"/>
    </row>
    <row r="1938">
      <c r="A1938" s="33"/>
      <c r="B1938" s="34"/>
      <c r="C1938" s="34"/>
      <c r="D1938" s="34"/>
      <c r="E1938" s="27"/>
      <c r="F1938" s="27"/>
      <c r="G1938" s="27"/>
      <c r="H1938" s="27"/>
      <c r="I1938" s="27"/>
      <c r="J1938" s="27"/>
      <c r="K1938" s="27"/>
      <c r="L1938" s="27"/>
      <c r="M1938" s="28"/>
      <c r="N1938" s="28"/>
      <c r="O1938" s="27"/>
      <c r="P1938" s="27"/>
    </row>
    <row r="1939">
      <c r="A1939" s="33"/>
      <c r="B1939" s="34"/>
      <c r="C1939" s="34"/>
      <c r="D1939" s="34"/>
      <c r="E1939" s="27"/>
      <c r="F1939" s="27"/>
      <c r="G1939" s="27"/>
      <c r="H1939" s="27"/>
      <c r="I1939" s="27"/>
      <c r="J1939" s="27"/>
      <c r="K1939" s="27"/>
      <c r="L1939" s="27"/>
      <c r="M1939" s="28"/>
      <c r="N1939" s="28"/>
      <c r="O1939" s="27"/>
      <c r="P1939" s="27"/>
    </row>
    <row r="1940">
      <c r="A1940" s="33"/>
      <c r="B1940" s="34"/>
      <c r="C1940" s="34"/>
      <c r="D1940" s="34"/>
      <c r="E1940" s="27"/>
      <c r="F1940" s="27"/>
      <c r="G1940" s="27"/>
      <c r="H1940" s="27"/>
      <c r="I1940" s="27"/>
      <c r="J1940" s="27"/>
      <c r="K1940" s="27"/>
      <c r="L1940" s="27"/>
      <c r="M1940" s="28"/>
      <c r="N1940" s="28"/>
      <c r="O1940" s="27"/>
      <c r="P1940" s="27"/>
    </row>
    <row r="1941">
      <c r="A1941" s="33"/>
      <c r="B1941" s="34"/>
      <c r="C1941" s="34"/>
      <c r="D1941" s="34"/>
      <c r="E1941" s="27"/>
      <c r="F1941" s="27"/>
      <c r="G1941" s="27"/>
      <c r="H1941" s="27"/>
      <c r="I1941" s="27"/>
      <c r="J1941" s="27"/>
      <c r="K1941" s="27"/>
      <c r="L1941" s="27"/>
      <c r="M1941" s="28"/>
      <c r="N1941" s="28"/>
      <c r="O1941" s="27"/>
      <c r="P1941" s="27"/>
    </row>
    <row r="1942">
      <c r="A1942" s="33"/>
      <c r="B1942" s="34"/>
      <c r="C1942" s="34"/>
      <c r="D1942" s="34"/>
      <c r="E1942" s="27"/>
      <c r="F1942" s="27"/>
      <c r="G1942" s="27"/>
      <c r="H1942" s="27"/>
      <c r="I1942" s="27"/>
      <c r="J1942" s="27"/>
      <c r="K1942" s="27"/>
      <c r="L1942" s="27"/>
      <c r="M1942" s="28"/>
      <c r="N1942" s="28"/>
      <c r="O1942" s="27"/>
      <c r="P1942" s="27"/>
    </row>
    <row r="1943">
      <c r="A1943" s="33"/>
      <c r="B1943" s="34"/>
      <c r="C1943" s="34"/>
      <c r="D1943" s="34"/>
      <c r="E1943" s="27"/>
      <c r="F1943" s="27"/>
      <c r="G1943" s="27"/>
      <c r="H1943" s="27"/>
      <c r="I1943" s="27"/>
      <c r="J1943" s="27"/>
      <c r="K1943" s="27"/>
      <c r="L1943" s="27"/>
      <c r="M1943" s="28"/>
      <c r="N1943" s="28"/>
      <c r="O1943" s="27"/>
      <c r="P1943" s="27"/>
    </row>
    <row r="1944">
      <c r="A1944" s="33"/>
      <c r="B1944" s="34"/>
      <c r="C1944" s="34"/>
      <c r="D1944" s="34"/>
      <c r="E1944" s="27"/>
      <c r="F1944" s="27"/>
      <c r="G1944" s="27"/>
      <c r="H1944" s="27"/>
      <c r="I1944" s="27"/>
      <c r="J1944" s="27"/>
      <c r="K1944" s="27"/>
      <c r="L1944" s="27"/>
      <c r="M1944" s="28"/>
      <c r="N1944" s="28"/>
      <c r="O1944" s="27"/>
      <c r="P1944" s="27"/>
    </row>
    <row r="1945">
      <c r="A1945" s="33"/>
      <c r="B1945" s="34"/>
      <c r="C1945" s="34"/>
      <c r="D1945" s="34"/>
      <c r="E1945" s="27"/>
      <c r="F1945" s="27"/>
      <c r="G1945" s="27"/>
      <c r="H1945" s="27"/>
      <c r="I1945" s="27"/>
      <c r="J1945" s="27"/>
      <c r="K1945" s="27"/>
      <c r="L1945" s="27"/>
      <c r="M1945" s="28"/>
      <c r="N1945" s="28"/>
      <c r="O1945" s="27"/>
      <c r="P1945" s="27"/>
    </row>
    <row r="1946">
      <c r="A1946" s="33"/>
      <c r="B1946" s="34"/>
      <c r="C1946" s="34"/>
      <c r="D1946" s="34"/>
      <c r="E1946" s="27"/>
      <c r="F1946" s="27"/>
      <c r="G1946" s="27"/>
      <c r="H1946" s="27"/>
      <c r="I1946" s="27"/>
      <c r="J1946" s="27"/>
      <c r="K1946" s="27"/>
      <c r="L1946" s="27"/>
      <c r="M1946" s="28"/>
      <c r="N1946" s="28"/>
      <c r="O1946" s="27"/>
      <c r="P1946" s="27"/>
    </row>
    <row r="1947">
      <c r="A1947" s="33"/>
      <c r="B1947" s="34"/>
      <c r="C1947" s="34"/>
      <c r="D1947" s="34"/>
      <c r="E1947" s="27"/>
      <c r="F1947" s="27"/>
      <c r="G1947" s="27"/>
      <c r="H1947" s="27"/>
      <c r="I1947" s="27"/>
      <c r="J1947" s="27"/>
      <c r="K1947" s="27"/>
      <c r="L1947" s="27"/>
      <c r="M1947" s="28"/>
      <c r="N1947" s="28"/>
      <c r="O1947" s="27"/>
      <c r="P1947" s="27"/>
    </row>
    <row r="1948">
      <c r="A1948" s="33"/>
      <c r="B1948" s="34"/>
      <c r="C1948" s="34"/>
      <c r="D1948" s="34"/>
      <c r="E1948" s="27"/>
      <c r="F1948" s="27"/>
      <c r="G1948" s="27"/>
      <c r="H1948" s="27"/>
      <c r="I1948" s="27"/>
      <c r="J1948" s="27"/>
      <c r="K1948" s="27"/>
      <c r="L1948" s="27"/>
      <c r="M1948" s="28"/>
      <c r="N1948" s="28"/>
      <c r="O1948" s="27"/>
      <c r="P1948" s="27"/>
    </row>
    <row r="1949">
      <c r="A1949" s="33"/>
      <c r="B1949" s="34"/>
      <c r="C1949" s="34"/>
      <c r="D1949" s="34"/>
      <c r="E1949" s="27"/>
      <c r="F1949" s="27"/>
      <c r="G1949" s="27"/>
      <c r="H1949" s="27"/>
      <c r="I1949" s="27"/>
      <c r="J1949" s="27"/>
      <c r="K1949" s="27"/>
      <c r="L1949" s="27"/>
      <c r="M1949" s="28"/>
      <c r="N1949" s="28"/>
      <c r="O1949" s="27"/>
      <c r="P1949" s="27"/>
    </row>
    <row r="1950">
      <c r="A1950" s="33"/>
      <c r="B1950" s="34"/>
      <c r="C1950" s="34"/>
      <c r="D1950" s="34"/>
      <c r="E1950" s="27"/>
      <c r="F1950" s="27"/>
      <c r="G1950" s="27"/>
      <c r="H1950" s="27"/>
      <c r="I1950" s="27"/>
      <c r="J1950" s="27"/>
      <c r="K1950" s="27"/>
      <c r="L1950" s="27"/>
      <c r="M1950" s="28"/>
      <c r="N1950" s="28"/>
      <c r="O1950" s="27"/>
      <c r="P1950" s="27"/>
    </row>
    <row r="1951">
      <c r="A1951" s="33"/>
      <c r="B1951" s="34"/>
      <c r="C1951" s="34"/>
      <c r="D1951" s="34"/>
      <c r="E1951" s="27"/>
      <c r="F1951" s="27"/>
      <c r="G1951" s="27"/>
      <c r="H1951" s="27"/>
      <c r="I1951" s="27"/>
      <c r="J1951" s="27"/>
      <c r="K1951" s="27"/>
      <c r="L1951" s="27"/>
      <c r="M1951" s="28"/>
      <c r="N1951" s="28"/>
      <c r="O1951" s="27"/>
      <c r="P1951" s="27"/>
    </row>
    <row r="1952">
      <c r="A1952" s="33"/>
      <c r="B1952" s="34"/>
      <c r="C1952" s="34"/>
      <c r="D1952" s="34"/>
      <c r="E1952" s="27"/>
      <c r="F1952" s="27"/>
      <c r="G1952" s="27"/>
      <c r="H1952" s="27"/>
      <c r="I1952" s="27"/>
      <c r="J1952" s="27"/>
      <c r="K1952" s="27"/>
      <c r="L1952" s="27"/>
      <c r="M1952" s="28"/>
      <c r="N1952" s="28"/>
      <c r="O1952" s="27"/>
      <c r="P1952" s="27"/>
    </row>
    <row r="1953">
      <c r="A1953" s="33"/>
      <c r="B1953" s="34"/>
      <c r="C1953" s="34"/>
      <c r="D1953" s="34"/>
      <c r="E1953" s="27"/>
      <c r="F1953" s="27"/>
      <c r="G1953" s="27"/>
      <c r="H1953" s="27"/>
      <c r="I1953" s="27"/>
      <c r="J1953" s="27"/>
      <c r="K1953" s="27"/>
      <c r="L1953" s="27"/>
      <c r="M1953" s="28"/>
      <c r="N1953" s="28"/>
      <c r="O1953" s="27"/>
      <c r="P1953" s="27"/>
    </row>
    <row r="1954">
      <c r="A1954" s="33"/>
      <c r="B1954" s="34"/>
      <c r="C1954" s="34"/>
      <c r="D1954" s="34"/>
      <c r="E1954" s="27"/>
      <c r="F1954" s="27"/>
      <c r="G1954" s="27"/>
      <c r="H1954" s="27"/>
      <c r="I1954" s="27"/>
      <c r="J1954" s="27"/>
      <c r="K1954" s="27"/>
      <c r="L1954" s="27"/>
      <c r="M1954" s="28"/>
      <c r="N1954" s="28"/>
      <c r="O1954" s="27"/>
      <c r="P1954" s="27"/>
    </row>
    <row r="1955">
      <c r="A1955" s="33"/>
      <c r="B1955" s="34"/>
      <c r="C1955" s="34"/>
      <c r="D1955" s="34"/>
      <c r="E1955" s="27"/>
      <c r="F1955" s="27"/>
      <c r="G1955" s="27"/>
      <c r="H1955" s="27"/>
      <c r="I1955" s="27"/>
      <c r="J1955" s="27"/>
      <c r="K1955" s="27"/>
      <c r="L1955" s="27"/>
      <c r="M1955" s="28"/>
      <c r="N1955" s="28"/>
      <c r="O1955" s="27"/>
      <c r="P1955" s="27"/>
    </row>
    <row r="1956">
      <c r="A1956" s="33"/>
      <c r="B1956" s="34"/>
      <c r="C1956" s="34"/>
      <c r="D1956" s="34"/>
      <c r="E1956" s="27"/>
      <c r="F1956" s="27"/>
      <c r="G1956" s="27"/>
      <c r="H1956" s="27"/>
      <c r="I1956" s="27"/>
      <c r="J1956" s="27"/>
      <c r="K1956" s="27"/>
      <c r="L1956" s="27"/>
      <c r="M1956" s="28"/>
      <c r="N1956" s="28"/>
      <c r="O1956" s="27"/>
      <c r="P1956" s="27"/>
    </row>
    <row r="1957">
      <c r="A1957" s="33"/>
      <c r="B1957" s="34"/>
      <c r="C1957" s="34"/>
      <c r="D1957" s="34"/>
      <c r="E1957" s="27"/>
      <c r="F1957" s="27"/>
      <c r="G1957" s="27"/>
      <c r="H1957" s="27"/>
      <c r="I1957" s="27"/>
      <c r="J1957" s="27"/>
      <c r="K1957" s="27"/>
      <c r="L1957" s="27"/>
      <c r="M1957" s="28"/>
      <c r="N1957" s="28"/>
      <c r="O1957" s="27"/>
      <c r="P1957" s="27"/>
    </row>
    <row r="1958">
      <c r="A1958" s="33"/>
      <c r="B1958" s="34"/>
      <c r="C1958" s="34"/>
      <c r="D1958" s="34"/>
      <c r="E1958" s="27"/>
      <c r="F1958" s="27"/>
      <c r="G1958" s="27"/>
      <c r="H1958" s="27"/>
      <c r="I1958" s="27"/>
      <c r="J1958" s="27"/>
      <c r="K1958" s="27"/>
      <c r="L1958" s="27"/>
      <c r="M1958" s="28"/>
      <c r="N1958" s="28"/>
      <c r="O1958" s="27"/>
      <c r="P1958" s="27"/>
    </row>
    <row r="1959">
      <c r="A1959" s="33"/>
      <c r="B1959" s="34"/>
      <c r="C1959" s="34"/>
      <c r="D1959" s="34"/>
      <c r="E1959" s="27"/>
      <c r="F1959" s="27"/>
      <c r="G1959" s="27"/>
      <c r="H1959" s="27"/>
      <c r="I1959" s="27"/>
      <c r="J1959" s="27"/>
      <c r="K1959" s="27"/>
      <c r="L1959" s="27"/>
      <c r="M1959" s="28"/>
      <c r="N1959" s="28"/>
      <c r="O1959" s="27"/>
      <c r="P1959" s="27"/>
    </row>
    <row r="1960">
      <c r="A1960" s="33"/>
      <c r="B1960" s="34"/>
      <c r="C1960" s="34"/>
      <c r="D1960" s="34"/>
      <c r="E1960" s="27"/>
      <c r="F1960" s="27"/>
      <c r="G1960" s="27"/>
      <c r="H1960" s="27"/>
      <c r="I1960" s="27"/>
      <c r="J1960" s="27"/>
      <c r="K1960" s="27"/>
      <c r="L1960" s="27"/>
      <c r="M1960" s="28"/>
      <c r="N1960" s="28"/>
      <c r="O1960" s="27"/>
      <c r="P1960" s="27"/>
    </row>
    <row r="1961">
      <c r="A1961" s="33"/>
      <c r="B1961" s="34"/>
      <c r="C1961" s="34"/>
      <c r="D1961" s="34"/>
      <c r="E1961" s="27"/>
      <c r="F1961" s="27"/>
      <c r="G1961" s="27"/>
      <c r="H1961" s="27"/>
      <c r="I1961" s="27"/>
      <c r="J1961" s="27"/>
      <c r="K1961" s="27"/>
      <c r="L1961" s="27"/>
      <c r="M1961" s="28"/>
      <c r="N1961" s="28"/>
      <c r="O1961" s="27"/>
      <c r="P1961" s="27"/>
    </row>
    <row r="1962">
      <c r="A1962" s="33"/>
      <c r="B1962" s="34"/>
      <c r="C1962" s="34"/>
      <c r="D1962" s="34"/>
      <c r="E1962" s="27"/>
      <c r="F1962" s="27"/>
      <c r="G1962" s="27"/>
      <c r="H1962" s="27"/>
      <c r="I1962" s="27"/>
      <c r="J1962" s="27"/>
      <c r="K1962" s="27"/>
      <c r="L1962" s="27"/>
      <c r="M1962" s="28"/>
      <c r="N1962" s="28"/>
      <c r="O1962" s="27"/>
      <c r="P1962" s="27"/>
    </row>
    <row r="1963">
      <c r="A1963" s="33"/>
      <c r="B1963" s="34"/>
      <c r="C1963" s="34"/>
      <c r="D1963" s="34"/>
      <c r="E1963" s="27"/>
      <c r="F1963" s="27"/>
      <c r="G1963" s="27"/>
      <c r="H1963" s="27"/>
      <c r="I1963" s="27"/>
      <c r="J1963" s="27"/>
      <c r="K1963" s="27"/>
      <c r="L1963" s="27"/>
      <c r="M1963" s="28"/>
      <c r="N1963" s="28"/>
      <c r="O1963" s="27"/>
      <c r="P1963" s="27"/>
    </row>
    <row r="1964">
      <c r="A1964" s="33"/>
      <c r="B1964" s="34"/>
      <c r="C1964" s="34"/>
      <c r="D1964" s="34"/>
      <c r="E1964" s="27"/>
      <c r="F1964" s="27"/>
      <c r="G1964" s="27"/>
      <c r="H1964" s="27"/>
      <c r="I1964" s="27"/>
      <c r="J1964" s="27"/>
      <c r="K1964" s="27"/>
      <c r="L1964" s="27"/>
      <c r="M1964" s="28"/>
      <c r="N1964" s="28"/>
      <c r="O1964" s="27"/>
      <c r="P1964" s="27"/>
    </row>
    <row r="1965">
      <c r="A1965" s="33"/>
      <c r="B1965" s="34"/>
      <c r="C1965" s="34"/>
      <c r="D1965" s="34"/>
      <c r="E1965" s="27"/>
      <c r="F1965" s="27"/>
      <c r="G1965" s="27"/>
      <c r="H1965" s="27"/>
      <c r="I1965" s="27"/>
      <c r="J1965" s="27"/>
      <c r="K1965" s="27"/>
      <c r="L1965" s="27"/>
      <c r="M1965" s="28"/>
      <c r="N1965" s="28"/>
      <c r="O1965" s="27"/>
      <c r="P1965" s="27"/>
    </row>
    <row r="1966">
      <c r="A1966" s="33"/>
      <c r="B1966" s="34"/>
      <c r="C1966" s="34"/>
      <c r="D1966" s="34"/>
      <c r="E1966" s="27"/>
      <c r="F1966" s="27"/>
      <c r="G1966" s="27"/>
      <c r="H1966" s="27"/>
      <c r="I1966" s="27"/>
      <c r="J1966" s="27"/>
      <c r="K1966" s="27"/>
      <c r="L1966" s="27"/>
      <c r="M1966" s="28"/>
      <c r="N1966" s="28"/>
      <c r="O1966" s="27"/>
      <c r="P1966" s="27"/>
    </row>
    <row r="1967">
      <c r="A1967" s="33"/>
      <c r="B1967" s="34"/>
      <c r="C1967" s="34"/>
      <c r="D1967" s="34"/>
      <c r="E1967" s="27"/>
      <c r="F1967" s="27"/>
      <c r="G1967" s="27"/>
      <c r="H1967" s="27"/>
      <c r="I1967" s="27"/>
      <c r="J1967" s="27"/>
      <c r="K1967" s="27"/>
      <c r="L1967" s="27"/>
      <c r="M1967" s="28"/>
      <c r="N1967" s="28"/>
      <c r="O1967" s="27"/>
      <c r="P1967" s="27"/>
    </row>
    <row r="1968">
      <c r="A1968" s="33"/>
      <c r="B1968" s="34"/>
      <c r="C1968" s="34"/>
      <c r="D1968" s="34"/>
      <c r="E1968" s="27"/>
      <c r="F1968" s="27"/>
      <c r="G1968" s="27"/>
      <c r="H1968" s="27"/>
      <c r="I1968" s="27"/>
      <c r="J1968" s="27"/>
      <c r="K1968" s="27"/>
      <c r="L1968" s="27"/>
      <c r="M1968" s="28"/>
      <c r="N1968" s="28"/>
      <c r="O1968" s="27"/>
      <c r="P1968" s="27"/>
    </row>
    <row r="1969">
      <c r="A1969" s="33"/>
      <c r="B1969" s="34"/>
      <c r="C1969" s="34"/>
      <c r="D1969" s="34"/>
      <c r="E1969" s="27"/>
      <c r="F1969" s="27"/>
      <c r="G1969" s="27"/>
      <c r="H1969" s="27"/>
      <c r="I1969" s="27"/>
      <c r="J1969" s="27"/>
      <c r="K1969" s="27"/>
      <c r="L1969" s="27"/>
      <c r="M1969" s="28"/>
      <c r="N1969" s="28"/>
      <c r="O1969" s="27"/>
      <c r="P1969" s="27"/>
    </row>
    <row r="1970">
      <c r="A1970" s="33"/>
      <c r="B1970" s="34"/>
      <c r="C1970" s="34"/>
      <c r="D1970" s="34"/>
      <c r="E1970" s="27"/>
      <c r="F1970" s="27"/>
      <c r="G1970" s="27"/>
      <c r="H1970" s="27"/>
      <c r="I1970" s="27"/>
      <c r="J1970" s="27"/>
      <c r="K1970" s="27"/>
      <c r="L1970" s="27"/>
      <c r="M1970" s="28"/>
      <c r="N1970" s="28"/>
      <c r="O1970" s="27"/>
      <c r="P1970" s="27"/>
    </row>
    <row r="1971">
      <c r="A1971" s="33"/>
      <c r="B1971" s="34"/>
      <c r="C1971" s="34"/>
      <c r="D1971" s="34"/>
      <c r="E1971" s="27"/>
      <c r="F1971" s="27"/>
      <c r="G1971" s="27"/>
      <c r="H1971" s="27"/>
      <c r="I1971" s="27"/>
      <c r="J1971" s="27"/>
      <c r="K1971" s="27"/>
      <c r="L1971" s="27"/>
      <c r="M1971" s="28"/>
      <c r="N1971" s="28"/>
      <c r="O1971" s="27"/>
      <c r="P1971" s="27"/>
    </row>
    <row r="1972">
      <c r="A1972" s="33"/>
      <c r="B1972" s="34"/>
      <c r="C1972" s="34"/>
      <c r="D1972" s="34"/>
      <c r="E1972" s="27"/>
      <c r="F1972" s="27"/>
      <c r="G1972" s="27"/>
      <c r="H1972" s="27"/>
      <c r="I1972" s="27"/>
      <c r="J1972" s="27"/>
      <c r="K1972" s="27"/>
      <c r="L1972" s="27"/>
      <c r="M1972" s="28"/>
      <c r="N1972" s="28"/>
      <c r="O1972" s="27"/>
      <c r="P1972" s="27"/>
    </row>
    <row r="1973">
      <c r="A1973" s="33"/>
      <c r="B1973" s="34"/>
      <c r="C1973" s="34"/>
      <c r="D1973" s="34"/>
      <c r="E1973" s="27"/>
      <c r="F1973" s="27"/>
      <c r="G1973" s="27"/>
      <c r="H1973" s="27"/>
      <c r="I1973" s="27"/>
      <c r="J1973" s="27"/>
      <c r="K1973" s="27"/>
      <c r="L1973" s="27"/>
      <c r="M1973" s="28"/>
      <c r="N1973" s="28"/>
      <c r="O1973" s="27"/>
      <c r="P1973" s="27"/>
    </row>
    <row r="1974">
      <c r="A1974" s="33"/>
      <c r="B1974" s="34"/>
      <c r="C1974" s="34"/>
      <c r="D1974" s="34"/>
      <c r="E1974" s="27"/>
      <c r="F1974" s="27"/>
      <c r="G1974" s="27"/>
      <c r="H1974" s="27"/>
      <c r="I1974" s="27"/>
      <c r="J1974" s="27"/>
      <c r="K1974" s="27"/>
      <c r="L1974" s="27"/>
      <c r="M1974" s="28"/>
      <c r="N1974" s="28"/>
      <c r="O1974" s="27"/>
      <c r="P1974" s="27"/>
    </row>
    <row r="1975">
      <c r="A1975" s="33"/>
      <c r="B1975" s="34"/>
      <c r="C1975" s="34"/>
      <c r="D1975" s="34"/>
      <c r="E1975" s="27"/>
      <c r="F1975" s="27"/>
      <c r="G1975" s="27"/>
      <c r="H1975" s="27"/>
      <c r="I1975" s="27"/>
      <c r="J1975" s="27"/>
      <c r="K1975" s="27"/>
      <c r="L1975" s="27"/>
      <c r="M1975" s="28"/>
      <c r="N1975" s="28"/>
      <c r="O1975" s="27"/>
      <c r="P1975" s="27"/>
    </row>
    <row r="1976">
      <c r="A1976" s="33"/>
      <c r="B1976" s="34"/>
      <c r="C1976" s="34"/>
      <c r="D1976" s="34"/>
      <c r="E1976" s="27"/>
      <c r="F1976" s="27"/>
      <c r="G1976" s="27"/>
      <c r="H1976" s="27"/>
      <c r="I1976" s="27"/>
      <c r="J1976" s="27"/>
      <c r="K1976" s="27"/>
      <c r="L1976" s="27"/>
      <c r="M1976" s="28"/>
      <c r="N1976" s="28"/>
      <c r="O1976" s="27"/>
      <c r="P1976" s="27"/>
    </row>
    <row r="1977">
      <c r="A1977" s="33"/>
      <c r="B1977" s="34"/>
      <c r="C1977" s="34"/>
      <c r="D1977" s="34"/>
      <c r="E1977" s="27"/>
      <c r="F1977" s="27"/>
      <c r="G1977" s="27"/>
      <c r="H1977" s="27"/>
      <c r="I1977" s="27"/>
      <c r="J1977" s="27"/>
      <c r="K1977" s="27"/>
      <c r="L1977" s="27"/>
      <c r="M1977" s="28"/>
      <c r="N1977" s="28"/>
      <c r="O1977" s="27"/>
      <c r="P1977" s="27"/>
    </row>
    <row r="1978">
      <c r="A1978" s="33"/>
      <c r="B1978" s="34"/>
      <c r="C1978" s="34"/>
      <c r="D1978" s="34"/>
      <c r="E1978" s="27"/>
      <c r="F1978" s="27"/>
      <c r="G1978" s="27"/>
      <c r="H1978" s="27"/>
      <c r="I1978" s="27"/>
      <c r="J1978" s="27"/>
      <c r="K1978" s="27"/>
      <c r="L1978" s="27"/>
      <c r="M1978" s="28"/>
      <c r="N1978" s="28"/>
      <c r="O1978" s="27"/>
      <c r="P1978" s="27"/>
    </row>
    <row r="1979">
      <c r="A1979" s="33"/>
      <c r="B1979" s="34"/>
      <c r="C1979" s="34"/>
      <c r="D1979" s="34"/>
      <c r="E1979" s="27"/>
      <c r="F1979" s="27"/>
      <c r="G1979" s="27"/>
      <c r="H1979" s="27"/>
      <c r="I1979" s="27"/>
      <c r="J1979" s="27"/>
      <c r="K1979" s="27"/>
      <c r="L1979" s="27"/>
      <c r="M1979" s="28"/>
      <c r="N1979" s="28"/>
      <c r="O1979" s="27"/>
      <c r="P1979" s="27"/>
    </row>
    <row r="1980">
      <c r="A1980" s="33"/>
      <c r="B1980" s="34"/>
      <c r="C1980" s="34"/>
      <c r="D1980" s="34"/>
      <c r="E1980" s="27"/>
      <c r="F1980" s="27"/>
      <c r="G1980" s="27"/>
      <c r="H1980" s="27"/>
      <c r="I1980" s="27"/>
      <c r="J1980" s="27"/>
      <c r="K1980" s="27"/>
      <c r="L1980" s="27"/>
      <c r="M1980" s="28"/>
      <c r="N1980" s="28"/>
      <c r="O1980" s="27"/>
      <c r="P1980" s="27"/>
    </row>
    <row r="1981">
      <c r="A1981" s="33"/>
      <c r="B1981" s="34"/>
      <c r="C1981" s="34"/>
      <c r="D1981" s="34"/>
      <c r="E1981" s="27"/>
      <c r="F1981" s="27"/>
      <c r="G1981" s="27"/>
      <c r="H1981" s="27"/>
      <c r="I1981" s="27"/>
      <c r="J1981" s="27"/>
      <c r="K1981" s="27"/>
      <c r="L1981" s="27"/>
      <c r="M1981" s="28"/>
      <c r="N1981" s="28"/>
      <c r="O1981" s="27"/>
      <c r="P1981" s="27"/>
    </row>
    <row r="1982">
      <c r="A1982" s="33"/>
      <c r="B1982" s="34"/>
      <c r="C1982" s="34"/>
      <c r="D1982" s="34"/>
      <c r="E1982" s="27"/>
      <c r="F1982" s="27"/>
      <c r="G1982" s="27"/>
      <c r="H1982" s="27"/>
      <c r="I1982" s="27"/>
      <c r="J1982" s="27"/>
      <c r="K1982" s="27"/>
      <c r="L1982" s="27"/>
      <c r="M1982" s="28"/>
      <c r="N1982" s="28"/>
      <c r="O1982" s="27"/>
      <c r="P1982" s="27"/>
    </row>
    <row r="1983">
      <c r="A1983" s="33"/>
      <c r="B1983" s="34"/>
      <c r="C1983" s="34"/>
      <c r="D1983" s="34"/>
      <c r="E1983" s="27"/>
      <c r="F1983" s="27"/>
      <c r="G1983" s="27"/>
      <c r="H1983" s="27"/>
      <c r="I1983" s="27"/>
      <c r="J1983" s="27"/>
      <c r="K1983" s="27"/>
      <c r="L1983" s="27"/>
      <c r="M1983" s="28"/>
      <c r="N1983" s="28"/>
      <c r="O1983" s="27"/>
      <c r="P1983" s="27"/>
    </row>
    <row r="1984">
      <c r="A1984" s="33"/>
      <c r="B1984" s="34"/>
      <c r="C1984" s="34"/>
      <c r="D1984" s="34"/>
      <c r="E1984" s="27"/>
      <c r="F1984" s="27"/>
      <c r="G1984" s="27"/>
      <c r="H1984" s="27"/>
      <c r="I1984" s="27"/>
      <c r="J1984" s="27"/>
      <c r="K1984" s="27"/>
      <c r="L1984" s="27"/>
      <c r="M1984" s="28"/>
      <c r="N1984" s="28"/>
      <c r="O1984" s="27"/>
      <c r="P1984" s="27"/>
    </row>
    <row r="1985">
      <c r="A1985" s="33"/>
      <c r="B1985" s="34"/>
      <c r="C1985" s="34"/>
      <c r="D1985" s="34"/>
      <c r="E1985" s="27"/>
      <c r="F1985" s="27"/>
      <c r="G1985" s="27"/>
      <c r="H1985" s="27"/>
      <c r="I1985" s="27"/>
      <c r="J1985" s="27"/>
      <c r="K1985" s="27"/>
      <c r="L1985" s="27"/>
      <c r="M1985" s="28"/>
      <c r="N1985" s="28"/>
      <c r="O1985" s="27"/>
      <c r="P1985" s="27"/>
    </row>
    <row r="1986">
      <c r="A1986" s="33"/>
      <c r="B1986" s="34"/>
      <c r="C1986" s="34"/>
      <c r="D1986" s="34"/>
      <c r="E1986" s="27"/>
      <c r="F1986" s="27"/>
      <c r="G1986" s="27"/>
      <c r="H1986" s="27"/>
      <c r="I1986" s="27"/>
      <c r="J1986" s="27"/>
      <c r="K1986" s="27"/>
      <c r="L1986" s="27"/>
      <c r="M1986" s="28"/>
      <c r="N1986" s="28"/>
      <c r="O1986" s="27"/>
      <c r="P1986" s="27"/>
    </row>
    <row r="1987">
      <c r="A1987" s="33"/>
      <c r="B1987" s="34"/>
      <c r="C1987" s="34"/>
      <c r="D1987" s="34"/>
      <c r="E1987" s="27"/>
      <c r="F1987" s="27"/>
      <c r="G1987" s="27"/>
      <c r="H1987" s="27"/>
      <c r="I1987" s="27"/>
      <c r="J1987" s="27"/>
      <c r="K1987" s="27"/>
      <c r="L1987" s="27"/>
      <c r="M1987" s="28"/>
      <c r="N1987" s="28"/>
      <c r="O1987" s="27"/>
      <c r="P1987" s="27"/>
    </row>
    <row r="1988">
      <c r="A1988" s="33"/>
      <c r="B1988" s="34"/>
      <c r="C1988" s="34"/>
      <c r="D1988" s="34"/>
      <c r="E1988" s="27"/>
      <c r="F1988" s="27"/>
      <c r="G1988" s="27"/>
      <c r="H1988" s="27"/>
      <c r="I1988" s="27"/>
      <c r="J1988" s="27"/>
      <c r="K1988" s="27"/>
      <c r="L1988" s="27"/>
      <c r="M1988" s="28"/>
      <c r="N1988" s="28"/>
      <c r="O1988" s="27"/>
      <c r="P1988" s="27"/>
    </row>
    <row r="1989">
      <c r="A1989" s="33"/>
      <c r="B1989" s="34"/>
      <c r="C1989" s="34"/>
      <c r="D1989" s="34"/>
      <c r="E1989" s="27"/>
      <c r="F1989" s="27"/>
      <c r="G1989" s="27"/>
      <c r="H1989" s="27"/>
      <c r="I1989" s="27"/>
      <c r="J1989" s="27"/>
      <c r="K1989" s="27"/>
      <c r="L1989" s="27"/>
      <c r="M1989" s="28"/>
      <c r="N1989" s="28"/>
      <c r="O1989" s="27"/>
      <c r="P1989" s="27"/>
    </row>
    <row r="1990">
      <c r="A1990" s="33"/>
      <c r="B1990" s="34"/>
      <c r="C1990" s="34"/>
      <c r="D1990" s="34"/>
      <c r="E1990" s="27"/>
      <c r="F1990" s="27"/>
      <c r="G1990" s="27"/>
      <c r="H1990" s="27"/>
      <c r="I1990" s="27"/>
      <c r="J1990" s="27"/>
      <c r="K1990" s="27"/>
      <c r="L1990" s="27"/>
      <c r="M1990" s="28"/>
      <c r="N1990" s="28"/>
      <c r="O1990" s="27"/>
      <c r="P1990" s="27"/>
    </row>
    <row r="1991">
      <c r="A1991" s="33"/>
      <c r="B1991" s="34"/>
      <c r="C1991" s="34"/>
      <c r="D1991" s="34"/>
      <c r="E1991" s="27"/>
      <c r="F1991" s="27"/>
      <c r="G1991" s="27"/>
      <c r="H1991" s="27"/>
      <c r="I1991" s="27"/>
      <c r="J1991" s="27"/>
      <c r="K1991" s="27"/>
      <c r="L1991" s="27"/>
      <c r="M1991" s="28"/>
      <c r="N1991" s="28"/>
      <c r="O1991" s="27"/>
      <c r="P1991" s="27"/>
    </row>
    <row r="1992">
      <c r="A1992" s="33"/>
      <c r="B1992" s="34"/>
      <c r="C1992" s="34"/>
      <c r="D1992" s="34"/>
      <c r="E1992" s="27"/>
      <c r="F1992" s="27"/>
      <c r="G1992" s="27"/>
      <c r="H1992" s="27"/>
      <c r="I1992" s="27"/>
      <c r="J1992" s="27"/>
      <c r="K1992" s="27"/>
      <c r="L1992" s="27"/>
      <c r="M1992" s="28"/>
      <c r="N1992" s="28"/>
      <c r="O1992" s="27"/>
      <c r="P1992" s="27"/>
    </row>
    <row r="1993">
      <c r="A1993" s="33"/>
      <c r="B1993" s="34"/>
      <c r="C1993" s="34"/>
      <c r="D1993" s="34"/>
      <c r="E1993" s="27"/>
      <c r="F1993" s="27"/>
      <c r="G1993" s="27"/>
      <c r="H1993" s="27"/>
      <c r="I1993" s="27"/>
      <c r="J1993" s="27"/>
      <c r="K1993" s="27"/>
      <c r="L1993" s="27"/>
      <c r="M1993" s="28"/>
      <c r="N1993" s="28"/>
      <c r="O1993" s="27"/>
      <c r="P1993" s="27"/>
    </row>
    <row r="1994">
      <c r="A1994" s="33"/>
      <c r="B1994" s="34"/>
      <c r="C1994" s="34"/>
      <c r="D1994" s="34"/>
      <c r="E1994" s="27"/>
      <c r="F1994" s="27"/>
      <c r="G1994" s="27"/>
      <c r="H1994" s="27"/>
      <c r="I1994" s="27"/>
      <c r="J1994" s="27"/>
      <c r="K1994" s="27"/>
      <c r="L1994" s="27"/>
      <c r="M1994" s="28"/>
      <c r="N1994" s="28"/>
      <c r="O1994" s="27"/>
      <c r="P1994" s="27"/>
    </row>
    <row r="1995">
      <c r="A1995" s="33"/>
      <c r="B1995" s="34"/>
      <c r="C1995" s="34"/>
      <c r="D1995" s="34"/>
      <c r="E1995" s="27"/>
      <c r="F1995" s="27"/>
      <c r="G1995" s="27"/>
      <c r="H1995" s="27"/>
      <c r="I1995" s="27"/>
      <c r="J1995" s="27"/>
      <c r="K1995" s="27"/>
      <c r="L1995" s="27"/>
      <c r="M1995" s="28"/>
      <c r="N1995" s="28"/>
      <c r="O1995" s="27"/>
      <c r="P1995" s="27"/>
    </row>
    <row r="1996">
      <c r="A1996" s="33"/>
      <c r="B1996" s="34"/>
      <c r="C1996" s="34"/>
      <c r="D1996" s="34"/>
      <c r="E1996" s="27"/>
      <c r="F1996" s="27"/>
      <c r="G1996" s="27"/>
      <c r="H1996" s="27"/>
      <c r="I1996" s="27"/>
      <c r="J1996" s="27"/>
      <c r="K1996" s="27"/>
      <c r="L1996" s="27"/>
      <c r="M1996" s="28"/>
      <c r="N1996" s="28"/>
      <c r="O1996" s="27"/>
      <c r="P1996" s="27"/>
    </row>
    <row r="1997">
      <c r="A1997" s="33"/>
      <c r="B1997" s="34"/>
      <c r="C1997" s="34"/>
      <c r="D1997" s="34"/>
      <c r="E1997" s="27"/>
      <c r="F1997" s="27"/>
      <c r="G1997" s="27"/>
      <c r="H1997" s="27"/>
      <c r="I1997" s="27"/>
      <c r="J1997" s="27"/>
      <c r="K1997" s="27"/>
      <c r="L1997" s="27"/>
      <c r="M1997" s="28"/>
      <c r="N1997" s="28"/>
      <c r="O1997" s="27"/>
      <c r="P1997" s="27"/>
    </row>
    <row r="1998">
      <c r="A1998" s="33"/>
      <c r="B1998" s="34"/>
      <c r="C1998" s="34"/>
      <c r="D1998" s="34"/>
      <c r="E1998" s="27"/>
      <c r="F1998" s="27"/>
      <c r="G1998" s="27"/>
      <c r="H1998" s="27"/>
      <c r="I1998" s="27"/>
      <c r="J1998" s="27"/>
      <c r="K1998" s="27"/>
      <c r="L1998" s="27"/>
      <c r="M1998" s="28"/>
      <c r="N1998" s="28"/>
      <c r="O1998" s="27"/>
      <c r="P1998" s="27"/>
    </row>
    <row r="1999">
      <c r="A1999" s="33"/>
      <c r="B1999" s="34"/>
      <c r="C1999" s="34"/>
      <c r="D1999" s="34"/>
      <c r="E1999" s="27"/>
      <c r="F1999" s="27"/>
      <c r="G1999" s="27"/>
      <c r="H1999" s="27"/>
      <c r="I1999" s="27"/>
      <c r="J1999" s="27"/>
      <c r="K1999" s="27"/>
      <c r="L1999" s="27"/>
      <c r="M1999" s="28"/>
      <c r="N1999" s="28"/>
      <c r="O1999" s="27"/>
      <c r="P1999" s="27"/>
    </row>
    <row r="2000">
      <c r="A2000" s="33"/>
      <c r="B2000" s="34"/>
      <c r="C2000" s="34"/>
      <c r="D2000" s="34"/>
      <c r="E2000" s="27"/>
      <c r="F2000" s="27"/>
      <c r="G2000" s="27"/>
      <c r="H2000" s="27"/>
      <c r="I2000" s="27"/>
      <c r="J2000" s="27"/>
      <c r="K2000" s="27"/>
      <c r="L2000" s="27"/>
      <c r="M2000" s="28"/>
      <c r="N2000" s="28"/>
      <c r="O2000" s="27"/>
      <c r="P2000" s="27"/>
    </row>
    <row r="2001">
      <c r="A2001" s="33"/>
      <c r="B2001" s="34"/>
      <c r="C2001" s="34"/>
      <c r="D2001" s="34"/>
      <c r="E2001" s="27"/>
      <c r="F2001" s="27"/>
      <c r="G2001" s="27"/>
      <c r="H2001" s="27"/>
      <c r="I2001" s="27"/>
      <c r="J2001" s="27"/>
      <c r="K2001" s="27"/>
      <c r="L2001" s="27"/>
      <c r="M2001" s="28"/>
      <c r="N2001" s="28"/>
      <c r="O2001" s="27"/>
      <c r="P2001" s="27"/>
    </row>
    <row r="2002">
      <c r="A2002" s="33"/>
      <c r="B2002" s="34"/>
      <c r="C2002" s="34"/>
      <c r="D2002" s="34"/>
      <c r="E2002" s="27"/>
      <c r="F2002" s="27"/>
      <c r="G2002" s="27"/>
      <c r="H2002" s="27"/>
      <c r="I2002" s="27"/>
      <c r="J2002" s="27"/>
      <c r="K2002" s="27"/>
      <c r="L2002" s="27"/>
      <c r="M2002" s="28"/>
      <c r="N2002" s="28"/>
      <c r="O2002" s="27"/>
      <c r="P2002" s="27"/>
    </row>
    <row r="2003">
      <c r="A2003" s="33"/>
      <c r="B2003" s="34"/>
      <c r="C2003" s="34"/>
      <c r="D2003" s="34"/>
      <c r="E2003" s="27"/>
      <c r="F2003" s="27"/>
      <c r="G2003" s="27"/>
      <c r="H2003" s="27"/>
      <c r="I2003" s="27"/>
      <c r="J2003" s="27"/>
      <c r="K2003" s="27"/>
      <c r="L2003" s="27"/>
      <c r="M2003" s="28"/>
      <c r="N2003" s="28"/>
      <c r="O2003" s="27"/>
      <c r="P2003" s="27"/>
    </row>
    <row r="2004">
      <c r="A2004" s="33"/>
      <c r="B2004" s="34"/>
      <c r="C2004" s="34"/>
      <c r="D2004" s="34"/>
      <c r="E2004" s="27"/>
      <c r="F2004" s="27"/>
      <c r="G2004" s="27"/>
      <c r="H2004" s="27"/>
      <c r="I2004" s="27"/>
      <c r="J2004" s="27"/>
      <c r="K2004" s="27"/>
      <c r="L2004" s="27"/>
      <c r="M2004" s="28"/>
      <c r="N2004" s="28"/>
      <c r="O2004" s="27"/>
      <c r="P2004" s="27"/>
    </row>
    <row r="2005">
      <c r="A2005" s="33"/>
      <c r="B2005" s="34"/>
      <c r="C2005" s="34"/>
      <c r="D2005" s="34"/>
      <c r="E2005" s="27"/>
      <c r="F2005" s="27"/>
      <c r="G2005" s="27"/>
      <c r="H2005" s="27"/>
      <c r="I2005" s="27"/>
      <c r="J2005" s="27"/>
      <c r="K2005" s="27"/>
      <c r="L2005" s="27"/>
      <c r="M2005" s="28"/>
      <c r="N2005" s="28"/>
      <c r="O2005" s="27"/>
      <c r="P2005" s="27"/>
    </row>
    <row r="2006">
      <c r="A2006" s="33"/>
      <c r="B2006" s="34"/>
      <c r="C2006" s="34"/>
      <c r="D2006" s="34"/>
      <c r="E2006" s="27"/>
      <c r="F2006" s="27"/>
      <c r="G2006" s="27"/>
      <c r="H2006" s="27"/>
      <c r="I2006" s="27"/>
      <c r="J2006" s="27"/>
      <c r="K2006" s="27"/>
      <c r="L2006" s="27"/>
      <c r="M2006" s="28"/>
      <c r="N2006" s="28"/>
      <c r="O2006" s="27"/>
      <c r="P2006" s="27"/>
    </row>
    <row r="2007">
      <c r="A2007" s="33"/>
      <c r="B2007" s="34"/>
      <c r="C2007" s="34"/>
      <c r="D2007" s="34"/>
      <c r="E2007" s="27"/>
      <c r="F2007" s="27"/>
      <c r="G2007" s="27"/>
      <c r="H2007" s="27"/>
      <c r="I2007" s="27"/>
      <c r="J2007" s="27"/>
      <c r="K2007" s="27"/>
      <c r="L2007" s="27"/>
      <c r="M2007" s="28"/>
      <c r="N2007" s="28"/>
      <c r="O2007" s="27"/>
      <c r="P2007" s="27"/>
    </row>
    <row r="2008">
      <c r="A2008" s="33"/>
      <c r="B2008" s="34"/>
      <c r="C2008" s="34"/>
      <c r="D2008" s="34"/>
      <c r="E2008" s="27"/>
      <c r="F2008" s="27"/>
      <c r="G2008" s="27"/>
      <c r="H2008" s="27"/>
      <c r="I2008" s="27"/>
      <c r="J2008" s="27"/>
      <c r="K2008" s="27"/>
      <c r="L2008" s="27"/>
      <c r="M2008" s="28"/>
      <c r="N2008" s="28"/>
      <c r="O2008" s="27"/>
      <c r="P2008" s="27"/>
    </row>
    <row r="2009">
      <c r="A2009" s="33"/>
      <c r="B2009" s="34"/>
      <c r="C2009" s="34"/>
      <c r="D2009" s="34"/>
      <c r="E2009" s="27"/>
      <c r="F2009" s="27"/>
      <c r="G2009" s="27"/>
      <c r="H2009" s="27"/>
      <c r="I2009" s="27"/>
      <c r="J2009" s="27"/>
      <c r="K2009" s="27"/>
      <c r="L2009" s="27"/>
      <c r="M2009" s="28"/>
      <c r="N2009" s="28"/>
      <c r="O2009" s="27"/>
      <c r="P2009" s="27"/>
    </row>
    <row r="2010">
      <c r="A2010" s="33"/>
      <c r="B2010" s="34"/>
      <c r="C2010" s="34"/>
      <c r="D2010" s="34"/>
      <c r="E2010" s="27"/>
      <c r="F2010" s="27"/>
      <c r="G2010" s="27"/>
      <c r="H2010" s="27"/>
      <c r="I2010" s="27"/>
      <c r="J2010" s="27"/>
      <c r="K2010" s="27"/>
      <c r="L2010" s="27"/>
      <c r="M2010" s="28"/>
      <c r="N2010" s="28"/>
      <c r="O2010" s="27"/>
      <c r="P2010" s="27"/>
    </row>
    <row r="2011">
      <c r="A2011" s="33"/>
      <c r="B2011" s="34"/>
      <c r="C2011" s="34"/>
      <c r="D2011" s="34"/>
      <c r="E2011" s="27"/>
      <c r="F2011" s="27"/>
      <c r="G2011" s="27"/>
      <c r="H2011" s="27"/>
      <c r="I2011" s="27"/>
      <c r="J2011" s="27"/>
      <c r="K2011" s="27"/>
      <c r="L2011" s="27"/>
      <c r="M2011" s="28"/>
      <c r="N2011" s="28"/>
      <c r="O2011" s="27"/>
      <c r="P2011" s="27"/>
    </row>
    <row r="2012">
      <c r="A2012" s="33"/>
      <c r="B2012" s="34"/>
      <c r="C2012" s="34"/>
      <c r="D2012" s="34"/>
      <c r="E2012" s="27"/>
      <c r="F2012" s="27"/>
      <c r="G2012" s="27"/>
      <c r="H2012" s="27"/>
      <c r="I2012" s="27"/>
      <c r="J2012" s="27"/>
      <c r="K2012" s="27"/>
      <c r="L2012" s="27"/>
      <c r="M2012" s="28"/>
      <c r="N2012" s="28"/>
      <c r="O2012" s="27"/>
      <c r="P2012" s="27"/>
    </row>
    <row r="2013">
      <c r="A2013" s="33"/>
      <c r="B2013" s="34"/>
      <c r="C2013" s="34"/>
      <c r="D2013" s="34"/>
      <c r="E2013" s="27"/>
      <c r="F2013" s="27"/>
      <c r="G2013" s="27"/>
      <c r="H2013" s="27"/>
      <c r="I2013" s="27"/>
      <c r="J2013" s="27"/>
      <c r="K2013" s="27"/>
      <c r="L2013" s="27"/>
      <c r="M2013" s="28"/>
      <c r="N2013" s="28"/>
      <c r="O2013" s="27"/>
      <c r="P2013" s="27"/>
    </row>
    <row r="2014">
      <c r="A2014" s="33"/>
      <c r="B2014" s="34"/>
      <c r="C2014" s="34"/>
      <c r="D2014" s="34"/>
      <c r="E2014" s="27"/>
      <c r="F2014" s="27"/>
      <c r="G2014" s="27"/>
      <c r="H2014" s="27"/>
      <c r="I2014" s="27"/>
      <c r="J2014" s="27"/>
      <c r="K2014" s="27"/>
      <c r="L2014" s="27"/>
      <c r="M2014" s="28"/>
      <c r="N2014" s="28"/>
      <c r="O2014" s="27"/>
      <c r="P2014" s="27"/>
    </row>
    <row r="2015">
      <c r="A2015" s="33"/>
      <c r="B2015" s="34"/>
      <c r="C2015" s="34"/>
      <c r="D2015" s="34"/>
      <c r="E2015" s="27"/>
      <c r="F2015" s="27"/>
      <c r="G2015" s="27"/>
      <c r="H2015" s="27"/>
      <c r="I2015" s="27"/>
      <c r="J2015" s="27"/>
      <c r="K2015" s="27"/>
      <c r="L2015" s="27"/>
      <c r="M2015" s="28"/>
      <c r="N2015" s="28"/>
      <c r="O2015" s="27"/>
      <c r="P2015" s="27"/>
    </row>
    <row r="2016">
      <c r="A2016" s="33"/>
      <c r="B2016" s="34"/>
      <c r="C2016" s="34"/>
      <c r="D2016" s="34"/>
      <c r="E2016" s="27"/>
      <c r="F2016" s="27"/>
      <c r="G2016" s="27"/>
      <c r="H2016" s="27"/>
      <c r="I2016" s="27"/>
      <c r="J2016" s="27"/>
      <c r="K2016" s="27"/>
      <c r="L2016" s="27"/>
      <c r="M2016" s="28"/>
      <c r="N2016" s="28"/>
      <c r="O2016" s="27"/>
      <c r="P2016" s="27"/>
    </row>
    <row r="2017">
      <c r="A2017" s="33"/>
      <c r="B2017" s="34"/>
      <c r="C2017" s="34"/>
      <c r="D2017" s="34"/>
      <c r="E2017" s="27"/>
      <c r="F2017" s="27"/>
      <c r="G2017" s="27"/>
      <c r="H2017" s="27"/>
      <c r="I2017" s="27"/>
      <c r="J2017" s="27"/>
      <c r="K2017" s="27"/>
      <c r="L2017" s="27"/>
      <c r="M2017" s="28"/>
      <c r="N2017" s="28"/>
      <c r="O2017" s="27"/>
      <c r="P2017" s="27"/>
    </row>
    <row r="2018">
      <c r="A2018" s="33"/>
      <c r="B2018" s="34"/>
      <c r="C2018" s="34"/>
      <c r="D2018" s="34"/>
      <c r="E2018" s="27"/>
      <c r="F2018" s="27"/>
      <c r="G2018" s="27"/>
      <c r="H2018" s="27"/>
      <c r="I2018" s="27"/>
      <c r="J2018" s="27"/>
      <c r="K2018" s="27"/>
      <c r="L2018" s="27"/>
      <c r="M2018" s="28"/>
      <c r="N2018" s="28"/>
      <c r="O2018" s="27"/>
      <c r="P2018" s="27"/>
    </row>
    <row r="2019">
      <c r="A2019" s="33"/>
      <c r="B2019" s="34"/>
      <c r="C2019" s="34"/>
      <c r="D2019" s="34"/>
      <c r="E2019" s="27"/>
      <c r="F2019" s="27"/>
      <c r="G2019" s="27"/>
      <c r="H2019" s="27"/>
      <c r="I2019" s="27"/>
      <c r="J2019" s="27"/>
      <c r="K2019" s="27"/>
      <c r="L2019" s="27"/>
      <c r="M2019" s="28"/>
      <c r="N2019" s="28"/>
      <c r="O2019" s="27"/>
      <c r="P2019" s="27"/>
    </row>
    <row r="2020">
      <c r="A2020" s="33"/>
      <c r="B2020" s="34"/>
      <c r="C2020" s="34"/>
      <c r="D2020" s="34"/>
      <c r="E2020" s="27"/>
      <c r="F2020" s="27"/>
      <c r="G2020" s="27"/>
      <c r="H2020" s="27"/>
      <c r="I2020" s="27"/>
      <c r="J2020" s="27"/>
      <c r="K2020" s="27"/>
      <c r="L2020" s="27"/>
      <c r="M2020" s="28"/>
      <c r="N2020" s="28"/>
      <c r="O2020" s="27"/>
      <c r="P2020" s="27"/>
    </row>
    <row r="2021">
      <c r="A2021" s="33"/>
      <c r="B2021" s="34"/>
      <c r="C2021" s="34"/>
      <c r="D2021" s="34"/>
      <c r="E2021" s="27"/>
      <c r="F2021" s="27"/>
      <c r="G2021" s="27"/>
      <c r="H2021" s="27"/>
      <c r="I2021" s="27"/>
      <c r="J2021" s="27"/>
      <c r="K2021" s="27"/>
      <c r="L2021" s="27"/>
      <c r="M2021" s="28"/>
      <c r="N2021" s="28"/>
      <c r="O2021" s="27"/>
      <c r="P2021" s="27"/>
    </row>
    <row r="2022">
      <c r="A2022" s="33"/>
      <c r="B2022" s="34"/>
      <c r="C2022" s="34"/>
      <c r="D2022" s="34"/>
      <c r="E2022" s="27"/>
      <c r="F2022" s="27"/>
      <c r="G2022" s="27"/>
      <c r="H2022" s="27"/>
      <c r="I2022" s="27"/>
      <c r="J2022" s="27"/>
      <c r="K2022" s="27"/>
      <c r="L2022" s="27"/>
      <c r="M2022" s="28"/>
      <c r="N2022" s="28"/>
      <c r="O2022" s="27"/>
      <c r="P2022" s="27"/>
    </row>
    <row r="2023">
      <c r="A2023" s="33"/>
      <c r="B2023" s="34"/>
      <c r="C2023" s="34"/>
      <c r="D2023" s="34"/>
      <c r="E2023" s="27"/>
      <c r="F2023" s="27"/>
      <c r="G2023" s="27"/>
      <c r="H2023" s="27"/>
      <c r="I2023" s="27"/>
      <c r="J2023" s="27"/>
      <c r="K2023" s="27"/>
      <c r="L2023" s="27"/>
      <c r="M2023" s="28"/>
      <c r="N2023" s="28"/>
      <c r="O2023" s="27"/>
      <c r="P2023" s="27"/>
    </row>
    <row r="2024">
      <c r="A2024" s="33"/>
      <c r="B2024" s="34"/>
      <c r="C2024" s="34"/>
      <c r="D2024" s="34"/>
      <c r="E2024" s="27"/>
      <c r="F2024" s="27"/>
      <c r="G2024" s="27"/>
      <c r="H2024" s="27"/>
      <c r="I2024" s="27"/>
      <c r="J2024" s="27"/>
      <c r="K2024" s="27"/>
      <c r="L2024" s="27"/>
      <c r="M2024" s="28"/>
      <c r="N2024" s="28"/>
      <c r="O2024" s="27"/>
      <c r="P2024" s="27"/>
    </row>
    <row r="2025">
      <c r="A2025" s="33"/>
      <c r="B2025" s="34"/>
      <c r="C2025" s="34"/>
      <c r="D2025" s="34"/>
      <c r="E2025" s="27"/>
      <c r="F2025" s="27"/>
      <c r="G2025" s="27"/>
      <c r="H2025" s="27"/>
      <c r="I2025" s="27"/>
      <c r="J2025" s="27"/>
      <c r="K2025" s="27"/>
      <c r="L2025" s="27"/>
      <c r="M2025" s="28"/>
      <c r="N2025" s="28"/>
      <c r="O2025" s="27"/>
      <c r="P2025" s="27"/>
    </row>
    <row r="2026">
      <c r="A2026" s="33"/>
      <c r="B2026" s="34"/>
      <c r="C2026" s="34"/>
      <c r="D2026" s="34"/>
      <c r="E2026" s="27"/>
      <c r="F2026" s="27"/>
      <c r="G2026" s="27"/>
      <c r="H2026" s="27"/>
      <c r="I2026" s="27"/>
      <c r="J2026" s="27"/>
      <c r="K2026" s="27"/>
      <c r="L2026" s="27"/>
      <c r="M2026" s="28"/>
      <c r="N2026" s="28"/>
      <c r="O2026" s="27"/>
      <c r="P2026" s="27"/>
    </row>
    <row r="2027">
      <c r="A2027" s="33"/>
      <c r="B2027" s="34"/>
      <c r="C2027" s="34"/>
      <c r="D2027" s="34"/>
      <c r="E2027" s="27"/>
      <c r="F2027" s="27"/>
      <c r="G2027" s="27"/>
      <c r="H2027" s="27"/>
      <c r="I2027" s="27"/>
      <c r="J2027" s="27"/>
      <c r="K2027" s="27"/>
      <c r="L2027" s="27"/>
      <c r="M2027" s="28"/>
      <c r="N2027" s="28"/>
      <c r="O2027" s="27"/>
      <c r="P2027" s="27"/>
    </row>
    <row r="2028">
      <c r="A2028" s="33"/>
      <c r="B2028" s="34"/>
      <c r="C2028" s="34"/>
      <c r="D2028" s="34"/>
      <c r="E2028" s="27"/>
      <c r="F2028" s="27"/>
      <c r="G2028" s="27"/>
      <c r="H2028" s="27"/>
      <c r="I2028" s="27"/>
      <c r="J2028" s="27"/>
      <c r="K2028" s="27"/>
      <c r="L2028" s="27"/>
      <c r="M2028" s="28"/>
      <c r="N2028" s="28"/>
      <c r="O2028" s="27"/>
      <c r="P2028" s="27"/>
    </row>
    <row r="2029">
      <c r="A2029" s="33"/>
      <c r="B2029" s="34"/>
      <c r="C2029" s="34"/>
      <c r="D2029" s="34"/>
      <c r="E2029" s="27"/>
      <c r="F2029" s="27"/>
      <c r="G2029" s="27"/>
      <c r="H2029" s="27"/>
      <c r="I2029" s="27"/>
      <c r="J2029" s="27"/>
      <c r="K2029" s="27"/>
      <c r="L2029" s="27"/>
      <c r="M2029" s="28"/>
      <c r="N2029" s="28"/>
      <c r="O2029" s="27"/>
      <c r="P2029" s="27"/>
    </row>
    <row r="2030">
      <c r="A2030" s="33"/>
      <c r="B2030" s="34"/>
      <c r="C2030" s="34"/>
      <c r="D2030" s="34"/>
      <c r="E2030" s="27"/>
      <c r="F2030" s="27"/>
      <c r="G2030" s="27"/>
      <c r="H2030" s="27"/>
      <c r="I2030" s="27"/>
      <c r="J2030" s="27"/>
      <c r="K2030" s="27"/>
      <c r="L2030" s="27"/>
      <c r="M2030" s="28"/>
      <c r="N2030" s="28"/>
      <c r="O2030" s="27"/>
      <c r="P2030" s="27"/>
    </row>
    <row r="2031">
      <c r="A2031" s="33"/>
      <c r="B2031" s="34"/>
      <c r="C2031" s="34"/>
      <c r="D2031" s="34"/>
      <c r="E2031" s="27"/>
      <c r="F2031" s="27"/>
      <c r="G2031" s="27"/>
      <c r="H2031" s="27"/>
      <c r="I2031" s="27"/>
      <c r="J2031" s="27"/>
      <c r="K2031" s="27"/>
      <c r="L2031" s="27"/>
      <c r="M2031" s="28"/>
      <c r="N2031" s="28"/>
      <c r="O2031" s="27"/>
      <c r="P2031" s="27"/>
    </row>
    <row r="2032">
      <c r="A2032" s="33"/>
      <c r="B2032" s="34"/>
      <c r="C2032" s="34"/>
      <c r="D2032" s="34"/>
      <c r="E2032" s="27"/>
      <c r="F2032" s="27"/>
      <c r="G2032" s="27"/>
      <c r="H2032" s="27"/>
      <c r="I2032" s="27"/>
      <c r="J2032" s="27"/>
      <c r="K2032" s="27"/>
      <c r="L2032" s="27"/>
      <c r="M2032" s="28"/>
      <c r="N2032" s="28"/>
      <c r="O2032" s="27"/>
      <c r="P2032" s="27"/>
    </row>
    <row r="2033">
      <c r="A2033" s="33"/>
      <c r="B2033" s="34"/>
      <c r="C2033" s="34"/>
      <c r="D2033" s="34"/>
      <c r="E2033" s="27"/>
      <c r="F2033" s="27"/>
      <c r="G2033" s="27"/>
      <c r="H2033" s="27"/>
      <c r="I2033" s="27"/>
      <c r="J2033" s="27"/>
      <c r="K2033" s="27"/>
      <c r="L2033" s="27"/>
      <c r="M2033" s="28"/>
      <c r="N2033" s="28"/>
      <c r="O2033" s="27"/>
      <c r="P2033" s="27"/>
    </row>
    <row r="2034">
      <c r="A2034" s="33"/>
      <c r="B2034" s="34"/>
      <c r="C2034" s="34"/>
      <c r="D2034" s="34"/>
      <c r="E2034" s="27"/>
      <c r="F2034" s="27"/>
      <c r="G2034" s="27"/>
      <c r="H2034" s="27"/>
      <c r="I2034" s="27"/>
      <c r="J2034" s="27"/>
      <c r="K2034" s="27"/>
      <c r="L2034" s="27"/>
      <c r="M2034" s="28"/>
      <c r="N2034" s="28"/>
      <c r="O2034" s="27"/>
      <c r="P2034" s="27"/>
    </row>
    <row r="2035">
      <c r="A2035" s="33"/>
      <c r="B2035" s="34"/>
      <c r="C2035" s="34"/>
      <c r="D2035" s="34"/>
      <c r="E2035" s="27"/>
      <c r="F2035" s="27"/>
      <c r="G2035" s="27"/>
      <c r="H2035" s="27"/>
      <c r="I2035" s="27"/>
      <c r="J2035" s="27"/>
      <c r="K2035" s="27"/>
      <c r="L2035" s="27"/>
      <c r="M2035" s="28"/>
      <c r="N2035" s="28"/>
      <c r="O2035" s="27"/>
      <c r="P2035" s="27"/>
    </row>
    <row r="2036">
      <c r="A2036" s="33"/>
      <c r="B2036" s="34"/>
      <c r="C2036" s="34"/>
      <c r="D2036" s="34"/>
      <c r="E2036" s="27"/>
      <c r="F2036" s="27"/>
      <c r="G2036" s="27"/>
      <c r="H2036" s="27"/>
      <c r="I2036" s="27"/>
      <c r="J2036" s="27"/>
      <c r="K2036" s="27"/>
      <c r="L2036" s="27"/>
      <c r="M2036" s="28"/>
      <c r="N2036" s="28"/>
      <c r="O2036" s="27"/>
      <c r="P2036" s="27"/>
    </row>
    <row r="2037">
      <c r="A2037" s="33"/>
      <c r="B2037" s="34"/>
      <c r="C2037" s="34"/>
      <c r="D2037" s="34"/>
      <c r="E2037" s="27"/>
      <c r="F2037" s="27"/>
      <c r="G2037" s="27"/>
      <c r="H2037" s="27"/>
      <c r="I2037" s="27"/>
      <c r="J2037" s="27"/>
      <c r="K2037" s="27"/>
      <c r="L2037" s="27"/>
      <c r="M2037" s="28"/>
      <c r="N2037" s="28"/>
      <c r="O2037" s="27"/>
      <c r="P2037" s="27"/>
    </row>
    <row r="2038">
      <c r="A2038" s="33"/>
      <c r="B2038" s="34"/>
      <c r="C2038" s="34"/>
      <c r="D2038" s="34"/>
      <c r="E2038" s="27"/>
      <c r="F2038" s="27"/>
      <c r="G2038" s="27"/>
      <c r="H2038" s="27"/>
      <c r="I2038" s="27"/>
      <c r="J2038" s="27"/>
      <c r="K2038" s="27"/>
      <c r="L2038" s="27"/>
      <c r="M2038" s="28"/>
      <c r="N2038" s="28"/>
      <c r="O2038" s="27"/>
      <c r="P2038" s="27"/>
    </row>
    <row r="2039">
      <c r="A2039" s="33"/>
      <c r="B2039" s="34"/>
      <c r="C2039" s="34"/>
      <c r="D2039" s="34"/>
      <c r="E2039" s="27"/>
      <c r="F2039" s="27"/>
      <c r="G2039" s="27"/>
      <c r="H2039" s="27"/>
      <c r="I2039" s="27"/>
      <c r="J2039" s="27"/>
      <c r="K2039" s="27"/>
      <c r="L2039" s="27"/>
      <c r="M2039" s="28"/>
      <c r="N2039" s="28"/>
      <c r="O2039" s="27"/>
      <c r="P2039" s="27"/>
    </row>
    <row r="2040">
      <c r="A2040" s="33"/>
      <c r="B2040" s="34"/>
      <c r="C2040" s="34"/>
      <c r="D2040" s="34"/>
      <c r="E2040" s="27"/>
      <c r="F2040" s="27"/>
      <c r="G2040" s="27"/>
      <c r="H2040" s="27"/>
      <c r="I2040" s="27"/>
      <c r="J2040" s="27"/>
      <c r="K2040" s="27"/>
      <c r="L2040" s="27"/>
      <c r="M2040" s="28"/>
      <c r="N2040" s="28"/>
      <c r="O2040" s="27"/>
      <c r="P2040" s="27"/>
    </row>
    <row r="2041">
      <c r="A2041" s="33"/>
      <c r="B2041" s="34"/>
      <c r="C2041" s="34"/>
      <c r="D2041" s="34"/>
      <c r="E2041" s="27"/>
      <c r="F2041" s="27"/>
      <c r="G2041" s="27"/>
      <c r="H2041" s="27"/>
      <c r="I2041" s="27"/>
      <c r="J2041" s="27"/>
      <c r="K2041" s="27"/>
      <c r="L2041" s="27"/>
      <c r="M2041" s="28"/>
      <c r="N2041" s="28"/>
      <c r="O2041" s="27"/>
      <c r="P2041" s="27"/>
    </row>
    <row r="2042">
      <c r="A2042" s="33"/>
      <c r="B2042" s="34"/>
      <c r="C2042" s="34"/>
      <c r="D2042" s="34"/>
      <c r="E2042" s="27"/>
      <c r="F2042" s="27"/>
      <c r="G2042" s="27"/>
      <c r="H2042" s="27"/>
      <c r="I2042" s="27"/>
      <c r="J2042" s="27"/>
      <c r="K2042" s="27"/>
      <c r="L2042" s="27"/>
      <c r="M2042" s="28"/>
      <c r="N2042" s="28"/>
      <c r="O2042" s="27"/>
      <c r="P2042" s="27"/>
    </row>
    <row r="2043">
      <c r="A2043" s="33"/>
      <c r="B2043" s="34"/>
      <c r="C2043" s="34"/>
      <c r="D2043" s="34"/>
      <c r="E2043" s="27"/>
      <c r="F2043" s="27"/>
      <c r="G2043" s="27"/>
      <c r="H2043" s="27"/>
      <c r="I2043" s="27"/>
      <c r="J2043" s="27"/>
      <c r="K2043" s="27"/>
      <c r="L2043" s="27"/>
      <c r="M2043" s="28"/>
      <c r="N2043" s="28"/>
      <c r="O2043" s="27"/>
      <c r="P2043" s="27"/>
    </row>
    <row r="2044">
      <c r="A2044" s="33"/>
      <c r="B2044" s="34"/>
      <c r="C2044" s="34"/>
      <c r="D2044" s="34"/>
      <c r="E2044" s="27"/>
      <c r="F2044" s="27"/>
      <c r="G2044" s="27"/>
      <c r="H2044" s="27"/>
      <c r="I2044" s="27"/>
      <c r="J2044" s="27"/>
      <c r="K2044" s="27"/>
      <c r="L2044" s="27"/>
      <c r="M2044" s="28"/>
      <c r="N2044" s="28"/>
      <c r="O2044" s="27"/>
      <c r="P2044" s="27"/>
    </row>
    <row r="2045">
      <c r="A2045" s="33"/>
      <c r="B2045" s="34"/>
      <c r="C2045" s="34"/>
      <c r="D2045" s="34"/>
      <c r="E2045" s="27"/>
      <c r="F2045" s="27"/>
      <c r="G2045" s="27"/>
      <c r="H2045" s="27"/>
      <c r="I2045" s="27"/>
      <c r="J2045" s="27"/>
      <c r="K2045" s="27"/>
      <c r="L2045" s="27"/>
      <c r="M2045" s="28"/>
      <c r="N2045" s="28"/>
      <c r="O2045" s="27"/>
      <c r="P2045" s="27"/>
    </row>
    <row r="2046">
      <c r="A2046" s="33"/>
      <c r="B2046" s="34"/>
      <c r="C2046" s="34"/>
      <c r="D2046" s="34"/>
      <c r="E2046" s="27"/>
      <c r="F2046" s="27"/>
      <c r="G2046" s="27"/>
      <c r="H2046" s="27"/>
      <c r="I2046" s="27"/>
      <c r="J2046" s="27"/>
      <c r="K2046" s="27"/>
      <c r="L2046" s="27"/>
      <c r="M2046" s="28"/>
      <c r="N2046" s="28"/>
      <c r="O2046" s="27"/>
      <c r="P2046" s="27"/>
    </row>
    <row r="2047">
      <c r="A2047" s="33"/>
      <c r="B2047" s="34"/>
      <c r="C2047" s="34"/>
      <c r="D2047" s="34"/>
      <c r="E2047" s="27"/>
      <c r="F2047" s="27"/>
      <c r="G2047" s="27"/>
      <c r="H2047" s="27"/>
      <c r="I2047" s="27"/>
      <c r="J2047" s="27"/>
      <c r="K2047" s="27"/>
      <c r="L2047" s="27"/>
      <c r="M2047" s="28"/>
      <c r="N2047" s="28"/>
      <c r="O2047" s="27"/>
      <c r="P2047" s="27"/>
    </row>
    <row r="2048">
      <c r="A2048" s="33"/>
      <c r="B2048" s="34"/>
      <c r="C2048" s="34"/>
      <c r="D2048" s="34"/>
      <c r="E2048" s="27"/>
      <c r="F2048" s="27"/>
      <c r="G2048" s="27"/>
      <c r="H2048" s="27"/>
      <c r="I2048" s="27"/>
      <c r="J2048" s="27"/>
      <c r="K2048" s="27"/>
      <c r="L2048" s="27"/>
      <c r="M2048" s="28"/>
      <c r="N2048" s="28"/>
      <c r="O2048" s="27"/>
      <c r="P2048" s="27"/>
    </row>
    <row r="2049">
      <c r="A2049" s="33"/>
      <c r="B2049" s="34"/>
      <c r="C2049" s="34"/>
      <c r="D2049" s="34"/>
      <c r="E2049" s="27"/>
      <c r="F2049" s="27"/>
      <c r="G2049" s="27"/>
      <c r="H2049" s="27"/>
      <c r="I2049" s="27"/>
      <c r="J2049" s="27"/>
      <c r="K2049" s="27"/>
      <c r="L2049" s="27"/>
      <c r="M2049" s="28"/>
      <c r="N2049" s="28"/>
      <c r="O2049" s="27"/>
      <c r="P2049" s="27"/>
    </row>
    <row r="2050">
      <c r="A2050" s="33"/>
      <c r="B2050" s="34"/>
      <c r="C2050" s="34"/>
      <c r="D2050" s="34"/>
      <c r="E2050" s="27"/>
      <c r="F2050" s="27"/>
      <c r="G2050" s="27"/>
      <c r="H2050" s="27"/>
      <c r="I2050" s="27"/>
      <c r="J2050" s="27"/>
      <c r="K2050" s="27"/>
      <c r="L2050" s="27"/>
      <c r="M2050" s="28"/>
      <c r="N2050" s="28"/>
      <c r="O2050" s="27"/>
      <c r="P2050" s="27"/>
    </row>
    <row r="2051">
      <c r="A2051" s="33"/>
      <c r="B2051" s="34"/>
      <c r="C2051" s="34"/>
      <c r="D2051" s="34"/>
      <c r="E2051" s="27"/>
      <c r="F2051" s="27"/>
      <c r="G2051" s="27"/>
      <c r="H2051" s="27"/>
      <c r="I2051" s="27"/>
      <c r="J2051" s="27"/>
      <c r="K2051" s="27"/>
      <c r="L2051" s="27"/>
      <c r="M2051" s="28"/>
      <c r="N2051" s="28"/>
      <c r="O2051" s="27"/>
      <c r="P2051" s="27"/>
    </row>
    <row r="2052">
      <c r="A2052" s="33"/>
      <c r="B2052" s="34"/>
      <c r="C2052" s="34"/>
      <c r="D2052" s="34"/>
      <c r="E2052" s="27"/>
      <c r="F2052" s="27"/>
      <c r="G2052" s="27"/>
      <c r="H2052" s="27"/>
      <c r="I2052" s="27"/>
      <c r="J2052" s="27"/>
      <c r="K2052" s="27"/>
      <c r="L2052" s="27"/>
      <c r="M2052" s="28"/>
      <c r="N2052" s="28"/>
      <c r="O2052" s="27"/>
      <c r="P2052" s="27"/>
    </row>
    <row r="2053">
      <c r="A2053" s="33"/>
      <c r="B2053" s="34"/>
      <c r="C2053" s="34"/>
      <c r="D2053" s="34"/>
      <c r="E2053" s="27"/>
      <c r="F2053" s="27"/>
      <c r="G2053" s="27"/>
      <c r="H2053" s="27"/>
      <c r="I2053" s="27"/>
      <c r="J2053" s="27"/>
      <c r="K2053" s="27"/>
      <c r="L2053" s="27"/>
      <c r="M2053" s="28"/>
      <c r="N2053" s="28"/>
      <c r="O2053" s="27"/>
      <c r="P2053" s="27"/>
    </row>
    <row r="2054">
      <c r="A2054" s="33"/>
      <c r="B2054" s="34"/>
      <c r="C2054" s="34"/>
      <c r="D2054" s="34"/>
      <c r="E2054" s="27"/>
      <c r="F2054" s="27"/>
      <c r="G2054" s="27"/>
      <c r="H2054" s="27"/>
      <c r="I2054" s="27"/>
      <c r="J2054" s="27"/>
      <c r="K2054" s="27"/>
      <c r="L2054" s="27"/>
      <c r="M2054" s="28"/>
      <c r="N2054" s="28"/>
      <c r="O2054" s="27"/>
      <c r="P2054" s="27"/>
    </row>
    <row r="2055">
      <c r="A2055" s="33"/>
      <c r="B2055" s="34"/>
      <c r="C2055" s="34"/>
      <c r="D2055" s="34"/>
      <c r="E2055" s="27"/>
      <c r="F2055" s="27"/>
      <c r="G2055" s="27"/>
      <c r="H2055" s="27"/>
      <c r="I2055" s="27"/>
      <c r="J2055" s="27"/>
      <c r="K2055" s="27"/>
      <c r="L2055" s="27"/>
      <c r="M2055" s="28"/>
      <c r="N2055" s="28"/>
      <c r="O2055" s="27"/>
      <c r="P2055" s="27"/>
    </row>
    <row r="2056">
      <c r="A2056" s="33"/>
      <c r="B2056" s="34"/>
      <c r="C2056" s="34"/>
      <c r="D2056" s="34"/>
      <c r="E2056" s="27"/>
      <c r="F2056" s="27"/>
      <c r="G2056" s="27"/>
      <c r="H2056" s="27"/>
      <c r="I2056" s="27"/>
      <c r="J2056" s="27"/>
      <c r="K2056" s="27"/>
      <c r="L2056" s="27"/>
      <c r="M2056" s="28"/>
      <c r="N2056" s="28"/>
      <c r="O2056" s="27"/>
      <c r="P2056" s="27"/>
    </row>
    <row r="2057">
      <c r="A2057" s="33"/>
      <c r="B2057" s="34"/>
      <c r="C2057" s="34"/>
      <c r="D2057" s="34"/>
      <c r="E2057" s="27"/>
      <c r="F2057" s="27"/>
      <c r="G2057" s="27"/>
      <c r="H2057" s="27"/>
      <c r="I2057" s="27"/>
      <c r="J2057" s="27"/>
      <c r="K2057" s="27"/>
      <c r="L2057" s="27"/>
      <c r="M2057" s="28"/>
      <c r="N2057" s="28"/>
      <c r="O2057" s="27"/>
      <c r="P2057" s="27"/>
    </row>
    <row r="2058">
      <c r="A2058" s="33"/>
      <c r="B2058" s="34"/>
      <c r="C2058" s="34"/>
      <c r="D2058" s="34"/>
      <c r="E2058" s="27"/>
      <c r="F2058" s="27"/>
      <c r="G2058" s="27"/>
      <c r="H2058" s="27"/>
      <c r="I2058" s="27"/>
      <c r="J2058" s="27"/>
      <c r="K2058" s="27"/>
      <c r="L2058" s="27"/>
      <c r="M2058" s="28"/>
      <c r="N2058" s="28"/>
      <c r="O2058" s="27"/>
      <c r="P2058" s="27"/>
    </row>
    <row r="2059">
      <c r="A2059" s="33"/>
      <c r="B2059" s="34"/>
      <c r="C2059" s="34"/>
      <c r="D2059" s="34"/>
      <c r="E2059" s="27"/>
      <c r="F2059" s="27"/>
      <c r="G2059" s="27"/>
      <c r="H2059" s="27"/>
      <c r="I2059" s="27"/>
      <c r="J2059" s="27"/>
      <c r="K2059" s="27"/>
      <c r="L2059" s="27"/>
      <c r="M2059" s="28"/>
      <c r="N2059" s="28"/>
      <c r="O2059" s="27"/>
      <c r="P2059" s="27"/>
    </row>
    <row r="2060">
      <c r="A2060" s="33"/>
      <c r="B2060" s="34"/>
      <c r="C2060" s="34"/>
      <c r="D2060" s="34"/>
      <c r="E2060" s="27"/>
      <c r="F2060" s="27"/>
      <c r="G2060" s="27"/>
      <c r="H2060" s="27"/>
      <c r="I2060" s="27"/>
      <c r="J2060" s="27"/>
      <c r="K2060" s="27"/>
      <c r="L2060" s="27"/>
      <c r="M2060" s="28"/>
      <c r="N2060" s="28"/>
      <c r="O2060" s="27"/>
      <c r="P2060" s="27"/>
    </row>
    <row r="2061">
      <c r="A2061" s="33"/>
      <c r="B2061" s="34"/>
      <c r="C2061" s="34"/>
      <c r="D2061" s="34"/>
      <c r="E2061" s="27"/>
      <c r="F2061" s="27"/>
      <c r="G2061" s="27"/>
      <c r="H2061" s="27"/>
      <c r="I2061" s="27"/>
      <c r="J2061" s="27"/>
      <c r="K2061" s="27"/>
      <c r="L2061" s="27"/>
      <c r="M2061" s="28"/>
      <c r="N2061" s="28"/>
      <c r="O2061" s="27"/>
      <c r="P2061" s="27"/>
    </row>
    <row r="2062">
      <c r="A2062" s="33"/>
      <c r="B2062" s="34"/>
      <c r="C2062" s="34"/>
      <c r="D2062" s="34"/>
      <c r="E2062" s="27"/>
      <c r="F2062" s="27"/>
      <c r="G2062" s="27"/>
      <c r="H2062" s="27"/>
      <c r="I2062" s="27"/>
      <c r="J2062" s="27"/>
      <c r="K2062" s="27"/>
      <c r="L2062" s="27"/>
      <c r="M2062" s="28"/>
      <c r="N2062" s="28"/>
      <c r="O2062" s="27"/>
      <c r="P2062" s="27"/>
    </row>
    <row r="2063">
      <c r="A2063" s="33"/>
      <c r="B2063" s="34"/>
      <c r="C2063" s="34"/>
      <c r="D2063" s="34"/>
      <c r="E2063" s="27"/>
      <c r="F2063" s="27"/>
      <c r="G2063" s="27"/>
      <c r="H2063" s="27"/>
      <c r="I2063" s="27"/>
      <c r="J2063" s="27"/>
      <c r="K2063" s="27"/>
      <c r="L2063" s="27"/>
      <c r="M2063" s="28"/>
      <c r="N2063" s="28"/>
      <c r="O2063" s="27"/>
      <c r="P2063" s="27"/>
    </row>
    <row r="2064">
      <c r="A2064" s="33"/>
      <c r="B2064" s="34"/>
      <c r="C2064" s="34"/>
      <c r="D2064" s="34"/>
      <c r="E2064" s="27"/>
      <c r="F2064" s="27"/>
      <c r="G2064" s="27"/>
      <c r="H2064" s="27"/>
      <c r="I2064" s="27"/>
      <c r="J2064" s="27"/>
      <c r="K2064" s="27"/>
      <c r="L2064" s="27"/>
      <c r="M2064" s="28"/>
      <c r="N2064" s="28"/>
      <c r="O2064" s="27"/>
      <c r="P2064" s="27"/>
    </row>
    <row r="2065">
      <c r="A2065" s="33"/>
      <c r="B2065" s="34"/>
      <c r="C2065" s="34"/>
      <c r="D2065" s="34"/>
      <c r="E2065" s="27"/>
      <c r="F2065" s="27"/>
      <c r="G2065" s="27"/>
      <c r="H2065" s="27"/>
      <c r="I2065" s="27"/>
      <c r="J2065" s="27"/>
      <c r="K2065" s="27"/>
      <c r="L2065" s="27"/>
      <c r="M2065" s="28"/>
      <c r="N2065" s="28"/>
      <c r="O2065" s="27"/>
      <c r="P2065" s="27"/>
    </row>
    <row r="2066">
      <c r="A2066" s="33"/>
      <c r="B2066" s="34"/>
      <c r="C2066" s="34"/>
      <c r="D2066" s="34"/>
      <c r="E2066" s="27"/>
      <c r="F2066" s="27"/>
      <c r="G2066" s="27"/>
      <c r="H2066" s="27"/>
      <c r="I2066" s="27"/>
      <c r="J2066" s="27"/>
      <c r="K2066" s="27"/>
      <c r="L2066" s="27"/>
      <c r="M2066" s="28"/>
      <c r="N2066" s="28"/>
      <c r="O2066" s="27"/>
      <c r="P2066" s="27"/>
    </row>
    <row r="2067">
      <c r="A2067" s="33"/>
      <c r="B2067" s="34"/>
      <c r="C2067" s="34"/>
      <c r="D2067" s="34"/>
      <c r="E2067" s="27"/>
      <c r="F2067" s="27"/>
      <c r="G2067" s="27"/>
      <c r="H2067" s="27"/>
      <c r="I2067" s="27"/>
      <c r="J2067" s="27"/>
      <c r="K2067" s="27"/>
      <c r="L2067" s="27"/>
      <c r="M2067" s="28"/>
      <c r="N2067" s="28"/>
      <c r="O2067" s="27"/>
      <c r="P2067" s="27"/>
    </row>
    <row r="2068">
      <c r="A2068" s="33"/>
      <c r="B2068" s="34"/>
      <c r="C2068" s="34"/>
      <c r="D2068" s="34"/>
      <c r="E2068" s="27"/>
      <c r="F2068" s="27"/>
      <c r="G2068" s="27"/>
      <c r="H2068" s="27"/>
      <c r="I2068" s="27"/>
      <c r="J2068" s="27"/>
      <c r="K2068" s="27"/>
      <c r="L2068" s="27"/>
      <c r="M2068" s="28"/>
      <c r="N2068" s="28"/>
      <c r="O2068" s="27"/>
      <c r="P2068" s="27"/>
    </row>
    <row r="2069">
      <c r="A2069" s="33"/>
      <c r="B2069" s="34"/>
      <c r="C2069" s="34"/>
      <c r="D2069" s="34"/>
      <c r="E2069" s="27"/>
      <c r="F2069" s="27"/>
      <c r="G2069" s="27"/>
      <c r="H2069" s="27"/>
      <c r="I2069" s="27"/>
      <c r="J2069" s="27"/>
      <c r="K2069" s="27"/>
      <c r="L2069" s="27"/>
      <c r="M2069" s="28"/>
      <c r="N2069" s="28"/>
      <c r="O2069" s="27"/>
      <c r="P2069" s="27"/>
    </row>
    <row r="2070">
      <c r="A2070" s="33"/>
      <c r="B2070" s="34"/>
      <c r="C2070" s="34"/>
      <c r="D2070" s="34"/>
      <c r="E2070" s="27"/>
      <c r="F2070" s="27"/>
      <c r="G2070" s="27"/>
      <c r="H2070" s="27"/>
      <c r="I2070" s="27"/>
      <c r="J2070" s="27"/>
      <c r="K2070" s="27"/>
      <c r="L2070" s="27"/>
      <c r="M2070" s="28"/>
      <c r="N2070" s="28"/>
      <c r="O2070" s="27"/>
      <c r="P2070" s="27"/>
    </row>
    <row r="2071">
      <c r="A2071" s="33"/>
      <c r="B2071" s="34"/>
      <c r="C2071" s="34"/>
      <c r="D2071" s="34"/>
      <c r="E2071" s="27"/>
      <c r="F2071" s="27"/>
      <c r="G2071" s="27"/>
      <c r="H2071" s="27"/>
      <c r="I2071" s="27"/>
      <c r="J2071" s="27"/>
      <c r="K2071" s="27"/>
      <c r="L2071" s="27"/>
      <c r="M2071" s="28"/>
      <c r="N2071" s="28"/>
      <c r="O2071" s="27"/>
      <c r="P2071" s="27"/>
    </row>
    <row r="2072">
      <c r="A2072" s="33"/>
      <c r="B2072" s="34"/>
      <c r="C2072" s="34"/>
      <c r="D2072" s="34"/>
      <c r="E2072" s="27"/>
      <c r="F2072" s="27"/>
      <c r="G2072" s="27"/>
      <c r="H2072" s="27"/>
      <c r="I2072" s="27"/>
      <c r="J2072" s="27"/>
      <c r="K2072" s="27"/>
      <c r="L2072" s="27"/>
      <c r="M2072" s="28"/>
      <c r="N2072" s="28"/>
      <c r="O2072" s="27"/>
      <c r="P2072" s="27"/>
    </row>
    <row r="2073">
      <c r="A2073" s="33"/>
      <c r="B2073" s="34"/>
      <c r="C2073" s="34"/>
      <c r="D2073" s="34"/>
      <c r="E2073" s="27"/>
      <c r="F2073" s="27"/>
      <c r="G2073" s="27"/>
      <c r="H2073" s="27"/>
      <c r="I2073" s="27"/>
      <c r="J2073" s="27"/>
      <c r="K2073" s="27"/>
      <c r="L2073" s="27"/>
      <c r="M2073" s="28"/>
      <c r="N2073" s="28"/>
      <c r="O2073" s="27"/>
      <c r="P2073" s="27"/>
    </row>
    <row r="2074">
      <c r="A2074" s="33"/>
      <c r="B2074" s="34"/>
      <c r="C2074" s="34"/>
      <c r="D2074" s="34"/>
      <c r="E2074" s="27"/>
      <c r="F2074" s="27"/>
      <c r="G2074" s="27"/>
      <c r="H2074" s="27"/>
      <c r="I2074" s="27"/>
      <c r="J2074" s="27"/>
      <c r="K2074" s="27"/>
      <c r="L2074" s="27"/>
      <c r="M2074" s="28"/>
      <c r="N2074" s="28"/>
      <c r="O2074" s="27"/>
      <c r="P2074" s="27"/>
    </row>
    <row r="2075">
      <c r="A2075" s="33"/>
      <c r="B2075" s="34"/>
      <c r="C2075" s="34"/>
      <c r="D2075" s="34"/>
      <c r="E2075" s="27"/>
      <c r="F2075" s="27"/>
      <c r="G2075" s="27"/>
      <c r="H2075" s="27"/>
      <c r="I2075" s="27"/>
      <c r="J2075" s="27"/>
      <c r="K2075" s="27"/>
      <c r="L2075" s="27"/>
      <c r="M2075" s="28"/>
      <c r="N2075" s="28"/>
      <c r="O2075" s="27"/>
      <c r="P2075" s="27"/>
    </row>
    <row r="2076">
      <c r="A2076" s="33"/>
      <c r="B2076" s="34"/>
      <c r="C2076" s="34"/>
      <c r="D2076" s="34"/>
      <c r="E2076" s="27"/>
      <c r="F2076" s="27"/>
      <c r="G2076" s="27"/>
      <c r="H2076" s="27"/>
      <c r="I2076" s="27"/>
      <c r="J2076" s="27"/>
      <c r="K2076" s="27"/>
      <c r="L2076" s="27"/>
      <c r="M2076" s="28"/>
      <c r="N2076" s="28"/>
      <c r="O2076" s="27"/>
      <c r="P2076" s="27"/>
    </row>
    <row r="2077">
      <c r="A2077" s="33"/>
      <c r="B2077" s="34"/>
      <c r="C2077" s="34"/>
      <c r="D2077" s="34"/>
      <c r="E2077" s="27"/>
      <c r="F2077" s="27"/>
      <c r="G2077" s="27"/>
      <c r="H2077" s="27"/>
      <c r="I2077" s="27"/>
      <c r="J2077" s="27"/>
      <c r="K2077" s="27"/>
      <c r="L2077" s="27"/>
      <c r="M2077" s="28"/>
      <c r="N2077" s="28"/>
      <c r="O2077" s="27"/>
      <c r="P2077" s="27"/>
    </row>
    <row r="2078">
      <c r="A2078" s="33"/>
      <c r="B2078" s="34"/>
      <c r="C2078" s="34"/>
      <c r="D2078" s="34"/>
      <c r="E2078" s="27"/>
      <c r="F2078" s="27"/>
      <c r="G2078" s="27"/>
      <c r="H2078" s="27"/>
      <c r="I2078" s="27"/>
      <c r="J2078" s="27"/>
      <c r="K2078" s="27"/>
      <c r="L2078" s="27"/>
      <c r="M2078" s="28"/>
      <c r="N2078" s="28"/>
      <c r="O2078" s="27"/>
      <c r="P2078" s="27"/>
    </row>
    <row r="2079">
      <c r="A2079" s="33"/>
      <c r="B2079" s="34"/>
      <c r="C2079" s="34"/>
      <c r="D2079" s="34"/>
      <c r="E2079" s="27"/>
      <c r="F2079" s="27"/>
      <c r="G2079" s="27"/>
      <c r="H2079" s="27"/>
      <c r="I2079" s="27"/>
      <c r="J2079" s="27"/>
      <c r="K2079" s="27"/>
      <c r="L2079" s="27"/>
      <c r="M2079" s="28"/>
      <c r="N2079" s="28"/>
      <c r="O2079" s="27"/>
      <c r="P2079" s="27"/>
    </row>
    <row r="2080">
      <c r="A2080" s="33"/>
      <c r="B2080" s="34"/>
      <c r="C2080" s="34"/>
      <c r="D2080" s="34"/>
      <c r="E2080" s="27"/>
      <c r="F2080" s="27"/>
      <c r="G2080" s="27"/>
      <c r="H2080" s="27"/>
      <c r="I2080" s="27"/>
      <c r="J2080" s="27"/>
      <c r="K2080" s="27"/>
      <c r="L2080" s="27"/>
      <c r="M2080" s="28"/>
      <c r="N2080" s="28"/>
      <c r="O2080" s="27"/>
      <c r="P2080" s="27"/>
    </row>
    <row r="2081">
      <c r="A2081" s="33"/>
      <c r="B2081" s="34"/>
      <c r="C2081" s="34"/>
      <c r="D2081" s="34"/>
      <c r="E2081" s="27"/>
      <c r="F2081" s="27"/>
      <c r="G2081" s="27"/>
      <c r="H2081" s="27"/>
      <c r="I2081" s="27"/>
      <c r="J2081" s="27"/>
      <c r="K2081" s="27"/>
      <c r="L2081" s="27"/>
      <c r="M2081" s="28"/>
      <c r="N2081" s="28"/>
      <c r="O2081" s="27"/>
      <c r="P2081" s="27"/>
    </row>
    <row r="2082">
      <c r="A2082" s="33"/>
      <c r="B2082" s="34"/>
      <c r="C2082" s="34"/>
      <c r="D2082" s="34"/>
      <c r="E2082" s="27"/>
      <c r="F2082" s="27"/>
      <c r="G2082" s="27"/>
      <c r="H2082" s="27"/>
      <c r="I2082" s="27"/>
      <c r="J2082" s="27"/>
      <c r="K2082" s="27"/>
      <c r="L2082" s="27"/>
      <c r="M2082" s="28"/>
      <c r="N2082" s="28"/>
      <c r="O2082" s="27"/>
      <c r="P2082" s="27"/>
    </row>
    <row r="2083">
      <c r="A2083" s="33"/>
      <c r="B2083" s="34"/>
      <c r="C2083" s="34"/>
      <c r="D2083" s="34"/>
      <c r="E2083" s="27"/>
      <c r="F2083" s="27"/>
      <c r="G2083" s="27"/>
      <c r="H2083" s="27"/>
      <c r="I2083" s="27"/>
      <c r="J2083" s="27"/>
      <c r="K2083" s="27"/>
      <c r="L2083" s="27"/>
      <c r="M2083" s="28"/>
      <c r="N2083" s="28"/>
      <c r="O2083" s="27"/>
      <c r="P2083" s="27"/>
    </row>
    <row r="2084">
      <c r="A2084" s="33"/>
      <c r="B2084" s="34"/>
      <c r="C2084" s="34"/>
      <c r="D2084" s="34"/>
      <c r="E2084" s="27"/>
      <c r="F2084" s="27"/>
      <c r="G2084" s="27"/>
      <c r="H2084" s="27"/>
      <c r="I2084" s="27"/>
      <c r="J2084" s="27"/>
      <c r="K2084" s="27"/>
      <c r="L2084" s="27"/>
      <c r="M2084" s="28"/>
      <c r="N2084" s="28"/>
      <c r="O2084" s="27"/>
      <c r="P2084" s="27"/>
    </row>
    <row r="2085">
      <c r="A2085" s="33"/>
      <c r="B2085" s="34"/>
      <c r="C2085" s="34"/>
      <c r="D2085" s="34"/>
      <c r="E2085" s="27"/>
      <c r="F2085" s="27"/>
      <c r="G2085" s="27"/>
      <c r="H2085" s="27"/>
      <c r="I2085" s="27"/>
      <c r="J2085" s="27"/>
      <c r="K2085" s="27"/>
      <c r="L2085" s="27"/>
      <c r="M2085" s="28"/>
      <c r="N2085" s="28"/>
      <c r="O2085" s="27"/>
      <c r="P2085" s="27"/>
    </row>
    <row r="2086">
      <c r="A2086" s="33"/>
      <c r="B2086" s="34"/>
      <c r="C2086" s="34"/>
      <c r="D2086" s="34"/>
      <c r="E2086" s="27"/>
      <c r="F2086" s="27"/>
      <c r="G2086" s="27"/>
      <c r="H2086" s="27"/>
      <c r="I2086" s="27"/>
      <c r="J2086" s="27"/>
      <c r="K2086" s="27"/>
      <c r="L2086" s="27"/>
      <c r="M2086" s="28"/>
      <c r="N2086" s="28"/>
      <c r="O2086" s="27"/>
      <c r="P2086" s="27"/>
    </row>
    <row r="2087">
      <c r="A2087" s="33"/>
      <c r="B2087" s="34"/>
      <c r="C2087" s="34"/>
      <c r="D2087" s="34"/>
      <c r="E2087" s="27"/>
      <c r="F2087" s="27"/>
      <c r="G2087" s="27"/>
      <c r="H2087" s="27"/>
      <c r="I2087" s="27"/>
      <c r="J2087" s="27"/>
      <c r="K2087" s="27"/>
      <c r="L2087" s="27"/>
      <c r="M2087" s="28"/>
      <c r="N2087" s="28"/>
      <c r="O2087" s="27"/>
      <c r="P2087" s="27"/>
    </row>
    <row r="2088">
      <c r="A2088" s="33"/>
      <c r="B2088" s="34"/>
      <c r="C2088" s="34"/>
      <c r="D2088" s="34"/>
      <c r="E2088" s="27"/>
      <c r="F2088" s="27"/>
      <c r="G2088" s="27"/>
      <c r="H2088" s="27"/>
      <c r="I2088" s="27"/>
      <c r="J2088" s="27"/>
      <c r="K2088" s="27"/>
      <c r="L2088" s="27"/>
      <c r="M2088" s="28"/>
      <c r="N2088" s="28"/>
      <c r="O2088" s="27"/>
      <c r="P2088" s="27"/>
    </row>
    <row r="2089">
      <c r="A2089" s="33"/>
      <c r="B2089" s="34"/>
      <c r="C2089" s="34"/>
      <c r="D2089" s="34"/>
      <c r="E2089" s="27"/>
      <c r="F2089" s="27"/>
      <c r="G2089" s="27"/>
      <c r="H2089" s="27"/>
      <c r="I2089" s="27"/>
      <c r="J2089" s="27"/>
      <c r="K2089" s="27"/>
      <c r="L2089" s="27"/>
      <c r="M2089" s="28"/>
      <c r="N2089" s="28"/>
      <c r="O2089" s="27"/>
      <c r="P2089" s="27"/>
    </row>
    <row r="2090">
      <c r="A2090" s="33"/>
      <c r="B2090" s="34"/>
      <c r="C2090" s="34"/>
      <c r="D2090" s="34"/>
      <c r="E2090" s="27"/>
      <c r="F2090" s="27"/>
      <c r="G2090" s="27"/>
      <c r="H2090" s="27"/>
      <c r="I2090" s="27"/>
      <c r="J2090" s="27"/>
      <c r="K2090" s="27"/>
      <c r="L2090" s="27"/>
      <c r="M2090" s="28"/>
      <c r="N2090" s="28"/>
      <c r="O2090" s="27"/>
      <c r="P2090" s="27"/>
    </row>
    <row r="2091">
      <c r="A2091" s="33"/>
      <c r="B2091" s="34"/>
      <c r="C2091" s="34"/>
      <c r="D2091" s="34"/>
      <c r="E2091" s="27"/>
      <c r="F2091" s="27"/>
      <c r="G2091" s="27"/>
      <c r="H2091" s="27"/>
      <c r="I2091" s="27"/>
      <c r="J2091" s="27"/>
      <c r="K2091" s="27"/>
      <c r="L2091" s="27"/>
      <c r="M2091" s="28"/>
      <c r="N2091" s="28"/>
      <c r="O2091" s="27"/>
      <c r="P2091" s="27"/>
    </row>
    <row r="2092">
      <c r="A2092" s="33"/>
      <c r="B2092" s="34"/>
      <c r="C2092" s="34"/>
      <c r="D2092" s="34"/>
      <c r="E2092" s="27"/>
      <c r="F2092" s="27"/>
      <c r="G2092" s="27"/>
      <c r="H2092" s="27"/>
      <c r="I2092" s="27"/>
      <c r="J2092" s="27"/>
      <c r="K2092" s="27"/>
      <c r="L2092" s="27"/>
      <c r="M2092" s="28"/>
      <c r="N2092" s="28"/>
      <c r="O2092" s="27"/>
      <c r="P2092" s="27"/>
    </row>
    <row r="2093">
      <c r="A2093" s="33"/>
      <c r="B2093" s="34"/>
      <c r="C2093" s="34"/>
      <c r="D2093" s="34"/>
      <c r="E2093" s="27"/>
      <c r="F2093" s="27"/>
      <c r="G2093" s="27"/>
      <c r="H2093" s="27"/>
      <c r="I2093" s="27"/>
      <c r="J2093" s="27"/>
      <c r="K2093" s="27"/>
      <c r="L2093" s="27"/>
      <c r="M2093" s="28"/>
      <c r="N2093" s="28"/>
      <c r="O2093" s="27"/>
      <c r="P2093" s="27"/>
    </row>
    <row r="2094">
      <c r="A2094" s="33"/>
      <c r="B2094" s="34"/>
      <c r="C2094" s="34"/>
      <c r="D2094" s="34"/>
      <c r="E2094" s="27"/>
      <c r="F2094" s="27"/>
      <c r="G2094" s="27"/>
      <c r="H2094" s="27"/>
      <c r="I2094" s="27"/>
      <c r="J2094" s="27"/>
      <c r="K2094" s="27"/>
      <c r="L2094" s="27"/>
      <c r="M2094" s="28"/>
      <c r="N2094" s="28"/>
      <c r="O2094" s="27"/>
      <c r="P2094" s="27"/>
    </row>
    <row r="2095">
      <c r="A2095" s="33"/>
      <c r="B2095" s="34"/>
      <c r="C2095" s="34"/>
      <c r="D2095" s="34"/>
      <c r="E2095" s="27"/>
      <c r="F2095" s="27"/>
      <c r="G2095" s="27"/>
      <c r="H2095" s="27"/>
      <c r="I2095" s="27"/>
      <c r="J2095" s="27"/>
      <c r="K2095" s="27"/>
      <c r="L2095" s="27"/>
      <c r="M2095" s="28"/>
      <c r="N2095" s="28"/>
      <c r="O2095" s="27"/>
      <c r="P2095" s="27"/>
    </row>
    <row r="2096">
      <c r="A2096" s="33"/>
      <c r="B2096" s="34"/>
      <c r="C2096" s="34"/>
      <c r="D2096" s="34"/>
      <c r="E2096" s="27"/>
      <c r="F2096" s="27"/>
      <c r="G2096" s="27"/>
      <c r="H2096" s="27"/>
      <c r="I2096" s="27"/>
      <c r="J2096" s="27"/>
      <c r="K2096" s="27"/>
      <c r="L2096" s="27"/>
      <c r="M2096" s="28"/>
      <c r="N2096" s="28"/>
      <c r="O2096" s="27"/>
      <c r="P2096" s="27"/>
    </row>
    <row r="2097">
      <c r="A2097" s="33"/>
      <c r="B2097" s="34"/>
      <c r="C2097" s="34"/>
      <c r="D2097" s="34"/>
      <c r="E2097" s="27"/>
      <c r="F2097" s="27"/>
      <c r="G2097" s="27"/>
      <c r="H2097" s="27"/>
      <c r="I2097" s="27"/>
      <c r="J2097" s="27"/>
      <c r="K2097" s="27"/>
      <c r="L2097" s="27"/>
      <c r="M2097" s="28"/>
      <c r="N2097" s="28"/>
      <c r="O2097" s="27"/>
      <c r="P2097" s="27"/>
    </row>
    <row r="2098">
      <c r="A2098" s="33"/>
      <c r="B2098" s="34"/>
      <c r="C2098" s="34"/>
      <c r="D2098" s="34"/>
      <c r="E2098" s="27"/>
      <c r="F2098" s="27"/>
      <c r="G2098" s="27"/>
      <c r="H2098" s="27"/>
      <c r="I2098" s="27"/>
      <c r="J2098" s="27"/>
      <c r="K2098" s="27"/>
      <c r="L2098" s="27"/>
      <c r="M2098" s="28"/>
      <c r="N2098" s="28"/>
      <c r="O2098" s="27"/>
      <c r="P2098" s="27"/>
    </row>
    <row r="2099">
      <c r="A2099" s="33"/>
      <c r="B2099" s="34"/>
      <c r="C2099" s="34"/>
      <c r="D2099" s="34"/>
      <c r="E2099" s="27"/>
      <c r="F2099" s="27"/>
      <c r="G2099" s="27"/>
      <c r="H2099" s="27"/>
      <c r="I2099" s="27"/>
      <c r="J2099" s="27"/>
      <c r="K2099" s="27"/>
      <c r="L2099" s="27"/>
      <c r="M2099" s="28"/>
      <c r="N2099" s="28"/>
      <c r="O2099" s="27"/>
      <c r="P2099" s="27"/>
    </row>
    <row r="2100">
      <c r="A2100" s="33"/>
      <c r="B2100" s="34"/>
      <c r="C2100" s="34"/>
      <c r="D2100" s="34"/>
      <c r="E2100" s="27"/>
      <c r="F2100" s="27"/>
      <c r="G2100" s="27"/>
      <c r="H2100" s="27"/>
      <c r="I2100" s="27"/>
      <c r="J2100" s="27"/>
      <c r="K2100" s="27"/>
      <c r="L2100" s="27"/>
      <c r="M2100" s="28"/>
      <c r="N2100" s="28"/>
      <c r="O2100" s="27"/>
      <c r="P2100" s="27"/>
    </row>
    <row r="2101">
      <c r="A2101" s="33"/>
      <c r="B2101" s="34"/>
      <c r="C2101" s="34"/>
      <c r="D2101" s="34"/>
      <c r="E2101" s="27"/>
      <c r="F2101" s="27"/>
      <c r="G2101" s="27"/>
      <c r="H2101" s="27"/>
      <c r="I2101" s="27"/>
      <c r="J2101" s="27"/>
      <c r="K2101" s="27"/>
      <c r="L2101" s="27"/>
      <c r="M2101" s="28"/>
      <c r="N2101" s="28"/>
      <c r="O2101" s="27"/>
      <c r="P2101" s="27"/>
    </row>
    <row r="2102">
      <c r="A2102" s="33"/>
      <c r="B2102" s="34"/>
      <c r="C2102" s="34"/>
      <c r="D2102" s="34"/>
      <c r="E2102" s="27"/>
      <c r="F2102" s="27"/>
      <c r="G2102" s="27"/>
      <c r="H2102" s="27"/>
      <c r="I2102" s="27"/>
      <c r="J2102" s="27"/>
      <c r="K2102" s="27"/>
      <c r="L2102" s="27"/>
      <c r="M2102" s="28"/>
      <c r="N2102" s="28"/>
      <c r="O2102" s="27"/>
      <c r="P2102" s="27"/>
    </row>
    <row r="2103">
      <c r="A2103" s="33"/>
      <c r="B2103" s="34"/>
      <c r="C2103" s="34"/>
      <c r="D2103" s="34"/>
      <c r="E2103" s="27"/>
      <c r="F2103" s="27"/>
      <c r="G2103" s="27"/>
      <c r="H2103" s="27"/>
      <c r="I2103" s="27"/>
      <c r="J2103" s="27"/>
      <c r="K2103" s="27"/>
      <c r="L2103" s="27"/>
      <c r="M2103" s="28"/>
      <c r="N2103" s="28"/>
      <c r="O2103" s="27"/>
      <c r="P2103" s="27"/>
    </row>
    <row r="2104">
      <c r="A2104" s="33"/>
      <c r="B2104" s="34"/>
      <c r="C2104" s="34"/>
      <c r="D2104" s="34"/>
      <c r="E2104" s="27"/>
      <c r="F2104" s="27"/>
      <c r="G2104" s="27"/>
      <c r="H2104" s="27"/>
      <c r="I2104" s="27"/>
      <c r="J2104" s="27"/>
      <c r="K2104" s="27"/>
      <c r="L2104" s="27"/>
      <c r="M2104" s="28"/>
      <c r="N2104" s="28"/>
      <c r="O2104" s="27"/>
      <c r="P2104" s="27"/>
    </row>
    <row r="2105">
      <c r="A2105" s="33"/>
      <c r="B2105" s="34"/>
      <c r="C2105" s="34"/>
      <c r="D2105" s="34"/>
      <c r="E2105" s="27"/>
      <c r="F2105" s="27"/>
      <c r="G2105" s="27"/>
      <c r="H2105" s="27"/>
      <c r="I2105" s="27"/>
      <c r="J2105" s="27"/>
      <c r="K2105" s="27"/>
      <c r="L2105" s="27"/>
      <c r="M2105" s="28"/>
      <c r="N2105" s="28"/>
      <c r="O2105" s="27"/>
      <c r="P2105" s="27"/>
    </row>
    <row r="2106">
      <c r="A2106" s="33"/>
      <c r="B2106" s="34"/>
      <c r="C2106" s="34"/>
      <c r="D2106" s="34"/>
      <c r="E2106" s="27"/>
      <c r="F2106" s="27"/>
      <c r="G2106" s="27"/>
      <c r="H2106" s="27"/>
      <c r="I2106" s="27"/>
      <c r="J2106" s="27"/>
      <c r="K2106" s="27"/>
      <c r="L2106" s="27"/>
      <c r="M2106" s="28"/>
      <c r="N2106" s="28"/>
      <c r="O2106" s="27"/>
      <c r="P2106" s="27"/>
    </row>
    <row r="2107">
      <c r="A2107" s="33"/>
      <c r="B2107" s="34"/>
      <c r="C2107" s="34"/>
      <c r="D2107" s="34"/>
      <c r="E2107" s="27"/>
      <c r="F2107" s="27"/>
      <c r="G2107" s="27"/>
      <c r="H2107" s="27"/>
      <c r="I2107" s="27"/>
      <c r="J2107" s="27"/>
      <c r="K2107" s="27"/>
      <c r="L2107" s="27"/>
      <c r="M2107" s="28"/>
      <c r="N2107" s="28"/>
      <c r="O2107" s="27"/>
      <c r="P2107" s="27"/>
    </row>
    <row r="2108">
      <c r="A2108" s="33"/>
      <c r="B2108" s="34"/>
      <c r="C2108" s="34"/>
      <c r="D2108" s="34"/>
      <c r="E2108" s="27"/>
      <c r="F2108" s="27"/>
      <c r="G2108" s="27"/>
      <c r="H2108" s="27"/>
      <c r="I2108" s="27"/>
      <c r="J2108" s="27"/>
      <c r="K2108" s="27"/>
      <c r="L2108" s="27"/>
      <c r="M2108" s="28"/>
      <c r="N2108" s="28"/>
      <c r="O2108" s="27"/>
      <c r="P2108" s="27"/>
    </row>
    <row r="2109">
      <c r="A2109" s="33"/>
      <c r="B2109" s="34"/>
      <c r="C2109" s="34"/>
      <c r="D2109" s="34"/>
      <c r="E2109" s="27"/>
      <c r="F2109" s="27"/>
      <c r="G2109" s="27"/>
      <c r="H2109" s="27"/>
      <c r="I2109" s="27"/>
      <c r="J2109" s="27"/>
      <c r="K2109" s="27"/>
      <c r="L2109" s="27"/>
      <c r="M2109" s="28"/>
      <c r="N2109" s="28"/>
      <c r="O2109" s="27"/>
      <c r="P2109" s="27"/>
    </row>
    <row r="2110">
      <c r="A2110" s="33"/>
      <c r="B2110" s="34"/>
      <c r="C2110" s="34"/>
      <c r="D2110" s="34"/>
      <c r="E2110" s="27"/>
      <c r="F2110" s="27"/>
      <c r="G2110" s="27"/>
      <c r="H2110" s="27"/>
      <c r="I2110" s="27"/>
      <c r="J2110" s="27"/>
      <c r="K2110" s="27"/>
      <c r="L2110" s="27"/>
      <c r="M2110" s="28"/>
      <c r="N2110" s="28"/>
      <c r="O2110" s="27"/>
      <c r="P2110" s="27"/>
    </row>
    <row r="2111">
      <c r="A2111" s="33"/>
      <c r="B2111" s="34"/>
      <c r="C2111" s="34"/>
      <c r="D2111" s="34"/>
      <c r="E2111" s="27"/>
      <c r="F2111" s="27"/>
      <c r="G2111" s="27"/>
      <c r="H2111" s="27"/>
      <c r="I2111" s="27"/>
      <c r="J2111" s="27"/>
      <c r="K2111" s="27"/>
      <c r="L2111" s="27"/>
      <c r="M2111" s="28"/>
      <c r="N2111" s="28"/>
      <c r="O2111" s="27"/>
      <c r="P2111" s="27"/>
    </row>
    <row r="2112">
      <c r="A2112" s="33"/>
      <c r="B2112" s="34"/>
      <c r="C2112" s="34"/>
      <c r="D2112" s="34"/>
      <c r="E2112" s="27"/>
      <c r="F2112" s="27"/>
      <c r="G2112" s="27"/>
      <c r="H2112" s="27"/>
      <c r="I2112" s="27"/>
      <c r="J2112" s="27"/>
      <c r="K2112" s="27"/>
      <c r="L2112" s="27"/>
      <c r="M2112" s="28"/>
      <c r="N2112" s="28"/>
      <c r="O2112" s="27"/>
      <c r="P2112" s="27"/>
    </row>
    <row r="2113">
      <c r="A2113" s="33"/>
      <c r="B2113" s="34"/>
      <c r="C2113" s="34"/>
      <c r="D2113" s="34"/>
      <c r="E2113" s="27"/>
      <c r="F2113" s="27"/>
      <c r="G2113" s="27"/>
      <c r="H2113" s="27"/>
      <c r="I2113" s="27"/>
      <c r="J2113" s="27"/>
      <c r="K2113" s="27"/>
      <c r="L2113" s="27"/>
      <c r="M2113" s="28"/>
      <c r="N2113" s="28"/>
      <c r="O2113" s="27"/>
      <c r="P2113" s="27"/>
    </row>
    <row r="2114">
      <c r="A2114" s="33"/>
      <c r="B2114" s="34"/>
      <c r="C2114" s="34"/>
      <c r="D2114" s="34"/>
      <c r="E2114" s="27"/>
      <c r="F2114" s="27"/>
      <c r="G2114" s="27"/>
      <c r="H2114" s="27"/>
      <c r="I2114" s="27"/>
      <c r="J2114" s="27"/>
      <c r="K2114" s="27"/>
      <c r="L2114" s="27"/>
      <c r="M2114" s="28"/>
      <c r="N2114" s="28"/>
      <c r="O2114" s="27"/>
      <c r="P2114" s="27"/>
    </row>
    <row r="2115">
      <c r="A2115" s="33"/>
      <c r="B2115" s="34"/>
      <c r="C2115" s="34"/>
      <c r="D2115" s="34"/>
      <c r="E2115" s="27"/>
      <c r="F2115" s="27"/>
      <c r="G2115" s="27"/>
      <c r="H2115" s="27"/>
      <c r="I2115" s="27"/>
      <c r="J2115" s="27"/>
      <c r="K2115" s="27"/>
      <c r="L2115" s="27"/>
      <c r="M2115" s="28"/>
      <c r="N2115" s="28"/>
      <c r="O2115" s="27"/>
      <c r="P2115" s="27"/>
    </row>
    <row r="2116">
      <c r="A2116" s="33"/>
      <c r="B2116" s="34"/>
      <c r="C2116" s="34"/>
      <c r="D2116" s="34"/>
      <c r="E2116" s="27"/>
      <c r="F2116" s="27"/>
      <c r="G2116" s="27"/>
      <c r="H2116" s="27"/>
      <c r="I2116" s="27"/>
      <c r="J2116" s="27"/>
      <c r="K2116" s="27"/>
      <c r="L2116" s="27"/>
      <c r="M2116" s="28"/>
      <c r="N2116" s="28"/>
      <c r="O2116" s="27"/>
      <c r="P2116" s="27"/>
    </row>
    <row r="2117">
      <c r="A2117" s="33"/>
      <c r="B2117" s="34"/>
      <c r="C2117" s="34"/>
      <c r="D2117" s="34"/>
      <c r="E2117" s="27"/>
      <c r="F2117" s="27"/>
      <c r="G2117" s="27"/>
      <c r="H2117" s="27"/>
      <c r="I2117" s="27"/>
      <c r="J2117" s="27"/>
      <c r="K2117" s="27"/>
      <c r="L2117" s="27"/>
      <c r="M2117" s="28"/>
      <c r="N2117" s="28"/>
      <c r="O2117" s="27"/>
      <c r="P2117" s="27"/>
    </row>
    <row r="2118">
      <c r="A2118" s="33"/>
      <c r="B2118" s="34"/>
      <c r="C2118" s="34"/>
      <c r="D2118" s="34"/>
      <c r="E2118" s="27"/>
      <c r="F2118" s="27"/>
      <c r="G2118" s="27"/>
      <c r="H2118" s="27"/>
      <c r="I2118" s="27"/>
      <c r="J2118" s="27"/>
      <c r="K2118" s="27"/>
      <c r="L2118" s="27"/>
      <c r="M2118" s="28"/>
      <c r="N2118" s="28"/>
      <c r="O2118" s="27"/>
      <c r="P2118" s="27"/>
    </row>
    <row r="2119">
      <c r="A2119" s="33"/>
      <c r="B2119" s="34"/>
      <c r="C2119" s="34"/>
      <c r="D2119" s="34"/>
      <c r="E2119" s="27"/>
      <c r="F2119" s="27"/>
      <c r="G2119" s="27"/>
      <c r="H2119" s="27"/>
      <c r="I2119" s="27"/>
      <c r="J2119" s="27"/>
      <c r="K2119" s="27"/>
      <c r="L2119" s="27"/>
      <c r="M2119" s="28"/>
      <c r="N2119" s="28"/>
      <c r="O2119" s="27"/>
      <c r="P2119" s="27"/>
    </row>
    <row r="2120">
      <c r="A2120" s="33"/>
      <c r="B2120" s="34"/>
      <c r="C2120" s="34"/>
      <c r="D2120" s="34"/>
      <c r="E2120" s="27"/>
      <c r="F2120" s="27"/>
      <c r="G2120" s="27"/>
      <c r="H2120" s="27"/>
      <c r="I2120" s="27"/>
      <c r="J2120" s="27"/>
      <c r="K2120" s="27"/>
      <c r="L2120" s="27"/>
      <c r="M2120" s="28"/>
      <c r="N2120" s="28"/>
      <c r="O2120" s="27"/>
      <c r="P2120" s="27"/>
    </row>
    <row r="2121">
      <c r="A2121" s="33"/>
      <c r="B2121" s="34"/>
      <c r="C2121" s="34"/>
      <c r="D2121" s="34"/>
      <c r="E2121" s="27"/>
      <c r="F2121" s="27"/>
      <c r="G2121" s="27"/>
      <c r="H2121" s="27"/>
      <c r="I2121" s="27"/>
      <c r="J2121" s="27"/>
      <c r="K2121" s="27"/>
      <c r="L2121" s="27"/>
      <c r="M2121" s="28"/>
      <c r="N2121" s="28"/>
      <c r="O2121" s="27"/>
      <c r="P2121" s="27"/>
    </row>
    <row r="2122">
      <c r="A2122" s="33"/>
      <c r="B2122" s="34"/>
      <c r="C2122" s="34"/>
      <c r="D2122" s="34"/>
      <c r="E2122" s="27"/>
      <c r="F2122" s="27"/>
      <c r="G2122" s="27"/>
      <c r="H2122" s="27"/>
      <c r="I2122" s="27"/>
      <c r="J2122" s="27"/>
      <c r="K2122" s="27"/>
      <c r="L2122" s="27"/>
      <c r="M2122" s="28"/>
      <c r="N2122" s="28"/>
      <c r="O2122" s="27"/>
      <c r="P2122" s="27"/>
    </row>
    <row r="2123">
      <c r="A2123" s="33"/>
      <c r="B2123" s="34"/>
      <c r="C2123" s="34"/>
      <c r="D2123" s="34"/>
      <c r="E2123" s="27"/>
      <c r="F2123" s="27"/>
      <c r="G2123" s="27"/>
      <c r="H2123" s="27"/>
      <c r="I2123" s="27"/>
      <c r="J2123" s="27"/>
      <c r="K2123" s="27"/>
      <c r="L2123" s="27"/>
      <c r="M2123" s="28"/>
      <c r="N2123" s="28"/>
      <c r="O2123" s="27"/>
      <c r="P2123" s="27"/>
    </row>
    <row r="2124">
      <c r="A2124" s="33"/>
      <c r="B2124" s="34"/>
      <c r="C2124" s="34"/>
      <c r="D2124" s="34"/>
      <c r="E2124" s="27"/>
      <c r="F2124" s="27"/>
      <c r="G2124" s="27"/>
      <c r="H2124" s="27"/>
      <c r="I2124" s="27"/>
      <c r="J2124" s="27"/>
      <c r="K2124" s="27"/>
      <c r="L2124" s="27"/>
      <c r="M2124" s="28"/>
      <c r="N2124" s="28"/>
      <c r="O2124" s="27"/>
      <c r="P2124" s="27"/>
    </row>
    <row r="2125">
      <c r="A2125" s="33"/>
      <c r="B2125" s="34"/>
      <c r="C2125" s="34"/>
      <c r="D2125" s="34"/>
      <c r="E2125" s="27"/>
      <c r="F2125" s="27"/>
      <c r="G2125" s="27"/>
      <c r="H2125" s="27"/>
      <c r="I2125" s="27"/>
      <c r="J2125" s="27"/>
      <c r="K2125" s="27"/>
      <c r="L2125" s="27"/>
      <c r="M2125" s="28"/>
      <c r="N2125" s="28"/>
      <c r="O2125" s="27"/>
      <c r="P2125" s="27"/>
    </row>
    <row r="2126">
      <c r="A2126" s="33"/>
      <c r="B2126" s="34"/>
      <c r="C2126" s="34"/>
      <c r="D2126" s="34"/>
      <c r="E2126" s="27"/>
      <c r="F2126" s="27"/>
      <c r="G2126" s="27"/>
      <c r="H2126" s="27"/>
      <c r="I2126" s="27"/>
      <c r="J2126" s="27"/>
      <c r="K2126" s="27"/>
      <c r="L2126" s="27"/>
      <c r="M2126" s="28"/>
      <c r="N2126" s="28"/>
      <c r="O2126" s="27"/>
      <c r="P2126" s="27"/>
    </row>
    <row r="2127">
      <c r="A2127" s="33"/>
      <c r="B2127" s="34"/>
      <c r="C2127" s="34"/>
      <c r="D2127" s="34"/>
      <c r="E2127" s="27"/>
      <c r="F2127" s="27"/>
      <c r="G2127" s="27"/>
      <c r="H2127" s="27"/>
      <c r="I2127" s="27"/>
      <c r="J2127" s="27"/>
      <c r="K2127" s="27"/>
      <c r="L2127" s="27"/>
      <c r="M2127" s="28"/>
      <c r="N2127" s="28"/>
      <c r="O2127" s="27"/>
      <c r="P2127" s="27"/>
    </row>
    <row r="2128">
      <c r="A2128" s="33"/>
      <c r="B2128" s="34"/>
      <c r="C2128" s="34"/>
      <c r="D2128" s="34"/>
      <c r="E2128" s="27"/>
      <c r="F2128" s="27"/>
      <c r="G2128" s="27"/>
      <c r="H2128" s="27"/>
      <c r="I2128" s="27"/>
      <c r="J2128" s="27"/>
      <c r="K2128" s="27"/>
      <c r="L2128" s="27"/>
      <c r="M2128" s="28"/>
      <c r="N2128" s="28"/>
      <c r="O2128" s="27"/>
      <c r="P2128" s="27"/>
    </row>
    <row r="2129">
      <c r="A2129" s="33"/>
      <c r="B2129" s="34"/>
      <c r="C2129" s="34"/>
      <c r="D2129" s="34"/>
      <c r="E2129" s="27"/>
      <c r="F2129" s="27"/>
      <c r="G2129" s="27"/>
      <c r="H2129" s="27"/>
      <c r="I2129" s="27"/>
      <c r="J2129" s="27"/>
      <c r="K2129" s="27"/>
      <c r="L2129" s="27"/>
      <c r="M2129" s="28"/>
      <c r="N2129" s="28"/>
      <c r="O2129" s="27"/>
      <c r="P2129" s="27"/>
    </row>
    <row r="2130">
      <c r="A2130" s="33"/>
      <c r="B2130" s="34"/>
      <c r="C2130" s="34"/>
      <c r="D2130" s="34"/>
      <c r="E2130" s="27"/>
      <c r="F2130" s="27"/>
      <c r="G2130" s="27"/>
      <c r="H2130" s="27"/>
      <c r="I2130" s="27"/>
      <c r="J2130" s="27"/>
      <c r="K2130" s="27"/>
      <c r="L2130" s="27"/>
      <c r="M2130" s="28"/>
      <c r="N2130" s="28"/>
      <c r="O2130" s="27"/>
      <c r="P2130" s="27"/>
    </row>
    <row r="2131">
      <c r="A2131" s="33"/>
      <c r="B2131" s="34"/>
      <c r="C2131" s="34"/>
      <c r="D2131" s="34"/>
      <c r="E2131" s="27"/>
      <c r="F2131" s="27"/>
      <c r="G2131" s="27"/>
      <c r="H2131" s="27"/>
      <c r="I2131" s="27"/>
      <c r="J2131" s="27"/>
      <c r="K2131" s="27"/>
      <c r="L2131" s="27"/>
      <c r="M2131" s="28"/>
      <c r="N2131" s="28"/>
      <c r="O2131" s="27"/>
      <c r="P2131" s="27"/>
    </row>
    <row r="2132">
      <c r="A2132" s="33"/>
      <c r="B2132" s="34"/>
      <c r="C2132" s="34"/>
      <c r="D2132" s="34"/>
      <c r="E2132" s="27"/>
      <c r="F2132" s="27"/>
      <c r="G2132" s="27"/>
      <c r="H2132" s="27"/>
      <c r="I2132" s="27"/>
      <c r="J2132" s="27"/>
      <c r="K2132" s="27"/>
      <c r="L2132" s="27"/>
      <c r="M2132" s="28"/>
      <c r="N2132" s="28"/>
      <c r="O2132" s="27"/>
      <c r="P2132" s="27"/>
    </row>
    <row r="2133">
      <c r="A2133" s="33"/>
      <c r="B2133" s="34"/>
      <c r="C2133" s="34"/>
      <c r="D2133" s="34"/>
      <c r="E2133" s="27"/>
      <c r="F2133" s="27"/>
      <c r="G2133" s="27"/>
      <c r="H2133" s="27"/>
      <c r="I2133" s="27"/>
      <c r="J2133" s="27"/>
      <c r="K2133" s="27"/>
      <c r="L2133" s="27"/>
      <c r="M2133" s="28"/>
      <c r="N2133" s="28"/>
      <c r="O2133" s="27"/>
      <c r="P2133" s="27"/>
    </row>
    <row r="2134">
      <c r="A2134" s="33"/>
      <c r="B2134" s="34"/>
      <c r="C2134" s="34"/>
      <c r="D2134" s="34"/>
      <c r="E2134" s="27"/>
      <c r="F2134" s="27"/>
      <c r="G2134" s="27"/>
      <c r="H2134" s="27"/>
      <c r="I2134" s="27"/>
      <c r="J2134" s="27"/>
      <c r="K2134" s="27"/>
      <c r="L2134" s="27"/>
      <c r="M2134" s="28"/>
      <c r="N2134" s="28"/>
      <c r="O2134" s="27"/>
      <c r="P2134" s="27"/>
    </row>
    <row r="2135">
      <c r="A2135" s="33"/>
      <c r="B2135" s="34"/>
      <c r="C2135" s="34"/>
      <c r="D2135" s="34"/>
      <c r="E2135" s="27"/>
      <c r="F2135" s="27"/>
      <c r="G2135" s="27"/>
      <c r="H2135" s="27"/>
      <c r="I2135" s="27"/>
      <c r="J2135" s="27"/>
      <c r="K2135" s="27"/>
      <c r="L2135" s="27"/>
      <c r="M2135" s="28"/>
      <c r="N2135" s="28"/>
      <c r="O2135" s="27"/>
      <c r="P2135" s="27"/>
    </row>
    <row r="2136">
      <c r="A2136" s="33"/>
      <c r="B2136" s="34"/>
      <c r="C2136" s="34"/>
      <c r="D2136" s="34"/>
      <c r="E2136" s="27"/>
      <c r="F2136" s="27"/>
      <c r="G2136" s="27"/>
      <c r="H2136" s="27"/>
      <c r="I2136" s="27"/>
      <c r="J2136" s="27"/>
      <c r="K2136" s="27"/>
      <c r="L2136" s="27"/>
      <c r="M2136" s="28"/>
      <c r="N2136" s="28"/>
      <c r="O2136" s="27"/>
      <c r="P2136" s="27"/>
    </row>
    <row r="2137">
      <c r="A2137" s="33"/>
      <c r="B2137" s="34"/>
      <c r="C2137" s="34"/>
      <c r="D2137" s="34"/>
      <c r="E2137" s="27"/>
      <c r="F2137" s="27"/>
      <c r="G2137" s="27"/>
      <c r="H2137" s="27"/>
      <c r="I2137" s="27"/>
      <c r="J2137" s="27"/>
      <c r="K2137" s="27"/>
      <c r="L2137" s="27"/>
      <c r="M2137" s="28"/>
      <c r="N2137" s="28"/>
      <c r="O2137" s="27"/>
      <c r="P2137" s="27"/>
    </row>
    <row r="2138">
      <c r="A2138" s="33"/>
      <c r="B2138" s="34"/>
      <c r="C2138" s="34"/>
      <c r="D2138" s="34"/>
      <c r="E2138" s="27"/>
      <c r="F2138" s="27"/>
      <c r="G2138" s="27"/>
      <c r="H2138" s="27"/>
      <c r="I2138" s="27"/>
      <c r="J2138" s="27"/>
      <c r="K2138" s="27"/>
      <c r="L2138" s="27"/>
      <c r="M2138" s="28"/>
      <c r="N2138" s="28"/>
      <c r="O2138" s="27"/>
      <c r="P2138" s="27"/>
    </row>
    <row r="2139">
      <c r="A2139" s="33"/>
      <c r="B2139" s="34"/>
      <c r="C2139" s="34"/>
      <c r="D2139" s="34"/>
      <c r="E2139" s="27"/>
      <c r="F2139" s="27"/>
      <c r="G2139" s="27"/>
      <c r="H2139" s="27"/>
      <c r="I2139" s="27"/>
      <c r="J2139" s="27"/>
      <c r="K2139" s="27"/>
      <c r="L2139" s="27"/>
      <c r="M2139" s="28"/>
      <c r="N2139" s="28"/>
      <c r="O2139" s="27"/>
      <c r="P2139" s="27"/>
    </row>
    <row r="2140">
      <c r="A2140" s="33"/>
      <c r="B2140" s="34"/>
      <c r="C2140" s="34"/>
      <c r="D2140" s="34"/>
      <c r="E2140" s="27"/>
      <c r="F2140" s="27"/>
      <c r="G2140" s="27"/>
      <c r="H2140" s="27"/>
      <c r="I2140" s="27"/>
      <c r="J2140" s="27"/>
      <c r="K2140" s="27"/>
      <c r="L2140" s="27"/>
      <c r="M2140" s="28"/>
      <c r="N2140" s="28"/>
      <c r="O2140" s="27"/>
      <c r="P2140" s="27"/>
    </row>
    <row r="2141">
      <c r="A2141" s="33"/>
      <c r="B2141" s="34"/>
      <c r="C2141" s="34"/>
      <c r="D2141" s="34"/>
      <c r="E2141" s="27"/>
      <c r="F2141" s="27"/>
      <c r="G2141" s="27"/>
      <c r="H2141" s="27"/>
      <c r="I2141" s="27"/>
      <c r="J2141" s="27"/>
      <c r="K2141" s="27"/>
      <c r="L2141" s="27"/>
      <c r="M2141" s="28"/>
      <c r="N2141" s="28"/>
      <c r="O2141" s="27"/>
      <c r="P2141" s="27"/>
    </row>
    <row r="2142">
      <c r="A2142" s="33"/>
      <c r="B2142" s="34"/>
      <c r="C2142" s="34"/>
      <c r="D2142" s="34"/>
      <c r="E2142" s="27"/>
      <c r="F2142" s="27"/>
      <c r="G2142" s="27"/>
      <c r="H2142" s="27"/>
      <c r="I2142" s="27"/>
      <c r="J2142" s="27"/>
      <c r="K2142" s="27"/>
      <c r="L2142" s="27"/>
      <c r="M2142" s="28"/>
      <c r="N2142" s="28"/>
      <c r="O2142" s="27"/>
      <c r="P2142" s="27"/>
    </row>
    <row r="2143">
      <c r="A2143" s="33"/>
      <c r="B2143" s="34"/>
      <c r="C2143" s="34"/>
      <c r="D2143" s="34"/>
      <c r="E2143" s="27"/>
      <c r="F2143" s="27"/>
      <c r="G2143" s="27"/>
      <c r="H2143" s="27"/>
      <c r="I2143" s="27"/>
      <c r="J2143" s="27"/>
      <c r="K2143" s="27"/>
      <c r="L2143" s="27"/>
      <c r="M2143" s="28"/>
      <c r="N2143" s="28"/>
      <c r="O2143" s="27"/>
      <c r="P2143" s="27"/>
    </row>
    <row r="2144">
      <c r="A2144" s="33"/>
      <c r="B2144" s="34"/>
      <c r="C2144" s="34"/>
      <c r="D2144" s="34"/>
      <c r="E2144" s="27"/>
      <c r="F2144" s="27"/>
      <c r="G2144" s="27"/>
      <c r="H2144" s="27"/>
      <c r="I2144" s="27"/>
      <c r="J2144" s="27"/>
      <c r="K2144" s="27"/>
      <c r="L2144" s="27"/>
      <c r="M2144" s="28"/>
      <c r="N2144" s="28"/>
      <c r="O2144" s="27"/>
      <c r="P2144" s="27"/>
    </row>
    <row r="2145">
      <c r="A2145" s="33"/>
      <c r="B2145" s="34"/>
      <c r="C2145" s="34"/>
      <c r="D2145" s="34"/>
      <c r="E2145" s="27"/>
      <c r="F2145" s="27"/>
      <c r="G2145" s="27"/>
      <c r="H2145" s="27"/>
      <c r="I2145" s="27"/>
      <c r="J2145" s="27"/>
      <c r="K2145" s="27"/>
      <c r="L2145" s="27"/>
      <c r="M2145" s="28"/>
      <c r="N2145" s="28"/>
      <c r="O2145" s="27"/>
      <c r="P2145" s="27"/>
    </row>
    <row r="2146">
      <c r="A2146" s="33"/>
      <c r="B2146" s="34"/>
      <c r="C2146" s="34"/>
      <c r="D2146" s="34"/>
      <c r="E2146" s="27"/>
      <c r="F2146" s="27"/>
      <c r="G2146" s="27"/>
      <c r="H2146" s="27"/>
      <c r="I2146" s="27"/>
      <c r="J2146" s="27"/>
      <c r="K2146" s="27"/>
      <c r="L2146" s="27"/>
      <c r="M2146" s="28"/>
      <c r="N2146" s="28"/>
      <c r="O2146" s="27"/>
      <c r="P2146" s="27"/>
    </row>
    <row r="2147">
      <c r="A2147" s="33"/>
      <c r="B2147" s="34"/>
      <c r="C2147" s="34"/>
      <c r="D2147" s="34"/>
      <c r="E2147" s="27"/>
      <c r="F2147" s="27"/>
      <c r="G2147" s="27"/>
      <c r="H2147" s="27"/>
      <c r="I2147" s="27"/>
      <c r="J2147" s="27"/>
      <c r="K2147" s="27"/>
      <c r="L2147" s="27"/>
      <c r="M2147" s="28"/>
      <c r="N2147" s="28"/>
      <c r="O2147" s="27"/>
      <c r="P2147" s="27"/>
    </row>
    <row r="2148">
      <c r="A2148" s="33"/>
      <c r="B2148" s="34"/>
      <c r="C2148" s="34"/>
      <c r="D2148" s="34"/>
      <c r="E2148" s="27"/>
      <c r="F2148" s="27"/>
      <c r="G2148" s="27"/>
      <c r="H2148" s="27"/>
      <c r="I2148" s="27"/>
      <c r="J2148" s="27"/>
      <c r="K2148" s="27"/>
      <c r="L2148" s="27"/>
      <c r="M2148" s="28"/>
      <c r="N2148" s="28"/>
      <c r="O2148" s="27"/>
      <c r="P2148" s="27"/>
    </row>
    <row r="2149">
      <c r="A2149" s="33"/>
      <c r="B2149" s="34"/>
      <c r="C2149" s="34"/>
      <c r="D2149" s="34"/>
      <c r="E2149" s="27"/>
      <c r="F2149" s="27"/>
      <c r="G2149" s="27"/>
      <c r="H2149" s="27"/>
      <c r="I2149" s="27"/>
      <c r="J2149" s="27"/>
      <c r="K2149" s="27"/>
      <c r="L2149" s="27"/>
      <c r="M2149" s="28"/>
      <c r="N2149" s="28"/>
      <c r="O2149" s="27"/>
      <c r="P2149" s="27"/>
    </row>
    <row r="2150">
      <c r="A2150" s="33"/>
      <c r="B2150" s="34"/>
      <c r="C2150" s="34"/>
      <c r="D2150" s="34"/>
      <c r="E2150" s="27"/>
      <c r="F2150" s="27"/>
      <c r="G2150" s="27"/>
      <c r="H2150" s="27"/>
      <c r="I2150" s="27"/>
      <c r="J2150" s="27"/>
      <c r="K2150" s="27"/>
      <c r="L2150" s="27"/>
      <c r="M2150" s="28"/>
      <c r="N2150" s="28"/>
      <c r="O2150" s="27"/>
      <c r="P2150" s="27"/>
    </row>
    <row r="2151">
      <c r="A2151" s="33"/>
      <c r="B2151" s="34"/>
      <c r="C2151" s="34"/>
      <c r="D2151" s="34"/>
      <c r="E2151" s="27"/>
      <c r="F2151" s="27"/>
      <c r="G2151" s="27"/>
      <c r="H2151" s="27"/>
      <c r="I2151" s="27"/>
      <c r="J2151" s="27"/>
      <c r="K2151" s="27"/>
      <c r="L2151" s="27"/>
      <c r="M2151" s="28"/>
      <c r="N2151" s="28"/>
      <c r="O2151" s="27"/>
      <c r="P2151" s="27"/>
    </row>
    <row r="2152">
      <c r="A2152" s="33"/>
      <c r="B2152" s="34"/>
      <c r="C2152" s="34"/>
      <c r="D2152" s="34"/>
      <c r="E2152" s="27"/>
      <c r="F2152" s="27"/>
      <c r="G2152" s="27"/>
      <c r="H2152" s="27"/>
      <c r="I2152" s="27"/>
      <c r="J2152" s="27"/>
      <c r="K2152" s="27"/>
      <c r="L2152" s="27"/>
      <c r="M2152" s="28"/>
      <c r="N2152" s="28"/>
      <c r="O2152" s="27"/>
      <c r="P2152" s="27"/>
    </row>
    <row r="2153">
      <c r="A2153" s="33"/>
      <c r="B2153" s="34"/>
      <c r="C2153" s="34"/>
      <c r="D2153" s="34"/>
      <c r="E2153" s="27"/>
      <c r="F2153" s="27"/>
      <c r="G2153" s="27"/>
      <c r="H2153" s="27"/>
      <c r="I2153" s="27"/>
      <c r="J2153" s="27"/>
      <c r="K2153" s="27"/>
      <c r="L2153" s="27"/>
      <c r="M2153" s="28"/>
      <c r="N2153" s="28"/>
      <c r="O2153" s="27"/>
      <c r="P2153" s="27"/>
    </row>
    <row r="2154">
      <c r="A2154" s="33"/>
      <c r="B2154" s="34"/>
      <c r="C2154" s="34"/>
      <c r="D2154" s="34"/>
      <c r="E2154" s="27"/>
      <c r="F2154" s="27"/>
      <c r="G2154" s="27"/>
      <c r="H2154" s="27"/>
      <c r="I2154" s="27"/>
      <c r="J2154" s="27"/>
      <c r="K2154" s="27"/>
      <c r="L2154" s="27"/>
      <c r="M2154" s="28"/>
      <c r="N2154" s="28"/>
      <c r="O2154" s="27"/>
      <c r="P2154" s="27"/>
    </row>
    <row r="2155">
      <c r="A2155" s="33"/>
      <c r="B2155" s="34"/>
      <c r="C2155" s="34"/>
      <c r="D2155" s="34"/>
      <c r="E2155" s="27"/>
      <c r="F2155" s="27"/>
      <c r="G2155" s="27"/>
      <c r="H2155" s="27"/>
      <c r="I2155" s="27"/>
      <c r="J2155" s="27"/>
      <c r="K2155" s="27"/>
      <c r="L2155" s="27"/>
      <c r="M2155" s="28"/>
      <c r="N2155" s="28"/>
      <c r="O2155" s="27"/>
      <c r="P2155" s="27"/>
    </row>
    <row r="2156">
      <c r="A2156" s="33"/>
      <c r="B2156" s="34"/>
      <c r="C2156" s="34"/>
      <c r="D2156" s="34"/>
      <c r="E2156" s="27"/>
      <c r="F2156" s="27"/>
      <c r="G2156" s="27"/>
      <c r="H2156" s="27"/>
      <c r="I2156" s="27"/>
      <c r="J2156" s="27"/>
      <c r="K2156" s="27"/>
      <c r="L2156" s="27"/>
      <c r="M2156" s="28"/>
      <c r="N2156" s="28"/>
      <c r="O2156" s="27"/>
      <c r="P2156" s="27"/>
    </row>
    <row r="2157">
      <c r="A2157" s="33"/>
      <c r="B2157" s="34"/>
      <c r="C2157" s="34"/>
      <c r="D2157" s="34"/>
      <c r="E2157" s="27"/>
      <c r="F2157" s="27"/>
      <c r="G2157" s="27"/>
      <c r="H2157" s="27"/>
      <c r="I2157" s="27"/>
      <c r="J2157" s="27"/>
      <c r="K2157" s="27"/>
      <c r="L2157" s="27"/>
      <c r="M2157" s="28"/>
      <c r="N2157" s="28"/>
      <c r="O2157" s="27"/>
      <c r="P2157" s="27"/>
    </row>
    <row r="2158">
      <c r="A2158" s="33"/>
      <c r="B2158" s="34"/>
      <c r="C2158" s="34"/>
      <c r="D2158" s="34"/>
      <c r="E2158" s="27"/>
      <c r="F2158" s="27"/>
      <c r="G2158" s="27"/>
      <c r="H2158" s="27"/>
      <c r="I2158" s="27"/>
      <c r="J2158" s="27"/>
      <c r="K2158" s="27"/>
      <c r="L2158" s="27"/>
      <c r="M2158" s="28"/>
      <c r="N2158" s="28"/>
      <c r="O2158" s="27"/>
      <c r="P2158" s="27"/>
    </row>
    <row r="2159">
      <c r="A2159" s="33"/>
      <c r="B2159" s="34"/>
      <c r="C2159" s="34"/>
      <c r="D2159" s="34"/>
      <c r="E2159" s="27"/>
      <c r="F2159" s="27"/>
      <c r="G2159" s="27"/>
      <c r="H2159" s="27"/>
      <c r="I2159" s="27"/>
      <c r="J2159" s="27"/>
      <c r="K2159" s="27"/>
      <c r="L2159" s="27"/>
      <c r="M2159" s="28"/>
      <c r="N2159" s="28"/>
      <c r="O2159" s="27"/>
      <c r="P2159" s="27"/>
    </row>
    <row r="2160">
      <c r="A2160" s="33"/>
      <c r="B2160" s="34"/>
      <c r="C2160" s="34"/>
      <c r="D2160" s="34"/>
      <c r="E2160" s="27"/>
      <c r="F2160" s="27"/>
      <c r="G2160" s="27"/>
      <c r="H2160" s="27"/>
      <c r="I2160" s="27"/>
      <c r="J2160" s="27"/>
      <c r="K2160" s="27"/>
      <c r="L2160" s="27"/>
      <c r="M2160" s="28"/>
      <c r="N2160" s="28"/>
      <c r="O2160" s="27"/>
      <c r="P2160" s="27"/>
    </row>
    <row r="2161">
      <c r="A2161" s="33"/>
      <c r="B2161" s="34"/>
      <c r="C2161" s="34"/>
      <c r="D2161" s="34"/>
      <c r="E2161" s="27"/>
      <c r="F2161" s="27"/>
      <c r="G2161" s="27"/>
      <c r="H2161" s="27"/>
      <c r="I2161" s="27"/>
      <c r="J2161" s="27"/>
      <c r="K2161" s="27"/>
      <c r="L2161" s="27"/>
      <c r="M2161" s="28"/>
      <c r="N2161" s="28"/>
      <c r="O2161" s="27"/>
      <c r="P2161" s="27"/>
    </row>
    <row r="2162">
      <c r="A2162" s="33"/>
      <c r="B2162" s="34"/>
      <c r="C2162" s="34"/>
      <c r="D2162" s="34"/>
      <c r="E2162" s="27"/>
      <c r="F2162" s="27"/>
      <c r="G2162" s="27"/>
      <c r="H2162" s="27"/>
      <c r="I2162" s="27"/>
      <c r="J2162" s="27"/>
      <c r="K2162" s="27"/>
      <c r="L2162" s="27"/>
      <c r="M2162" s="28"/>
      <c r="N2162" s="28"/>
      <c r="O2162" s="27"/>
      <c r="P2162" s="27"/>
    </row>
    <row r="2163">
      <c r="A2163" s="33"/>
      <c r="B2163" s="34"/>
      <c r="C2163" s="34"/>
      <c r="D2163" s="34"/>
      <c r="E2163" s="27"/>
      <c r="F2163" s="27"/>
      <c r="G2163" s="27"/>
      <c r="H2163" s="27"/>
      <c r="I2163" s="27"/>
      <c r="J2163" s="27"/>
      <c r="K2163" s="27"/>
      <c r="L2163" s="27"/>
      <c r="M2163" s="28"/>
      <c r="N2163" s="28"/>
      <c r="O2163" s="27"/>
      <c r="P2163" s="27"/>
    </row>
    <row r="2164">
      <c r="A2164" s="33"/>
      <c r="B2164" s="34"/>
      <c r="C2164" s="34"/>
      <c r="D2164" s="34"/>
      <c r="E2164" s="27"/>
      <c r="F2164" s="27"/>
      <c r="G2164" s="27"/>
      <c r="H2164" s="27"/>
      <c r="I2164" s="27"/>
      <c r="J2164" s="27"/>
      <c r="K2164" s="27"/>
      <c r="L2164" s="27"/>
      <c r="M2164" s="28"/>
      <c r="N2164" s="28"/>
      <c r="O2164" s="27"/>
      <c r="P2164" s="27"/>
    </row>
    <row r="2165">
      <c r="A2165" s="33"/>
      <c r="B2165" s="34"/>
      <c r="C2165" s="34"/>
      <c r="D2165" s="34"/>
      <c r="E2165" s="27"/>
      <c r="F2165" s="27"/>
      <c r="G2165" s="27"/>
      <c r="H2165" s="27"/>
      <c r="I2165" s="27"/>
      <c r="J2165" s="27"/>
      <c r="K2165" s="27"/>
      <c r="L2165" s="27"/>
      <c r="M2165" s="28"/>
      <c r="N2165" s="28"/>
      <c r="O2165" s="27"/>
      <c r="P2165" s="27"/>
    </row>
    <row r="2166">
      <c r="A2166" s="33"/>
      <c r="B2166" s="34"/>
      <c r="C2166" s="34"/>
      <c r="D2166" s="34"/>
      <c r="E2166" s="27"/>
      <c r="F2166" s="27"/>
      <c r="G2166" s="27"/>
      <c r="H2166" s="27"/>
      <c r="I2166" s="27"/>
      <c r="J2166" s="27"/>
      <c r="K2166" s="27"/>
      <c r="L2166" s="27"/>
      <c r="M2166" s="28"/>
      <c r="N2166" s="28"/>
      <c r="O2166" s="27"/>
      <c r="P2166" s="27"/>
    </row>
    <row r="2167">
      <c r="A2167" s="33"/>
      <c r="B2167" s="34"/>
      <c r="C2167" s="34"/>
      <c r="D2167" s="34"/>
      <c r="E2167" s="27"/>
      <c r="F2167" s="27"/>
      <c r="G2167" s="27"/>
      <c r="H2167" s="27"/>
      <c r="I2167" s="27"/>
      <c r="J2167" s="27"/>
      <c r="K2167" s="27"/>
      <c r="L2167" s="27"/>
      <c r="M2167" s="28"/>
      <c r="N2167" s="28"/>
      <c r="O2167" s="27"/>
      <c r="P2167" s="27"/>
    </row>
    <row r="2168">
      <c r="A2168" s="33"/>
      <c r="B2168" s="34"/>
      <c r="C2168" s="34"/>
      <c r="D2168" s="34"/>
      <c r="E2168" s="27"/>
      <c r="F2168" s="27"/>
      <c r="G2168" s="27"/>
      <c r="H2168" s="27"/>
      <c r="I2168" s="27"/>
      <c r="J2168" s="27"/>
      <c r="K2168" s="27"/>
      <c r="L2168" s="27"/>
      <c r="M2168" s="28"/>
      <c r="N2168" s="28"/>
      <c r="O2168" s="27"/>
      <c r="P2168" s="27"/>
    </row>
    <row r="2169">
      <c r="A2169" s="33"/>
      <c r="B2169" s="34"/>
      <c r="C2169" s="34"/>
      <c r="D2169" s="34"/>
      <c r="E2169" s="27"/>
      <c r="F2169" s="27"/>
      <c r="G2169" s="27"/>
      <c r="H2169" s="27"/>
      <c r="I2169" s="27"/>
      <c r="J2169" s="27"/>
      <c r="K2169" s="27"/>
      <c r="L2169" s="27"/>
      <c r="M2169" s="28"/>
      <c r="N2169" s="28"/>
      <c r="O2169" s="27"/>
      <c r="P2169" s="27"/>
    </row>
    <row r="2170">
      <c r="A2170" s="33"/>
      <c r="B2170" s="34"/>
      <c r="C2170" s="34"/>
      <c r="D2170" s="34"/>
      <c r="E2170" s="27"/>
      <c r="F2170" s="27"/>
      <c r="G2170" s="27"/>
      <c r="H2170" s="27"/>
      <c r="I2170" s="27"/>
      <c r="J2170" s="27"/>
      <c r="K2170" s="27"/>
      <c r="L2170" s="27"/>
      <c r="M2170" s="28"/>
      <c r="N2170" s="28"/>
      <c r="O2170" s="27"/>
      <c r="P2170" s="27"/>
    </row>
    <row r="2171">
      <c r="A2171" s="33"/>
      <c r="B2171" s="34"/>
      <c r="C2171" s="34"/>
      <c r="D2171" s="34"/>
      <c r="E2171" s="27"/>
      <c r="F2171" s="27"/>
      <c r="G2171" s="27"/>
      <c r="H2171" s="27"/>
      <c r="I2171" s="27"/>
      <c r="J2171" s="27"/>
      <c r="K2171" s="27"/>
      <c r="L2171" s="27"/>
      <c r="M2171" s="28"/>
      <c r="N2171" s="28"/>
      <c r="O2171" s="27"/>
      <c r="P2171" s="27"/>
    </row>
    <row r="2172">
      <c r="A2172" s="33"/>
      <c r="B2172" s="34"/>
      <c r="C2172" s="34"/>
      <c r="D2172" s="34"/>
      <c r="E2172" s="27"/>
      <c r="F2172" s="27"/>
      <c r="G2172" s="27"/>
      <c r="H2172" s="27"/>
      <c r="I2172" s="27"/>
      <c r="J2172" s="27"/>
      <c r="K2172" s="27"/>
      <c r="L2172" s="27"/>
      <c r="M2172" s="28"/>
      <c r="N2172" s="28"/>
      <c r="O2172" s="27"/>
      <c r="P2172" s="27"/>
    </row>
    <row r="2173">
      <c r="A2173" s="33"/>
      <c r="B2173" s="34"/>
      <c r="C2173" s="34"/>
      <c r="D2173" s="34"/>
      <c r="E2173" s="27"/>
      <c r="F2173" s="27"/>
      <c r="G2173" s="27"/>
      <c r="H2173" s="27"/>
      <c r="I2173" s="27"/>
      <c r="J2173" s="27"/>
      <c r="K2173" s="27"/>
      <c r="L2173" s="27"/>
      <c r="M2173" s="28"/>
      <c r="N2173" s="28"/>
      <c r="O2173" s="27"/>
      <c r="P2173" s="27"/>
    </row>
    <row r="2174">
      <c r="A2174" s="33"/>
      <c r="B2174" s="34"/>
      <c r="C2174" s="34"/>
      <c r="D2174" s="34"/>
      <c r="E2174" s="27"/>
      <c r="F2174" s="27"/>
      <c r="G2174" s="27"/>
      <c r="H2174" s="27"/>
      <c r="I2174" s="27"/>
      <c r="J2174" s="27"/>
      <c r="K2174" s="27"/>
      <c r="L2174" s="27"/>
      <c r="M2174" s="28"/>
      <c r="N2174" s="28"/>
      <c r="O2174" s="27"/>
      <c r="P2174" s="27"/>
    </row>
    <row r="2175">
      <c r="A2175" s="33"/>
      <c r="B2175" s="34"/>
      <c r="C2175" s="34"/>
      <c r="D2175" s="34"/>
      <c r="E2175" s="27"/>
      <c r="F2175" s="27"/>
      <c r="G2175" s="27"/>
      <c r="H2175" s="27"/>
      <c r="I2175" s="27"/>
      <c r="J2175" s="27"/>
      <c r="K2175" s="27"/>
      <c r="L2175" s="27"/>
      <c r="M2175" s="28"/>
      <c r="N2175" s="28"/>
      <c r="O2175" s="27"/>
      <c r="P2175" s="27"/>
    </row>
    <row r="2176">
      <c r="A2176" s="33"/>
      <c r="B2176" s="34"/>
      <c r="C2176" s="34"/>
      <c r="D2176" s="34"/>
      <c r="E2176" s="27"/>
      <c r="F2176" s="27"/>
      <c r="G2176" s="27"/>
      <c r="H2176" s="27"/>
      <c r="I2176" s="27"/>
      <c r="J2176" s="27"/>
      <c r="K2176" s="27"/>
      <c r="L2176" s="27"/>
      <c r="M2176" s="28"/>
      <c r="N2176" s="28"/>
      <c r="O2176" s="27"/>
      <c r="P2176" s="27"/>
    </row>
    <row r="2177">
      <c r="A2177" s="33"/>
      <c r="B2177" s="34"/>
      <c r="C2177" s="34"/>
      <c r="D2177" s="34"/>
      <c r="E2177" s="27"/>
      <c r="F2177" s="27"/>
      <c r="G2177" s="27"/>
      <c r="H2177" s="27"/>
      <c r="I2177" s="27"/>
      <c r="J2177" s="27"/>
      <c r="K2177" s="27"/>
      <c r="L2177" s="27"/>
      <c r="M2177" s="28"/>
      <c r="N2177" s="28"/>
      <c r="O2177" s="27"/>
      <c r="P2177" s="27"/>
    </row>
    <row r="2178">
      <c r="A2178" s="33"/>
      <c r="B2178" s="34"/>
      <c r="C2178" s="34"/>
      <c r="D2178" s="34"/>
      <c r="E2178" s="27"/>
      <c r="F2178" s="27"/>
      <c r="G2178" s="27"/>
      <c r="H2178" s="27"/>
      <c r="I2178" s="27"/>
      <c r="J2178" s="27"/>
      <c r="K2178" s="27"/>
      <c r="L2178" s="27"/>
      <c r="M2178" s="28"/>
      <c r="N2178" s="28"/>
      <c r="O2178" s="27"/>
      <c r="P2178" s="27"/>
    </row>
    <row r="2179">
      <c r="A2179" s="33"/>
      <c r="B2179" s="34"/>
      <c r="C2179" s="34"/>
      <c r="D2179" s="34"/>
      <c r="E2179" s="27"/>
      <c r="F2179" s="27"/>
      <c r="G2179" s="27"/>
      <c r="H2179" s="27"/>
      <c r="I2179" s="27"/>
      <c r="J2179" s="27"/>
      <c r="K2179" s="27"/>
      <c r="L2179" s="27"/>
      <c r="M2179" s="28"/>
      <c r="N2179" s="28"/>
      <c r="O2179" s="27"/>
      <c r="P2179" s="27"/>
    </row>
    <row r="2180">
      <c r="A2180" s="33"/>
      <c r="B2180" s="34"/>
      <c r="C2180" s="34"/>
      <c r="D2180" s="34"/>
      <c r="E2180" s="27"/>
      <c r="F2180" s="27"/>
      <c r="G2180" s="27"/>
      <c r="H2180" s="27"/>
      <c r="I2180" s="27"/>
      <c r="J2180" s="27"/>
      <c r="K2180" s="27"/>
      <c r="L2180" s="27"/>
      <c r="M2180" s="28"/>
      <c r="N2180" s="28"/>
      <c r="O2180" s="27"/>
      <c r="P2180" s="27"/>
    </row>
    <row r="2181">
      <c r="A2181" s="33"/>
      <c r="B2181" s="34"/>
      <c r="C2181" s="34"/>
      <c r="D2181" s="34"/>
      <c r="E2181" s="27"/>
      <c r="F2181" s="27"/>
      <c r="G2181" s="27"/>
      <c r="H2181" s="27"/>
      <c r="I2181" s="27"/>
      <c r="J2181" s="27"/>
      <c r="K2181" s="27"/>
      <c r="L2181" s="27"/>
      <c r="M2181" s="28"/>
      <c r="N2181" s="28"/>
      <c r="O2181" s="27"/>
      <c r="P2181" s="27"/>
    </row>
    <row r="2182">
      <c r="A2182" s="33"/>
      <c r="B2182" s="34"/>
      <c r="C2182" s="34"/>
      <c r="D2182" s="34"/>
      <c r="E2182" s="27"/>
      <c r="F2182" s="27"/>
      <c r="G2182" s="27"/>
      <c r="H2182" s="27"/>
      <c r="I2182" s="27"/>
      <c r="J2182" s="27"/>
      <c r="K2182" s="27"/>
      <c r="L2182" s="27"/>
      <c r="M2182" s="28"/>
      <c r="N2182" s="28"/>
      <c r="O2182" s="27"/>
      <c r="P2182" s="27"/>
    </row>
    <row r="2183">
      <c r="A2183" s="33"/>
      <c r="B2183" s="34"/>
      <c r="C2183" s="34"/>
      <c r="D2183" s="34"/>
      <c r="E2183" s="27"/>
      <c r="F2183" s="27"/>
      <c r="G2183" s="27"/>
      <c r="H2183" s="27"/>
      <c r="I2183" s="27"/>
      <c r="J2183" s="27"/>
      <c r="K2183" s="27"/>
      <c r="L2183" s="27"/>
      <c r="M2183" s="28"/>
      <c r="N2183" s="28"/>
      <c r="O2183" s="27"/>
      <c r="P2183" s="27"/>
    </row>
    <row r="2184">
      <c r="A2184" s="33"/>
      <c r="B2184" s="34"/>
      <c r="C2184" s="34"/>
      <c r="D2184" s="34"/>
      <c r="E2184" s="27"/>
      <c r="F2184" s="27"/>
      <c r="G2184" s="27"/>
      <c r="H2184" s="27"/>
      <c r="I2184" s="27"/>
      <c r="J2184" s="27"/>
      <c r="K2184" s="27"/>
      <c r="L2184" s="27"/>
      <c r="M2184" s="28"/>
      <c r="N2184" s="28"/>
      <c r="O2184" s="27"/>
      <c r="P2184" s="27"/>
    </row>
    <row r="2185">
      <c r="A2185" s="33"/>
      <c r="B2185" s="34"/>
      <c r="C2185" s="34"/>
      <c r="D2185" s="34"/>
      <c r="E2185" s="27"/>
      <c r="F2185" s="27"/>
      <c r="G2185" s="27"/>
      <c r="H2185" s="27"/>
      <c r="I2185" s="27"/>
      <c r="J2185" s="27"/>
      <c r="K2185" s="27"/>
      <c r="L2185" s="27"/>
      <c r="M2185" s="28"/>
      <c r="N2185" s="28"/>
      <c r="O2185" s="27"/>
      <c r="P2185" s="27"/>
    </row>
    <row r="2186">
      <c r="A2186" s="33"/>
      <c r="B2186" s="34"/>
      <c r="C2186" s="34"/>
      <c r="D2186" s="34"/>
      <c r="E2186" s="27"/>
      <c r="F2186" s="27"/>
      <c r="G2186" s="27"/>
      <c r="H2186" s="27"/>
      <c r="I2186" s="27"/>
      <c r="J2186" s="27"/>
      <c r="K2186" s="27"/>
      <c r="L2186" s="27"/>
      <c r="M2186" s="28"/>
      <c r="N2186" s="28"/>
      <c r="O2186" s="27"/>
      <c r="P2186" s="27"/>
    </row>
    <row r="2187">
      <c r="A2187" s="33"/>
      <c r="B2187" s="34"/>
      <c r="C2187" s="34"/>
      <c r="D2187" s="34"/>
      <c r="E2187" s="27"/>
      <c r="F2187" s="27"/>
      <c r="G2187" s="27"/>
      <c r="H2187" s="27"/>
      <c r="I2187" s="27"/>
      <c r="J2187" s="27"/>
      <c r="K2187" s="27"/>
      <c r="L2187" s="27"/>
      <c r="M2187" s="28"/>
      <c r="N2187" s="28"/>
      <c r="O2187" s="27"/>
      <c r="P2187" s="27"/>
    </row>
    <row r="2188">
      <c r="A2188" s="33"/>
      <c r="B2188" s="34"/>
      <c r="C2188" s="34"/>
      <c r="D2188" s="34"/>
      <c r="E2188" s="27"/>
      <c r="F2188" s="27"/>
      <c r="G2188" s="27"/>
      <c r="H2188" s="27"/>
      <c r="I2188" s="27"/>
      <c r="J2188" s="27"/>
      <c r="K2188" s="27"/>
      <c r="L2188" s="27"/>
      <c r="M2188" s="28"/>
      <c r="N2188" s="28"/>
      <c r="O2188" s="27"/>
      <c r="P2188" s="27"/>
    </row>
    <row r="2189">
      <c r="A2189" s="33"/>
      <c r="B2189" s="34"/>
      <c r="C2189" s="34"/>
      <c r="D2189" s="34"/>
      <c r="E2189" s="27"/>
      <c r="F2189" s="27"/>
      <c r="G2189" s="27"/>
      <c r="H2189" s="27"/>
      <c r="I2189" s="27"/>
      <c r="J2189" s="27"/>
      <c r="K2189" s="27"/>
      <c r="L2189" s="27"/>
      <c r="M2189" s="28"/>
      <c r="N2189" s="28"/>
      <c r="O2189" s="27"/>
      <c r="P2189" s="27"/>
    </row>
    <row r="2190">
      <c r="A2190" s="33"/>
      <c r="B2190" s="34"/>
      <c r="C2190" s="34"/>
      <c r="D2190" s="34"/>
      <c r="E2190" s="27"/>
      <c r="F2190" s="27"/>
      <c r="G2190" s="27"/>
      <c r="H2190" s="27"/>
      <c r="I2190" s="27"/>
      <c r="J2190" s="27"/>
      <c r="K2190" s="27"/>
      <c r="L2190" s="27"/>
      <c r="M2190" s="28"/>
      <c r="N2190" s="28"/>
      <c r="O2190" s="27"/>
      <c r="P2190" s="27"/>
    </row>
    <row r="2191">
      <c r="A2191" s="33"/>
      <c r="B2191" s="34"/>
      <c r="C2191" s="34"/>
      <c r="D2191" s="34"/>
      <c r="E2191" s="27"/>
      <c r="F2191" s="27"/>
      <c r="G2191" s="27"/>
      <c r="H2191" s="27"/>
      <c r="I2191" s="27"/>
      <c r="J2191" s="27"/>
      <c r="K2191" s="27"/>
      <c r="L2191" s="27"/>
      <c r="M2191" s="28"/>
      <c r="N2191" s="28"/>
      <c r="O2191" s="27"/>
      <c r="P2191" s="27"/>
    </row>
    <row r="2192">
      <c r="A2192" s="33"/>
      <c r="B2192" s="34"/>
      <c r="C2192" s="34"/>
      <c r="D2192" s="34"/>
      <c r="E2192" s="27"/>
      <c r="F2192" s="27"/>
      <c r="G2192" s="27"/>
      <c r="H2192" s="27"/>
      <c r="I2192" s="27"/>
      <c r="J2192" s="27"/>
      <c r="K2192" s="27"/>
      <c r="L2192" s="27"/>
      <c r="M2192" s="28"/>
      <c r="N2192" s="28"/>
      <c r="O2192" s="27"/>
      <c r="P2192" s="27"/>
    </row>
    <row r="2193">
      <c r="A2193" s="33"/>
      <c r="B2193" s="34"/>
      <c r="C2193" s="34"/>
      <c r="D2193" s="34"/>
      <c r="E2193" s="27"/>
      <c r="F2193" s="27"/>
      <c r="G2193" s="27"/>
      <c r="H2193" s="27"/>
      <c r="I2193" s="27"/>
      <c r="J2193" s="27"/>
      <c r="K2193" s="27"/>
      <c r="L2193" s="27"/>
      <c r="M2193" s="28"/>
      <c r="N2193" s="28"/>
      <c r="O2193" s="27"/>
      <c r="P2193" s="27"/>
    </row>
    <row r="2194">
      <c r="A2194" s="33"/>
      <c r="B2194" s="34"/>
      <c r="C2194" s="34"/>
      <c r="D2194" s="34"/>
      <c r="E2194" s="27"/>
      <c r="F2194" s="27"/>
      <c r="G2194" s="27"/>
      <c r="H2194" s="27"/>
      <c r="I2194" s="27"/>
      <c r="J2194" s="27"/>
      <c r="K2194" s="27"/>
      <c r="L2194" s="27"/>
      <c r="M2194" s="28"/>
      <c r="N2194" s="28"/>
      <c r="O2194" s="27"/>
      <c r="P2194" s="27"/>
    </row>
    <row r="2195">
      <c r="A2195" s="33"/>
      <c r="B2195" s="34"/>
      <c r="C2195" s="34"/>
      <c r="D2195" s="34"/>
      <c r="E2195" s="27"/>
      <c r="F2195" s="27"/>
      <c r="G2195" s="27"/>
      <c r="H2195" s="27"/>
      <c r="I2195" s="27"/>
      <c r="J2195" s="27"/>
      <c r="K2195" s="27"/>
      <c r="L2195" s="27"/>
      <c r="M2195" s="28"/>
      <c r="N2195" s="28"/>
      <c r="O2195" s="27"/>
      <c r="P2195" s="27"/>
    </row>
    <row r="2196">
      <c r="A2196" s="33"/>
      <c r="B2196" s="34"/>
      <c r="C2196" s="34"/>
      <c r="D2196" s="34"/>
      <c r="E2196" s="27"/>
      <c r="F2196" s="27"/>
      <c r="G2196" s="27"/>
      <c r="H2196" s="27"/>
      <c r="I2196" s="27"/>
      <c r="J2196" s="27"/>
      <c r="K2196" s="27"/>
      <c r="L2196" s="27"/>
      <c r="M2196" s="28"/>
      <c r="N2196" s="28"/>
      <c r="O2196" s="27"/>
      <c r="P2196" s="27"/>
    </row>
    <row r="2197">
      <c r="A2197" s="33"/>
      <c r="B2197" s="34"/>
      <c r="C2197" s="34"/>
      <c r="D2197" s="34"/>
      <c r="E2197" s="27"/>
      <c r="F2197" s="27"/>
      <c r="G2197" s="27"/>
      <c r="H2197" s="27"/>
      <c r="I2197" s="27"/>
      <c r="J2197" s="27"/>
      <c r="K2197" s="27"/>
      <c r="L2197" s="27"/>
      <c r="M2197" s="28"/>
      <c r="N2197" s="28"/>
      <c r="O2197" s="27"/>
      <c r="P2197" s="27"/>
    </row>
    <row r="2198">
      <c r="A2198" s="33"/>
      <c r="B2198" s="34"/>
      <c r="C2198" s="34"/>
      <c r="D2198" s="34"/>
      <c r="E2198" s="27"/>
      <c r="F2198" s="27"/>
      <c r="G2198" s="27"/>
      <c r="H2198" s="27"/>
      <c r="I2198" s="27"/>
      <c r="J2198" s="27"/>
      <c r="K2198" s="27"/>
      <c r="L2198" s="27"/>
      <c r="M2198" s="28"/>
      <c r="N2198" s="28"/>
      <c r="O2198" s="27"/>
      <c r="P2198" s="27"/>
    </row>
    <row r="2199">
      <c r="A2199" s="33"/>
      <c r="B2199" s="34"/>
      <c r="C2199" s="34"/>
      <c r="D2199" s="34"/>
      <c r="E2199" s="27"/>
      <c r="F2199" s="27"/>
      <c r="G2199" s="27"/>
      <c r="H2199" s="27"/>
      <c r="I2199" s="27"/>
      <c r="J2199" s="27"/>
      <c r="K2199" s="27"/>
      <c r="L2199" s="27"/>
      <c r="M2199" s="28"/>
      <c r="N2199" s="28"/>
      <c r="O2199" s="27"/>
      <c r="P2199" s="27"/>
    </row>
    <row r="2200">
      <c r="A2200" s="33"/>
      <c r="B2200" s="34"/>
      <c r="C2200" s="34"/>
      <c r="D2200" s="34"/>
      <c r="E2200" s="27"/>
      <c r="F2200" s="27"/>
      <c r="G2200" s="27"/>
      <c r="H2200" s="27"/>
      <c r="I2200" s="27"/>
      <c r="J2200" s="27"/>
      <c r="K2200" s="27"/>
      <c r="L2200" s="27"/>
      <c r="M2200" s="28"/>
      <c r="N2200" s="28"/>
      <c r="O2200" s="27"/>
      <c r="P2200" s="27"/>
    </row>
    <row r="2201">
      <c r="A2201" s="33"/>
      <c r="B2201" s="34"/>
      <c r="C2201" s="34"/>
      <c r="D2201" s="34"/>
      <c r="E2201" s="27"/>
      <c r="F2201" s="27"/>
      <c r="G2201" s="27"/>
      <c r="H2201" s="27"/>
      <c r="I2201" s="27"/>
      <c r="J2201" s="27"/>
      <c r="K2201" s="27"/>
      <c r="L2201" s="27"/>
      <c r="M2201" s="28"/>
      <c r="N2201" s="28"/>
      <c r="O2201" s="27"/>
      <c r="P2201" s="27"/>
    </row>
    <row r="2202">
      <c r="A2202" s="33"/>
      <c r="B2202" s="34"/>
      <c r="C2202" s="34"/>
      <c r="D2202" s="34"/>
      <c r="E2202" s="27"/>
      <c r="F2202" s="27"/>
      <c r="G2202" s="27"/>
      <c r="H2202" s="27"/>
      <c r="I2202" s="27"/>
      <c r="J2202" s="27"/>
      <c r="K2202" s="27"/>
      <c r="L2202" s="27"/>
      <c r="M2202" s="28"/>
      <c r="N2202" s="28"/>
      <c r="O2202" s="27"/>
      <c r="P2202" s="27"/>
    </row>
    <row r="2203">
      <c r="A2203" s="33"/>
      <c r="B2203" s="34"/>
      <c r="C2203" s="34"/>
      <c r="D2203" s="34"/>
      <c r="E2203" s="27"/>
      <c r="F2203" s="27"/>
      <c r="G2203" s="27"/>
      <c r="H2203" s="27"/>
      <c r="I2203" s="27"/>
      <c r="J2203" s="27"/>
      <c r="K2203" s="27"/>
      <c r="L2203" s="27"/>
      <c r="M2203" s="28"/>
      <c r="N2203" s="28"/>
      <c r="O2203" s="27"/>
      <c r="P2203" s="27"/>
    </row>
    <row r="2204">
      <c r="A2204" s="33"/>
      <c r="B2204" s="34"/>
      <c r="C2204" s="34"/>
      <c r="D2204" s="34"/>
      <c r="E2204" s="27"/>
      <c r="F2204" s="27"/>
      <c r="G2204" s="27"/>
      <c r="H2204" s="27"/>
      <c r="I2204" s="27"/>
      <c r="J2204" s="27"/>
      <c r="K2204" s="27"/>
      <c r="L2204" s="27"/>
      <c r="M2204" s="28"/>
      <c r="N2204" s="28"/>
      <c r="O2204" s="27"/>
      <c r="P2204" s="27"/>
    </row>
    <row r="2205">
      <c r="A2205" s="33"/>
      <c r="B2205" s="34"/>
      <c r="C2205" s="34"/>
      <c r="D2205" s="34"/>
      <c r="E2205" s="27"/>
      <c r="F2205" s="27"/>
      <c r="G2205" s="27"/>
      <c r="H2205" s="27"/>
      <c r="I2205" s="27"/>
      <c r="J2205" s="27"/>
      <c r="K2205" s="27"/>
      <c r="L2205" s="27"/>
      <c r="M2205" s="28"/>
      <c r="N2205" s="28"/>
      <c r="O2205" s="27"/>
      <c r="P2205" s="27"/>
    </row>
    <row r="2206">
      <c r="A2206" s="33"/>
      <c r="B2206" s="34"/>
      <c r="C2206" s="34"/>
      <c r="D2206" s="34"/>
      <c r="E2206" s="27"/>
      <c r="F2206" s="27"/>
      <c r="G2206" s="27"/>
      <c r="H2206" s="27"/>
      <c r="I2206" s="27"/>
      <c r="J2206" s="27"/>
      <c r="K2206" s="27"/>
      <c r="L2206" s="27"/>
      <c r="M2206" s="28"/>
      <c r="N2206" s="28"/>
      <c r="O2206" s="27"/>
      <c r="P2206" s="27"/>
    </row>
    <row r="2207">
      <c r="A2207" s="33"/>
      <c r="B2207" s="34"/>
      <c r="C2207" s="34"/>
      <c r="D2207" s="34"/>
      <c r="E2207" s="27"/>
      <c r="F2207" s="27"/>
      <c r="G2207" s="27"/>
      <c r="H2207" s="27"/>
      <c r="I2207" s="27"/>
      <c r="J2207" s="27"/>
      <c r="K2207" s="27"/>
      <c r="L2207" s="27"/>
      <c r="M2207" s="28"/>
      <c r="N2207" s="28"/>
      <c r="O2207" s="27"/>
      <c r="P2207" s="27"/>
    </row>
    <row r="2208">
      <c r="A2208" s="33"/>
      <c r="B2208" s="34"/>
      <c r="C2208" s="34"/>
      <c r="D2208" s="34"/>
      <c r="E2208" s="27"/>
      <c r="F2208" s="27"/>
      <c r="G2208" s="27"/>
      <c r="H2208" s="27"/>
      <c r="I2208" s="27"/>
      <c r="J2208" s="27"/>
      <c r="K2208" s="27"/>
      <c r="L2208" s="27"/>
      <c r="M2208" s="28"/>
      <c r="N2208" s="28"/>
      <c r="O2208" s="27"/>
      <c r="P2208" s="27"/>
    </row>
    <row r="2209">
      <c r="A2209" s="33"/>
      <c r="B2209" s="34"/>
      <c r="C2209" s="34"/>
      <c r="D2209" s="34"/>
      <c r="E2209" s="27"/>
      <c r="F2209" s="27"/>
      <c r="G2209" s="27"/>
      <c r="H2209" s="27"/>
      <c r="I2209" s="27"/>
      <c r="J2209" s="27"/>
      <c r="K2209" s="27"/>
      <c r="L2209" s="27"/>
      <c r="M2209" s="28"/>
      <c r="N2209" s="28"/>
      <c r="O2209" s="27"/>
      <c r="P2209" s="27"/>
    </row>
    <row r="2210">
      <c r="A2210" s="33"/>
      <c r="B2210" s="34"/>
      <c r="C2210" s="34"/>
      <c r="D2210" s="34"/>
      <c r="E2210" s="27"/>
      <c r="F2210" s="27"/>
      <c r="G2210" s="27"/>
      <c r="H2210" s="27"/>
      <c r="I2210" s="27"/>
      <c r="J2210" s="27"/>
      <c r="K2210" s="27"/>
      <c r="L2210" s="27"/>
      <c r="M2210" s="28"/>
      <c r="N2210" s="28"/>
      <c r="O2210" s="27"/>
      <c r="P2210" s="27"/>
    </row>
    <row r="2211">
      <c r="A2211" s="33"/>
      <c r="B2211" s="34"/>
      <c r="C2211" s="34"/>
      <c r="D2211" s="34"/>
      <c r="E2211" s="27"/>
      <c r="F2211" s="27"/>
      <c r="G2211" s="27"/>
      <c r="H2211" s="27"/>
      <c r="I2211" s="27"/>
      <c r="J2211" s="27"/>
      <c r="K2211" s="27"/>
      <c r="L2211" s="27"/>
      <c r="M2211" s="28"/>
      <c r="N2211" s="28"/>
      <c r="O2211" s="27"/>
      <c r="P2211" s="27"/>
    </row>
    <row r="2212">
      <c r="A2212" s="33"/>
      <c r="B2212" s="34"/>
      <c r="C2212" s="34"/>
      <c r="D2212" s="34"/>
      <c r="E2212" s="27"/>
      <c r="F2212" s="27"/>
      <c r="G2212" s="27"/>
      <c r="H2212" s="27"/>
      <c r="I2212" s="27"/>
      <c r="J2212" s="27"/>
      <c r="K2212" s="27"/>
      <c r="L2212" s="27"/>
      <c r="M2212" s="28"/>
      <c r="N2212" s="28"/>
      <c r="O2212" s="27"/>
      <c r="P2212" s="27"/>
    </row>
    <row r="2213">
      <c r="A2213" s="33"/>
      <c r="B2213" s="34"/>
      <c r="C2213" s="34"/>
      <c r="D2213" s="34"/>
      <c r="E2213" s="27"/>
      <c r="F2213" s="27"/>
      <c r="G2213" s="27"/>
      <c r="H2213" s="27"/>
      <c r="I2213" s="27"/>
      <c r="J2213" s="27"/>
      <c r="K2213" s="27"/>
      <c r="L2213" s="27"/>
      <c r="M2213" s="28"/>
      <c r="N2213" s="28"/>
      <c r="O2213" s="27"/>
      <c r="P2213" s="27"/>
    </row>
    <row r="2214">
      <c r="A2214" s="33"/>
      <c r="B2214" s="34"/>
      <c r="C2214" s="34"/>
      <c r="D2214" s="34"/>
      <c r="E2214" s="27"/>
      <c r="F2214" s="27"/>
      <c r="G2214" s="27"/>
      <c r="H2214" s="27"/>
      <c r="I2214" s="27"/>
      <c r="J2214" s="27"/>
      <c r="K2214" s="27"/>
      <c r="L2214" s="27"/>
      <c r="M2214" s="28"/>
      <c r="N2214" s="28"/>
      <c r="O2214" s="27"/>
      <c r="P2214" s="27"/>
    </row>
    <row r="2215">
      <c r="A2215" s="33"/>
      <c r="B2215" s="34"/>
      <c r="C2215" s="34"/>
      <c r="D2215" s="34"/>
      <c r="E2215" s="27"/>
      <c r="F2215" s="27"/>
      <c r="G2215" s="27"/>
      <c r="H2215" s="27"/>
      <c r="I2215" s="27"/>
      <c r="J2215" s="27"/>
      <c r="K2215" s="27"/>
      <c r="L2215" s="27"/>
      <c r="M2215" s="28"/>
      <c r="N2215" s="28"/>
      <c r="O2215" s="27"/>
      <c r="P2215" s="27"/>
    </row>
    <row r="2216">
      <c r="A2216" s="33"/>
      <c r="B2216" s="34"/>
      <c r="C2216" s="34"/>
      <c r="D2216" s="34"/>
      <c r="E2216" s="27"/>
      <c r="F2216" s="27"/>
      <c r="G2216" s="27"/>
      <c r="H2216" s="27"/>
      <c r="I2216" s="27"/>
      <c r="J2216" s="27"/>
      <c r="K2216" s="27"/>
      <c r="L2216" s="27"/>
      <c r="M2216" s="28"/>
      <c r="N2216" s="28"/>
      <c r="O2216" s="27"/>
      <c r="P2216" s="27"/>
    </row>
    <row r="2217">
      <c r="A2217" s="33"/>
      <c r="B2217" s="34"/>
      <c r="C2217" s="34"/>
      <c r="D2217" s="34"/>
      <c r="E2217" s="27"/>
      <c r="F2217" s="27"/>
      <c r="G2217" s="27"/>
      <c r="H2217" s="27"/>
      <c r="I2217" s="27"/>
      <c r="J2217" s="27"/>
      <c r="K2217" s="27"/>
      <c r="L2217" s="27"/>
      <c r="M2217" s="28"/>
      <c r="N2217" s="28"/>
      <c r="O2217" s="27"/>
      <c r="P2217" s="27"/>
    </row>
    <row r="2218">
      <c r="A2218" s="33"/>
      <c r="B2218" s="34"/>
      <c r="C2218" s="34"/>
      <c r="D2218" s="34"/>
      <c r="E2218" s="27"/>
      <c r="F2218" s="27"/>
      <c r="G2218" s="27"/>
      <c r="H2218" s="27"/>
      <c r="I2218" s="27"/>
      <c r="J2218" s="27"/>
      <c r="K2218" s="27"/>
      <c r="L2218" s="27"/>
      <c r="M2218" s="28"/>
      <c r="N2218" s="28"/>
      <c r="O2218" s="27"/>
      <c r="P2218" s="27"/>
    </row>
    <row r="2219">
      <c r="A2219" s="33"/>
      <c r="B2219" s="34"/>
      <c r="C2219" s="34"/>
      <c r="D2219" s="34"/>
      <c r="E2219" s="27"/>
      <c r="F2219" s="27"/>
      <c r="G2219" s="27"/>
      <c r="H2219" s="27"/>
      <c r="I2219" s="27"/>
      <c r="J2219" s="27"/>
      <c r="K2219" s="27"/>
      <c r="L2219" s="27"/>
      <c r="M2219" s="28"/>
      <c r="N2219" s="28"/>
      <c r="O2219" s="27"/>
      <c r="P2219" s="27"/>
    </row>
    <row r="2220">
      <c r="A2220" s="33"/>
      <c r="B2220" s="34"/>
      <c r="C2220" s="34"/>
      <c r="D2220" s="34"/>
      <c r="E2220" s="27"/>
      <c r="F2220" s="27"/>
      <c r="G2220" s="27"/>
      <c r="H2220" s="27"/>
      <c r="I2220" s="27"/>
      <c r="J2220" s="27"/>
      <c r="K2220" s="27"/>
      <c r="L2220" s="27"/>
      <c r="M2220" s="28"/>
      <c r="N2220" s="28"/>
      <c r="O2220" s="27"/>
      <c r="P2220" s="27"/>
    </row>
    <row r="2221">
      <c r="A2221" s="33"/>
      <c r="B2221" s="34"/>
      <c r="C2221" s="34"/>
      <c r="D2221" s="34"/>
      <c r="E2221" s="27"/>
      <c r="F2221" s="27"/>
      <c r="G2221" s="27"/>
      <c r="H2221" s="27"/>
      <c r="I2221" s="27"/>
      <c r="J2221" s="27"/>
      <c r="K2221" s="27"/>
      <c r="L2221" s="27"/>
      <c r="M2221" s="28"/>
      <c r="N2221" s="28"/>
      <c r="O2221" s="27"/>
      <c r="P2221" s="27"/>
    </row>
    <row r="2222">
      <c r="A2222" s="33"/>
      <c r="B2222" s="34"/>
      <c r="C2222" s="34"/>
      <c r="D2222" s="34"/>
      <c r="E2222" s="27"/>
      <c r="F2222" s="27"/>
      <c r="G2222" s="27"/>
      <c r="H2222" s="27"/>
      <c r="I2222" s="27"/>
      <c r="J2222" s="27"/>
      <c r="K2222" s="27"/>
      <c r="L2222" s="27"/>
      <c r="M2222" s="28"/>
      <c r="N2222" s="28"/>
      <c r="O2222" s="27"/>
      <c r="P2222" s="27"/>
    </row>
    <row r="2223">
      <c r="A2223" s="33"/>
      <c r="B2223" s="34"/>
      <c r="C2223" s="34"/>
      <c r="D2223" s="34"/>
      <c r="E2223" s="27"/>
      <c r="F2223" s="27"/>
      <c r="G2223" s="27"/>
      <c r="H2223" s="27"/>
      <c r="I2223" s="27"/>
      <c r="J2223" s="27"/>
      <c r="K2223" s="27"/>
      <c r="L2223" s="27"/>
      <c r="M2223" s="28"/>
      <c r="N2223" s="28"/>
      <c r="O2223" s="27"/>
      <c r="P2223" s="27"/>
    </row>
    <row r="2224">
      <c r="A2224" s="33"/>
      <c r="B2224" s="34"/>
      <c r="C2224" s="34"/>
      <c r="D2224" s="34"/>
      <c r="E2224" s="27"/>
      <c r="F2224" s="27"/>
      <c r="G2224" s="27"/>
      <c r="H2224" s="27"/>
      <c r="I2224" s="27"/>
      <c r="J2224" s="27"/>
      <c r="K2224" s="27"/>
      <c r="L2224" s="27"/>
      <c r="M2224" s="28"/>
      <c r="N2224" s="28"/>
      <c r="O2224" s="27"/>
      <c r="P2224" s="27"/>
    </row>
    <row r="2225">
      <c r="A2225" s="33"/>
      <c r="B2225" s="34"/>
      <c r="C2225" s="34"/>
      <c r="D2225" s="34"/>
      <c r="E2225" s="27"/>
      <c r="F2225" s="27"/>
      <c r="G2225" s="27"/>
      <c r="H2225" s="27"/>
      <c r="I2225" s="27"/>
      <c r="J2225" s="27"/>
      <c r="K2225" s="27"/>
      <c r="L2225" s="27"/>
      <c r="M2225" s="28"/>
      <c r="N2225" s="28"/>
      <c r="O2225" s="27"/>
      <c r="P2225" s="27"/>
    </row>
    <row r="2226">
      <c r="A2226" s="33"/>
      <c r="B2226" s="34"/>
      <c r="C2226" s="34"/>
      <c r="D2226" s="34"/>
      <c r="E2226" s="27"/>
      <c r="F2226" s="27"/>
      <c r="G2226" s="27"/>
      <c r="H2226" s="27"/>
      <c r="I2226" s="27"/>
      <c r="J2226" s="27"/>
      <c r="K2226" s="27"/>
      <c r="L2226" s="27"/>
      <c r="M2226" s="28"/>
      <c r="N2226" s="28"/>
      <c r="O2226" s="27"/>
      <c r="P2226" s="27"/>
    </row>
    <row r="2227">
      <c r="A2227" s="33"/>
      <c r="B2227" s="34"/>
      <c r="C2227" s="34"/>
      <c r="D2227" s="34"/>
      <c r="E2227" s="27"/>
      <c r="F2227" s="27"/>
      <c r="G2227" s="27"/>
      <c r="H2227" s="27"/>
      <c r="I2227" s="27"/>
      <c r="J2227" s="27"/>
      <c r="K2227" s="27"/>
      <c r="L2227" s="27"/>
      <c r="M2227" s="28"/>
      <c r="N2227" s="28"/>
      <c r="O2227" s="27"/>
      <c r="P2227" s="27"/>
    </row>
    <row r="2228">
      <c r="A2228" s="33"/>
      <c r="B2228" s="34"/>
      <c r="C2228" s="34"/>
      <c r="D2228" s="34"/>
      <c r="E2228" s="27"/>
      <c r="F2228" s="27"/>
      <c r="G2228" s="27"/>
      <c r="H2228" s="27"/>
      <c r="I2228" s="27"/>
      <c r="J2228" s="27"/>
      <c r="K2228" s="27"/>
      <c r="L2228" s="27"/>
      <c r="M2228" s="28"/>
      <c r="N2228" s="28"/>
      <c r="O2228" s="27"/>
      <c r="P2228" s="27"/>
    </row>
    <row r="2229">
      <c r="A2229" s="33"/>
      <c r="B2229" s="34"/>
      <c r="C2229" s="34"/>
      <c r="D2229" s="34"/>
      <c r="E2229" s="27"/>
      <c r="F2229" s="27"/>
      <c r="G2229" s="27"/>
      <c r="H2229" s="27"/>
      <c r="I2229" s="27"/>
      <c r="J2229" s="27"/>
      <c r="K2229" s="27"/>
      <c r="L2229" s="27"/>
      <c r="M2229" s="28"/>
      <c r="N2229" s="28"/>
      <c r="O2229" s="27"/>
      <c r="P2229" s="27"/>
    </row>
    <row r="2230">
      <c r="A2230" s="33"/>
      <c r="B2230" s="34"/>
      <c r="C2230" s="34"/>
      <c r="D2230" s="34"/>
      <c r="E2230" s="27"/>
      <c r="F2230" s="27"/>
      <c r="G2230" s="27"/>
      <c r="H2230" s="27"/>
      <c r="I2230" s="27"/>
      <c r="J2230" s="27"/>
      <c r="K2230" s="27"/>
      <c r="L2230" s="27"/>
      <c r="M2230" s="28"/>
      <c r="N2230" s="28"/>
      <c r="O2230" s="27"/>
      <c r="P2230" s="27"/>
    </row>
    <row r="2231">
      <c r="A2231" s="33"/>
      <c r="B2231" s="34"/>
      <c r="C2231" s="34"/>
      <c r="D2231" s="34"/>
      <c r="E2231" s="27"/>
      <c r="F2231" s="27"/>
      <c r="G2231" s="27"/>
      <c r="H2231" s="27"/>
      <c r="I2231" s="27"/>
      <c r="J2231" s="27"/>
      <c r="K2231" s="27"/>
      <c r="L2231" s="27"/>
      <c r="M2231" s="28"/>
      <c r="N2231" s="28"/>
      <c r="O2231" s="27"/>
      <c r="P2231" s="27"/>
    </row>
    <row r="2232">
      <c r="A2232" s="33"/>
      <c r="B2232" s="34"/>
      <c r="C2232" s="34"/>
      <c r="D2232" s="34"/>
      <c r="E2232" s="27"/>
      <c r="F2232" s="27"/>
      <c r="G2232" s="27"/>
      <c r="H2232" s="27"/>
      <c r="I2232" s="27"/>
      <c r="J2232" s="27"/>
      <c r="K2232" s="27"/>
      <c r="L2232" s="27"/>
      <c r="M2232" s="28"/>
      <c r="N2232" s="28"/>
      <c r="O2232" s="27"/>
      <c r="P2232" s="27"/>
    </row>
    <row r="2233">
      <c r="A2233" s="33"/>
      <c r="B2233" s="34"/>
      <c r="C2233" s="34"/>
      <c r="D2233" s="34"/>
      <c r="E2233" s="27"/>
      <c r="F2233" s="27"/>
      <c r="G2233" s="27"/>
      <c r="H2233" s="27"/>
      <c r="I2233" s="27"/>
      <c r="J2233" s="27"/>
      <c r="K2233" s="27"/>
      <c r="L2233" s="27"/>
      <c r="M2233" s="28"/>
      <c r="N2233" s="28"/>
      <c r="O2233" s="27"/>
      <c r="P2233" s="27"/>
    </row>
    <row r="2234">
      <c r="A2234" s="33"/>
      <c r="B2234" s="34"/>
      <c r="C2234" s="34"/>
      <c r="D2234" s="34"/>
      <c r="E2234" s="27"/>
      <c r="F2234" s="27"/>
      <c r="G2234" s="27"/>
      <c r="H2234" s="27"/>
      <c r="I2234" s="27"/>
      <c r="J2234" s="27"/>
      <c r="K2234" s="27"/>
      <c r="L2234" s="27"/>
      <c r="M2234" s="28"/>
      <c r="N2234" s="28"/>
      <c r="O2234" s="27"/>
      <c r="P2234" s="27"/>
    </row>
    <row r="2235">
      <c r="A2235" s="33"/>
      <c r="B2235" s="34"/>
      <c r="C2235" s="34"/>
      <c r="D2235" s="34"/>
      <c r="E2235" s="27"/>
      <c r="F2235" s="27"/>
      <c r="G2235" s="27"/>
      <c r="H2235" s="27"/>
      <c r="I2235" s="27"/>
      <c r="J2235" s="27"/>
      <c r="K2235" s="27"/>
      <c r="L2235" s="27"/>
      <c r="M2235" s="28"/>
      <c r="N2235" s="28"/>
      <c r="O2235" s="27"/>
      <c r="P2235" s="27"/>
    </row>
    <row r="2236">
      <c r="A2236" s="33"/>
      <c r="B2236" s="34"/>
      <c r="C2236" s="34"/>
      <c r="D2236" s="34"/>
      <c r="E2236" s="27"/>
      <c r="F2236" s="27"/>
      <c r="G2236" s="27"/>
      <c r="H2236" s="27"/>
      <c r="I2236" s="27"/>
      <c r="J2236" s="27"/>
      <c r="K2236" s="27"/>
      <c r="L2236" s="27"/>
      <c r="M2236" s="28"/>
      <c r="N2236" s="28"/>
      <c r="O2236" s="27"/>
      <c r="P2236" s="27"/>
    </row>
    <row r="2237">
      <c r="A2237" s="33"/>
      <c r="B2237" s="34"/>
      <c r="C2237" s="34"/>
      <c r="D2237" s="34"/>
      <c r="E2237" s="27"/>
      <c r="F2237" s="27"/>
      <c r="G2237" s="27"/>
      <c r="H2237" s="27"/>
      <c r="I2237" s="27"/>
      <c r="J2237" s="27"/>
      <c r="K2237" s="27"/>
      <c r="L2237" s="27"/>
      <c r="M2237" s="28"/>
      <c r="N2237" s="28"/>
      <c r="O2237" s="27"/>
      <c r="P2237" s="27"/>
    </row>
    <row r="2238">
      <c r="A2238" s="33"/>
      <c r="B2238" s="34"/>
      <c r="C2238" s="34"/>
      <c r="D2238" s="34"/>
      <c r="E2238" s="27"/>
      <c r="F2238" s="27"/>
      <c r="G2238" s="27"/>
      <c r="H2238" s="27"/>
      <c r="I2238" s="27"/>
      <c r="J2238" s="27"/>
      <c r="K2238" s="27"/>
      <c r="L2238" s="27"/>
      <c r="M2238" s="28"/>
      <c r="N2238" s="28"/>
      <c r="O2238" s="27"/>
      <c r="P2238" s="27"/>
    </row>
    <row r="2239">
      <c r="A2239" s="33"/>
      <c r="B2239" s="34"/>
      <c r="C2239" s="34"/>
      <c r="D2239" s="34"/>
      <c r="E2239" s="27"/>
      <c r="F2239" s="27"/>
      <c r="G2239" s="27"/>
      <c r="H2239" s="27"/>
      <c r="I2239" s="27"/>
      <c r="J2239" s="27"/>
      <c r="K2239" s="27"/>
      <c r="L2239" s="27"/>
      <c r="M2239" s="28"/>
      <c r="N2239" s="28"/>
      <c r="O2239" s="27"/>
      <c r="P2239" s="27"/>
    </row>
    <row r="2240">
      <c r="A2240" s="33"/>
      <c r="B2240" s="34"/>
      <c r="C2240" s="34"/>
      <c r="D2240" s="34"/>
      <c r="E2240" s="27"/>
      <c r="F2240" s="27"/>
      <c r="G2240" s="27"/>
      <c r="H2240" s="27"/>
      <c r="I2240" s="27"/>
      <c r="J2240" s="27"/>
      <c r="K2240" s="27"/>
      <c r="L2240" s="27"/>
      <c r="M2240" s="28"/>
      <c r="N2240" s="28"/>
      <c r="O2240" s="27"/>
      <c r="P2240" s="27"/>
    </row>
    <row r="2241">
      <c r="A2241" s="33"/>
      <c r="B2241" s="34"/>
      <c r="C2241" s="34"/>
      <c r="D2241" s="34"/>
      <c r="E2241" s="27"/>
      <c r="F2241" s="27"/>
      <c r="G2241" s="27"/>
      <c r="H2241" s="27"/>
      <c r="I2241" s="27"/>
      <c r="J2241" s="27"/>
      <c r="K2241" s="27"/>
      <c r="L2241" s="27"/>
      <c r="M2241" s="28"/>
      <c r="N2241" s="28"/>
      <c r="O2241" s="27"/>
      <c r="P2241" s="27"/>
    </row>
    <row r="2242">
      <c r="A2242" s="33"/>
      <c r="B2242" s="34"/>
      <c r="C2242" s="34"/>
      <c r="D2242" s="34"/>
      <c r="E2242" s="27"/>
      <c r="F2242" s="27"/>
      <c r="G2242" s="27"/>
      <c r="H2242" s="27"/>
      <c r="I2242" s="27"/>
      <c r="J2242" s="27"/>
      <c r="K2242" s="27"/>
      <c r="L2242" s="27"/>
      <c r="M2242" s="28"/>
      <c r="N2242" s="28"/>
      <c r="O2242" s="27"/>
      <c r="P2242" s="27"/>
    </row>
    <row r="2243">
      <c r="A2243" s="33"/>
      <c r="B2243" s="34"/>
      <c r="C2243" s="34"/>
      <c r="D2243" s="34"/>
      <c r="E2243" s="27"/>
      <c r="F2243" s="27"/>
      <c r="G2243" s="27"/>
      <c r="H2243" s="27"/>
      <c r="I2243" s="27"/>
      <c r="J2243" s="27"/>
      <c r="K2243" s="27"/>
      <c r="L2243" s="27"/>
      <c r="M2243" s="28"/>
      <c r="N2243" s="28"/>
      <c r="O2243" s="27"/>
      <c r="P2243" s="27"/>
    </row>
    <row r="2244">
      <c r="A2244" s="33"/>
      <c r="B2244" s="34"/>
      <c r="C2244" s="34"/>
      <c r="D2244" s="34"/>
      <c r="E2244" s="27"/>
      <c r="F2244" s="27"/>
      <c r="G2244" s="27"/>
      <c r="H2244" s="27"/>
      <c r="I2244" s="27"/>
      <c r="J2244" s="27"/>
      <c r="K2244" s="27"/>
      <c r="L2244" s="27"/>
      <c r="M2244" s="28"/>
      <c r="N2244" s="28"/>
      <c r="O2244" s="27"/>
      <c r="P2244" s="27"/>
    </row>
    <row r="2245">
      <c r="A2245" s="33"/>
      <c r="B2245" s="34"/>
      <c r="C2245" s="34"/>
      <c r="D2245" s="34"/>
      <c r="E2245" s="27"/>
      <c r="F2245" s="27"/>
      <c r="G2245" s="27"/>
      <c r="H2245" s="27"/>
      <c r="I2245" s="27"/>
      <c r="J2245" s="27"/>
      <c r="K2245" s="27"/>
      <c r="L2245" s="27"/>
      <c r="M2245" s="28"/>
      <c r="N2245" s="28"/>
      <c r="O2245" s="27"/>
      <c r="P2245" s="27"/>
    </row>
    <row r="2246">
      <c r="A2246" s="33"/>
      <c r="B2246" s="34"/>
      <c r="C2246" s="34"/>
      <c r="D2246" s="34"/>
      <c r="E2246" s="27"/>
      <c r="F2246" s="27"/>
      <c r="G2246" s="27"/>
      <c r="H2246" s="27"/>
      <c r="I2246" s="27"/>
      <c r="J2246" s="27"/>
      <c r="K2246" s="27"/>
      <c r="L2246" s="27"/>
      <c r="M2246" s="28"/>
      <c r="N2246" s="28"/>
      <c r="O2246" s="27"/>
      <c r="P2246" s="27"/>
    </row>
    <row r="2247">
      <c r="A2247" s="33"/>
      <c r="B2247" s="34"/>
      <c r="C2247" s="34"/>
      <c r="D2247" s="34"/>
      <c r="E2247" s="27"/>
      <c r="F2247" s="27"/>
      <c r="G2247" s="27"/>
      <c r="H2247" s="27"/>
      <c r="I2247" s="27"/>
      <c r="J2247" s="27"/>
      <c r="K2247" s="27"/>
      <c r="L2247" s="27"/>
      <c r="M2247" s="28"/>
      <c r="N2247" s="28"/>
      <c r="O2247" s="27"/>
      <c r="P2247" s="27"/>
    </row>
    <row r="2248">
      <c r="A2248" s="33"/>
      <c r="B2248" s="34"/>
      <c r="C2248" s="34"/>
      <c r="D2248" s="34"/>
      <c r="E2248" s="27"/>
      <c r="F2248" s="27"/>
      <c r="G2248" s="27"/>
      <c r="H2248" s="27"/>
      <c r="I2248" s="27"/>
      <c r="J2248" s="27"/>
      <c r="K2248" s="27"/>
      <c r="L2248" s="27"/>
      <c r="M2248" s="28"/>
      <c r="N2248" s="28"/>
      <c r="O2248" s="27"/>
      <c r="P2248" s="27"/>
    </row>
    <row r="2249">
      <c r="A2249" s="33"/>
      <c r="B2249" s="34"/>
      <c r="C2249" s="34"/>
      <c r="D2249" s="34"/>
      <c r="E2249" s="27"/>
      <c r="F2249" s="27"/>
      <c r="G2249" s="27"/>
      <c r="H2249" s="27"/>
      <c r="I2249" s="27"/>
      <c r="J2249" s="27"/>
      <c r="K2249" s="27"/>
      <c r="L2249" s="27"/>
      <c r="M2249" s="28"/>
      <c r="N2249" s="28"/>
      <c r="O2249" s="27"/>
      <c r="P2249" s="27"/>
    </row>
    <row r="2250">
      <c r="A2250" s="33"/>
      <c r="B2250" s="34"/>
      <c r="C2250" s="34"/>
      <c r="D2250" s="34"/>
      <c r="E2250" s="27"/>
      <c r="F2250" s="27"/>
      <c r="G2250" s="27"/>
      <c r="H2250" s="27"/>
      <c r="I2250" s="27"/>
      <c r="J2250" s="27"/>
      <c r="K2250" s="27"/>
      <c r="L2250" s="27"/>
      <c r="M2250" s="28"/>
      <c r="N2250" s="28"/>
      <c r="O2250" s="27"/>
      <c r="P2250" s="27"/>
    </row>
    <row r="2251">
      <c r="A2251" s="33"/>
      <c r="B2251" s="34"/>
      <c r="C2251" s="34"/>
      <c r="D2251" s="34"/>
      <c r="E2251" s="27"/>
      <c r="F2251" s="27"/>
      <c r="G2251" s="27"/>
      <c r="H2251" s="27"/>
      <c r="I2251" s="27"/>
      <c r="J2251" s="27"/>
      <c r="K2251" s="27"/>
      <c r="L2251" s="27"/>
      <c r="M2251" s="28"/>
      <c r="N2251" s="28"/>
      <c r="O2251" s="27"/>
      <c r="P2251" s="27"/>
    </row>
    <row r="2252">
      <c r="A2252" s="33"/>
      <c r="B2252" s="34"/>
      <c r="C2252" s="34"/>
      <c r="D2252" s="34"/>
      <c r="E2252" s="27"/>
      <c r="F2252" s="27"/>
      <c r="G2252" s="27"/>
      <c r="H2252" s="27"/>
      <c r="I2252" s="27"/>
      <c r="J2252" s="27"/>
      <c r="K2252" s="27"/>
      <c r="L2252" s="27"/>
      <c r="M2252" s="28"/>
      <c r="N2252" s="28"/>
      <c r="O2252" s="27"/>
      <c r="P2252" s="27"/>
    </row>
    <row r="2253">
      <c r="A2253" s="33"/>
      <c r="B2253" s="34"/>
      <c r="C2253" s="34"/>
      <c r="D2253" s="34"/>
      <c r="E2253" s="27"/>
      <c r="F2253" s="27"/>
      <c r="G2253" s="27"/>
      <c r="H2253" s="27"/>
      <c r="I2253" s="27"/>
      <c r="J2253" s="27"/>
      <c r="K2253" s="27"/>
      <c r="L2253" s="27"/>
      <c r="M2253" s="28"/>
      <c r="N2253" s="28"/>
      <c r="O2253" s="27"/>
      <c r="P2253" s="27"/>
    </row>
    <row r="2254">
      <c r="A2254" s="33"/>
      <c r="B2254" s="34"/>
      <c r="C2254" s="34"/>
      <c r="D2254" s="34"/>
      <c r="E2254" s="27"/>
      <c r="F2254" s="27"/>
      <c r="G2254" s="27"/>
      <c r="H2254" s="27"/>
      <c r="I2254" s="27"/>
      <c r="J2254" s="27"/>
      <c r="K2254" s="27"/>
      <c r="L2254" s="27"/>
      <c r="M2254" s="28"/>
      <c r="N2254" s="28"/>
      <c r="O2254" s="27"/>
      <c r="P2254" s="27"/>
    </row>
    <row r="2255">
      <c r="A2255" s="33"/>
      <c r="B2255" s="34"/>
      <c r="C2255" s="34"/>
      <c r="D2255" s="34"/>
      <c r="E2255" s="27"/>
      <c r="F2255" s="27"/>
      <c r="G2255" s="27"/>
      <c r="H2255" s="27"/>
      <c r="I2255" s="27"/>
      <c r="J2255" s="27"/>
      <c r="K2255" s="27"/>
      <c r="L2255" s="27"/>
      <c r="M2255" s="28"/>
      <c r="N2255" s="28"/>
      <c r="O2255" s="27"/>
      <c r="P2255" s="27"/>
    </row>
    <row r="2256">
      <c r="A2256" s="33"/>
      <c r="B2256" s="34"/>
      <c r="C2256" s="34"/>
      <c r="D2256" s="34"/>
      <c r="E2256" s="27"/>
      <c r="F2256" s="27"/>
      <c r="G2256" s="27"/>
      <c r="H2256" s="27"/>
      <c r="I2256" s="27"/>
      <c r="J2256" s="27"/>
      <c r="K2256" s="27"/>
      <c r="L2256" s="27"/>
      <c r="M2256" s="28"/>
      <c r="N2256" s="28"/>
      <c r="O2256" s="27"/>
      <c r="P2256" s="27"/>
    </row>
    <row r="2257">
      <c r="A2257" s="33"/>
      <c r="B2257" s="34"/>
      <c r="C2257" s="34"/>
      <c r="D2257" s="34"/>
      <c r="E2257" s="27"/>
      <c r="F2257" s="27"/>
      <c r="G2257" s="27"/>
      <c r="H2257" s="27"/>
      <c r="I2257" s="27"/>
      <c r="J2257" s="27"/>
      <c r="K2257" s="27"/>
      <c r="L2257" s="27"/>
      <c r="M2257" s="28"/>
      <c r="N2257" s="28"/>
      <c r="O2257" s="27"/>
      <c r="P2257" s="27"/>
    </row>
    <row r="2258">
      <c r="A2258" s="33"/>
      <c r="B2258" s="34"/>
      <c r="C2258" s="34"/>
      <c r="D2258" s="34"/>
      <c r="E2258" s="27"/>
      <c r="F2258" s="27"/>
      <c r="G2258" s="27"/>
      <c r="H2258" s="27"/>
      <c r="I2258" s="27"/>
      <c r="J2258" s="27"/>
      <c r="K2258" s="27"/>
      <c r="L2258" s="27"/>
      <c r="M2258" s="28"/>
      <c r="N2258" s="28"/>
      <c r="O2258" s="27"/>
      <c r="P2258" s="27"/>
    </row>
    <row r="2259">
      <c r="A2259" s="33"/>
      <c r="B2259" s="34"/>
      <c r="C2259" s="34"/>
      <c r="D2259" s="34"/>
      <c r="E2259" s="27"/>
      <c r="F2259" s="27"/>
      <c r="G2259" s="27"/>
      <c r="H2259" s="27"/>
      <c r="I2259" s="27"/>
      <c r="J2259" s="27"/>
      <c r="K2259" s="27"/>
      <c r="L2259" s="27"/>
      <c r="M2259" s="28"/>
      <c r="N2259" s="28"/>
      <c r="O2259" s="27"/>
      <c r="P2259" s="27"/>
    </row>
    <row r="2260">
      <c r="A2260" s="33"/>
      <c r="B2260" s="34"/>
      <c r="C2260" s="34"/>
      <c r="D2260" s="34"/>
      <c r="E2260" s="27"/>
      <c r="F2260" s="27"/>
      <c r="G2260" s="27"/>
      <c r="H2260" s="27"/>
      <c r="I2260" s="27"/>
      <c r="J2260" s="27"/>
      <c r="K2260" s="27"/>
      <c r="L2260" s="27"/>
      <c r="M2260" s="28"/>
      <c r="N2260" s="28"/>
      <c r="O2260" s="27"/>
      <c r="P2260" s="27"/>
    </row>
    <row r="2261">
      <c r="A2261" s="33"/>
      <c r="B2261" s="34"/>
      <c r="C2261" s="34"/>
      <c r="D2261" s="34"/>
      <c r="E2261" s="27"/>
      <c r="F2261" s="27"/>
      <c r="G2261" s="27"/>
      <c r="H2261" s="27"/>
      <c r="I2261" s="27"/>
      <c r="J2261" s="27"/>
      <c r="K2261" s="27"/>
      <c r="L2261" s="27"/>
      <c r="M2261" s="28"/>
      <c r="N2261" s="28"/>
      <c r="O2261" s="27"/>
      <c r="P2261" s="27"/>
    </row>
    <row r="2262">
      <c r="A2262" s="33"/>
      <c r="B2262" s="34"/>
      <c r="C2262" s="34"/>
      <c r="D2262" s="34"/>
      <c r="E2262" s="27"/>
      <c r="F2262" s="27"/>
      <c r="G2262" s="27"/>
      <c r="H2262" s="27"/>
      <c r="I2262" s="27"/>
      <c r="J2262" s="27"/>
      <c r="K2262" s="27"/>
      <c r="L2262" s="27"/>
      <c r="M2262" s="28"/>
      <c r="N2262" s="28"/>
      <c r="O2262" s="27"/>
      <c r="P2262" s="27"/>
    </row>
    <row r="2263">
      <c r="A2263" s="33"/>
      <c r="B2263" s="34"/>
      <c r="C2263" s="34"/>
      <c r="D2263" s="34"/>
      <c r="E2263" s="27"/>
      <c r="F2263" s="27"/>
      <c r="G2263" s="27"/>
      <c r="H2263" s="27"/>
      <c r="I2263" s="27"/>
      <c r="J2263" s="27"/>
      <c r="K2263" s="27"/>
      <c r="L2263" s="27"/>
      <c r="M2263" s="28"/>
      <c r="N2263" s="28"/>
      <c r="O2263" s="27"/>
      <c r="P2263" s="27"/>
    </row>
    <row r="2264">
      <c r="A2264" s="33"/>
      <c r="B2264" s="34"/>
      <c r="C2264" s="34"/>
      <c r="D2264" s="34"/>
      <c r="E2264" s="27"/>
      <c r="F2264" s="27"/>
      <c r="G2264" s="27"/>
      <c r="H2264" s="27"/>
      <c r="I2264" s="27"/>
      <c r="J2264" s="27"/>
      <c r="K2264" s="27"/>
      <c r="L2264" s="27"/>
      <c r="M2264" s="28"/>
      <c r="N2264" s="28"/>
      <c r="O2264" s="27"/>
      <c r="P2264" s="27"/>
    </row>
    <row r="2265">
      <c r="A2265" s="33"/>
      <c r="B2265" s="34"/>
      <c r="C2265" s="34"/>
      <c r="D2265" s="34"/>
      <c r="E2265" s="27"/>
      <c r="F2265" s="27"/>
      <c r="G2265" s="27"/>
      <c r="H2265" s="27"/>
      <c r="I2265" s="27"/>
      <c r="J2265" s="27"/>
      <c r="K2265" s="27"/>
      <c r="L2265" s="27"/>
      <c r="M2265" s="28"/>
      <c r="N2265" s="28"/>
      <c r="O2265" s="27"/>
      <c r="P2265" s="27"/>
    </row>
    <row r="2266">
      <c r="A2266" s="33"/>
      <c r="B2266" s="34"/>
      <c r="C2266" s="34"/>
      <c r="D2266" s="34"/>
      <c r="E2266" s="27"/>
      <c r="F2266" s="27"/>
      <c r="G2266" s="27"/>
      <c r="H2266" s="27"/>
      <c r="I2266" s="27"/>
      <c r="J2266" s="27"/>
      <c r="K2266" s="27"/>
      <c r="L2266" s="27"/>
      <c r="M2266" s="28"/>
      <c r="N2266" s="28"/>
      <c r="O2266" s="27"/>
      <c r="P2266" s="27"/>
    </row>
    <row r="2267">
      <c r="A2267" s="33"/>
      <c r="B2267" s="34"/>
      <c r="C2267" s="34"/>
      <c r="D2267" s="34"/>
      <c r="E2267" s="27"/>
      <c r="F2267" s="27"/>
      <c r="G2267" s="27"/>
      <c r="H2267" s="27"/>
      <c r="I2267" s="27"/>
      <c r="J2267" s="27"/>
      <c r="K2267" s="27"/>
      <c r="L2267" s="27"/>
      <c r="M2267" s="28"/>
      <c r="N2267" s="28"/>
      <c r="O2267" s="27"/>
      <c r="P2267" s="27"/>
    </row>
    <row r="2268">
      <c r="A2268" s="33"/>
      <c r="B2268" s="34"/>
      <c r="C2268" s="34"/>
      <c r="D2268" s="34"/>
      <c r="E2268" s="27"/>
      <c r="F2268" s="27"/>
      <c r="G2268" s="27"/>
      <c r="H2268" s="27"/>
      <c r="I2268" s="27"/>
      <c r="J2268" s="27"/>
      <c r="K2268" s="27"/>
      <c r="L2268" s="27"/>
      <c r="M2268" s="28"/>
      <c r="N2268" s="28"/>
      <c r="O2268" s="27"/>
      <c r="P2268" s="27"/>
    </row>
    <row r="2269">
      <c r="A2269" s="33"/>
      <c r="B2269" s="34"/>
      <c r="C2269" s="34"/>
      <c r="D2269" s="34"/>
      <c r="E2269" s="27"/>
      <c r="F2269" s="27"/>
      <c r="G2269" s="27"/>
      <c r="H2269" s="27"/>
      <c r="I2269" s="27"/>
      <c r="J2269" s="27"/>
      <c r="K2269" s="27"/>
      <c r="L2269" s="27"/>
      <c r="M2269" s="28"/>
      <c r="N2269" s="28"/>
      <c r="O2269" s="27"/>
      <c r="P2269" s="27"/>
    </row>
    <row r="2270">
      <c r="A2270" s="33"/>
      <c r="B2270" s="34"/>
      <c r="C2270" s="34"/>
      <c r="D2270" s="34"/>
      <c r="E2270" s="27"/>
      <c r="F2270" s="27"/>
      <c r="G2270" s="27"/>
      <c r="H2270" s="27"/>
      <c r="I2270" s="27"/>
      <c r="J2270" s="27"/>
      <c r="K2270" s="27"/>
      <c r="L2270" s="27"/>
      <c r="M2270" s="28"/>
      <c r="N2270" s="28"/>
      <c r="O2270" s="27"/>
      <c r="P2270" s="27"/>
    </row>
    <row r="2271">
      <c r="A2271" s="33"/>
      <c r="B2271" s="34"/>
      <c r="C2271" s="34"/>
      <c r="D2271" s="34"/>
      <c r="E2271" s="27"/>
      <c r="F2271" s="27"/>
      <c r="G2271" s="27"/>
      <c r="H2271" s="27"/>
      <c r="I2271" s="27"/>
      <c r="J2271" s="27"/>
      <c r="K2271" s="27"/>
      <c r="L2271" s="27"/>
      <c r="M2271" s="28"/>
      <c r="N2271" s="28"/>
      <c r="O2271" s="27"/>
      <c r="P2271" s="27"/>
    </row>
    <row r="2272">
      <c r="A2272" s="33"/>
      <c r="B2272" s="34"/>
      <c r="C2272" s="34"/>
      <c r="D2272" s="34"/>
      <c r="E2272" s="27"/>
      <c r="F2272" s="27"/>
      <c r="G2272" s="27"/>
      <c r="H2272" s="27"/>
      <c r="I2272" s="27"/>
      <c r="J2272" s="27"/>
      <c r="K2272" s="27"/>
      <c r="L2272" s="27"/>
      <c r="M2272" s="28"/>
      <c r="N2272" s="28"/>
      <c r="O2272" s="27"/>
      <c r="P2272" s="27"/>
    </row>
    <row r="2273">
      <c r="A2273" s="33"/>
      <c r="B2273" s="34"/>
      <c r="C2273" s="34"/>
      <c r="D2273" s="34"/>
      <c r="E2273" s="27"/>
      <c r="F2273" s="27"/>
      <c r="G2273" s="27"/>
      <c r="H2273" s="27"/>
      <c r="I2273" s="27"/>
      <c r="J2273" s="27"/>
      <c r="K2273" s="27"/>
      <c r="L2273" s="27"/>
      <c r="M2273" s="28"/>
      <c r="N2273" s="28"/>
      <c r="O2273" s="27"/>
      <c r="P2273" s="27"/>
    </row>
    <row r="2274">
      <c r="A2274" s="33"/>
      <c r="B2274" s="34"/>
      <c r="C2274" s="34"/>
      <c r="D2274" s="34"/>
      <c r="E2274" s="27"/>
      <c r="F2274" s="27"/>
      <c r="G2274" s="27"/>
      <c r="H2274" s="27"/>
      <c r="I2274" s="27"/>
      <c r="J2274" s="27"/>
      <c r="K2274" s="27"/>
      <c r="L2274" s="27"/>
      <c r="M2274" s="28"/>
      <c r="N2274" s="28"/>
      <c r="O2274" s="27"/>
      <c r="P2274" s="27"/>
    </row>
    <row r="2275">
      <c r="A2275" s="33"/>
      <c r="B2275" s="34"/>
      <c r="C2275" s="34"/>
      <c r="D2275" s="34"/>
      <c r="E2275" s="27"/>
      <c r="F2275" s="27"/>
      <c r="G2275" s="27"/>
      <c r="H2275" s="27"/>
      <c r="I2275" s="27"/>
      <c r="J2275" s="27"/>
      <c r="K2275" s="27"/>
      <c r="L2275" s="27"/>
      <c r="M2275" s="28"/>
      <c r="N2275" s="28"/>
      <c r="O2275" s="27"/>
      <c r="P2275" s="27"/>
    </row>
    <row r="2276">
      <c r="A2276" s="33"/>
      <c r="B2276" s="34"/>
      <c r="C2276" s="34"/>
      <c r="D2276" s="34"/>
      <c r="E2276" s="27"/>
      <c r="F2276" s="27"/>
      <c r="G2276" s="27"/>
      <c r="H2276" s="27"/>
      <c r="I2276" s="27"/>
      <c r="J2276" s="27"/>
      <c r="K2276" s="27"/>
      <c r="L2276" s="27"/>
      <c r="M2276" s="28"/>
      <c r="N2276" s="28"/>
      <c r="O2276" s="27"/>
      <c r="P2276" s="27"/>
    </row>
    <row r="2277">
      <c r="A2277" s="33"/>
      <c r="B2277" s="34"/>
      <c r="C2277" s="34"/>
      <c r="D2277" s="34"/>
      <c r="E2277" s="27"/>
      <c r="F2277" s="27"/>
      <c r="G2277" s="27"/>
      <c r="H2277" s="27"/>
      <c r="I2277" s="27"/>
      <c r="J2277" s="27"/>
      <c r="K2277" s="27"/>
      <c r="L2277" s="27"/>
      <c r="M2277" s="28"/>
      <c r="N2277" s="28"/>
      <c r="O2277" s="27"/>
      <c r="P2277" s="27"/>
    </row>
    <row r="2278">
      <c r="A2278" s="33"/>
      <c r="B2278" s="34"/>
      <c r="C2278" s="34"/>
      <c r="D2278" s="34"/>
      <c r="E2278" s="27"/>
      <c r="F2278" s="27"/>
      <c r="G2278" s="27"/>
      <c r="H2278" s="27"/>
      <c r="I2278" s="27"/>
      <c r="J2278" s="27"/>
      <c r="K2278" s="27"/>
      <c r="L2278" s="27"/>
      <c r="M2278" s="28"/>
      <c r="N2278" s="28"/>
      <c r="O2278" s="27"/>
      <c r="P2278" s="27"/>
    </row>
    <row r="2279">
      <c r="A2279" s="33"/>
      <c r="B2279" s="34"/>
      <c r="C2279" s="34"/>
      <c r="D2279" s="34"/>
      <c r="E2279" s="27"/>
      <c r="F2279" s="27"/>
      <c r="G2279" s="27"/>
      <c r="H2279" s="27"/>
      <c r="I2279" s="27"/>
      <c r="J2279" s="27"/>
      <c r="K2279" s="27"/>
      <c r="L2279" s="27"/>
      <c r="M2279" s="28"/>
      <c r="N2279" s="28"/>
      <c r="O2279" s="27"/>
      <c r="P2279" s="27"/>
    </row>
    <row r="2280">
      <c r="A2280" s="33"/>
      <c r="B2280" s="34"/>
      <c r="C2280" s="34"/>
      <c r="D2280" s="34"/>
      <c r="E2280" s="27"/>
      <c r="F2280" s="27"/>
      <c r="G2280" s="27"/>
      <c r="H2280" s="27"/>
      <c r="I2280" s="27"/>
      <c r="J2280" s="27"/>
      <c r="K2280" s="27"/>
      <c r="L2280" s="27"/>
      <c r="M2280" s="28"/>
      <c r="N2280" s="28"/>
      <c r="O2280" s="27"/>
      <c r="P2280" s="27"/>
    </row>
    <row r="2281">
      <c r="A2281" s="33"/>
      <c r="B2281" s="34"/>
      <c r="C2281" s="34"/>
      <c r="D2281" s="34"/>
      <c r="E2281" s="27"/>
      <c r="F2281" s="27"/>
      <c r="G2281" s="27"/>
      <c r="H2281" s="27"/>
      <c r="I2281" s="27"/>
      <c r="J2281" s="27"/>
      <c r="K2281" s="27"/>
      <c r="L2281" s="27"/>
      <c r="M2281" s="28"/>
      <c r="N2281" s="28"/>
      <c r="O2281" s="27"/>
      <c r="P2281" s="27"/>
    </row>
    <row r="2282">
      <c r="A2282" s="33"/>
      <c r="B2282" s="34"/>
      <c r="C2282" s="34"/>
      <c r="D2282" s="34"/>
      <c r="E2282" s="27"/>
      <c r="F2282" s="27"/>
      <c r="G2282" s="27"/>
      <c r="H2282" s="27"/>
      <c r="I2282" s="27"/>
      <c r="J2282" s="27"/>
      <c r="K2282" s="27"/>
      <c r="L2282" s="27"/>
      <c r="M2282" s="28"/>
      <c r="N2282" s="28"/>
      <c r="O2282" s="27"/>
      <c r="P2282" s="27"/>
    </row>
    <row r="2283">
      <c r="A2283" s="33"/>
      <c r="B2283" s="34"/>
      <c r="C2283" s="34"/>
      <c r="D2283" s="34"/>
      <c r="E2283" s="27"/>
      <c r="F2283" s="27"/>
      <c r="G2283" s="27"/>
      <c r="H2283" s="27"/>
      <c r="I2283" s="27"/>
      <c r="J2283" s="27"/>
      <c r="K2283" s="27"/>
      <c r="L2283" s="27"/>
      <c r="M2283" s="28"/>
      <c r="N2283" s="28"/>
      <c r="O2283" s="27"/>
      <c r="P2283" s="27"/>
    </row>
    <row r="2284">
      <c r="A2284" s="33"/>
      <c r="B2284" s="34"/>
      <c r="C2284" s="34"/>
      <c r="D2284" s="34"/>
      <c r="E2284" s="27"/>
      <c r="F2284" s="27"/>
      <c r="G2284" s="27"/>
      <c r="H2284" s="27"/>
      <c r="I2284" s="27"/>
      <c r="J2284" s="27"/>
      <c r="K2284" s="27"/>
      <c r="L2284" s="27"/>
      <c r="M2284" s="28"/>
      <c r="N2284" s="28"/>
      <c r="O2284" s="27"/>
      <c r="P2284" s="27"/>
    </row>
    <row r="2285">
      <c r="A2285" s="33"/>
      <c r="B2285" s="34"/>
      <c r="C2285" s="34"/>
      <c r="D2285" s="34"/>
      <c r="E2285" s="27"/>
      <c r="F2285" s="27"/>
      <c r="G2285" s="27"/>
      <c r="H2285" s="27"/>
      <c r="I2285" s="27"/>
      <c r="J2285" s="27"/>
      <c r="K2285" s="27"/>
      <c r="L2285" s="27"/>
      <c r="M2285" s="28"/>
      <c r="N2285" s="28"/>
      <c r="O2285" s="27"/>
      <c r="P2285" s="27"/>
    </row>
    <row r="2286">
      <c r="A2286" s="33"/>
      <c r="B2286" s="34"/>
      <c r="C2286" s="34"/>
      <c r="D2286" s="34"/>
      <c r="E2286" s="27"/>
      <c r="F2286" s="27"/>
      <c r="G2286" s="27"/>
      <c r="H2286" s="27"/>
      <c r="I2286" s="27"/>
      <c r="J2286" s="27"/>
      <c r="K2286" s="27"/>
      <c r="L2286" s="27"/>
      <c r="M2286" s="28"/>
      <c r="N2286" s="28"/>
      <c r="O2286" s="27"/>
      <c r="P2286" s="27"/>
    </row>
    <row r="2287">
      <c r="A2287" s="33"/>
      <c r="B2287" s="34"/>
      <c r="C2287" s="34"/>
      <c r="D2287" s="34"/>
      <c r="E2287" s="27"/>
      <c r="F2287" s="27"/>
      <c r="G2287" s="27"/>
      <c r="H2287" s="27"/>
      <c r="I2287" s="27"/>
      <c r="J2287" s="27"/>
      <c r="K2287" s="27"/>
      <c r="L2287" s="27"/>
      <c r="M2287" s="28"/>
      <c r="N2287" s="28"/>
      <c r="O2287" s="27"/>
      <c r="P2287" s="27"/>
    </row>
    <row r="2288">
      <c r="A2288" s="33"/>
      <c r="B2288" s="34"/>
      <c r="C2288" s="34"/>
      <c r="D2288" s="34"/>
      <c r="E2288" s="27"/>
      <c r="F2288" s="27"/>
      <c r="G2288" s="27"/>
      <c r="H2288" s="27"/>
      <c r="I2288" s="27"/>
      <c r="J2288" s="27"/>
      <c r="K2288" s="27"/>
      <c r="L2288" s="27"/>
      <c r="M2288" s="28"/>
      <c r="N2288" s="28"/>
      <c r="O2288" s="27"/>
      <c r="P2288" s="27"/>
    </row>
    <row r="2289">
      <c r="A2289" s="33"/>
      <c r="B2289" s="34"/>
      <c r="C2289" s="34"/>
      <c r="D2289" s="34"/>
      <c r="E2289" s="27"/>
      <c r="F2289" s="27"/>
      <c r="G2289" s="27"/>
      <c r="H2289" s="27"/>
      <c r="I2289" s="27"/>
      <c r="J2289" s="27"/>
      <c r="K2289" s="27"/>
      <c r="L2289" s="27"/>
      <c r="M2289" s="28"/>
      <c r="N2289" s="28"/>
      <c r="O2289" s="27"/>
      <c r="P2289" s="27"/>
    </row>
    <row r="2290">
      <c r="A2290" s="33"/>
      <c r="B2290" s="34"/>
      <c r="C2290" s="34"/>
      <c r="D2290" s="34"/>
      <c r="E2290" s="27"/>
      <c r="F2290" s="27"/>
      <c r="G2290" s="27"/>
      <c r="H2290" s="27"/>
      <c r="I2290" s="27"/>
      <c r="J2290" s="27"/>
      <c r="K2290" s="27"/>
      <c r="L2290" s="27"/>
      <c r="M2290" s="28"/>
      <c r="N2290" s="28"/>
      <c r="O2290" s="27"/>
      <c r="P2290" s="27"/>
    </row>
    <row r="2291">
      <c r="A2291" s="33"/>
      <c r="B2291" s="34"/>
      <c r="C2291" s="34"/>
      <c r="D2291" s="34"/>
      <c r="E2291" s="27"/>
      <c r="F2291" s="27"/>
      <c r="G2291" s="27"/>
      <c r="H2291" s="27"/>
      <c r="I2291" s="27"/>
      <c r="J2291" s="27"/>
      <c r="K2291" s="27"/>
      <c r="L2291" s="27"/>
      <c r="M2291" s="28"/>
      <c r="N2291" s="28"/>
      <c r="O2291" s="27"/>
      <c r="P2291" s="27"/>
    </row>
    <row r="2292">
      <c r="A2292" s="33"/>
      <c r="B2292" s="34"/>
      <c r="C2292" s="34"/>
      <c r="D2292" s="34"/>
      <c r="E2292" s="27"/>
      <c r="F2292" s="27"/>
      <c r="G2292" s="27"/>
      <c r="H2292" s="27"/>
      <c r="I2292" s="27"/>
      <c r="J2292" s="27"/>
      <c r="K2292" s="27"/>
      <c r="L2292" s="27"/>
      <c r="M2292" s="28"/>
      <c r="N2292" s="28"/>
      <c r="O2292" s="27"/>
      <c r="P2292" s="27"/>
    </row>
    <row r="2293">
      <c r="A2293" s="33"/>
      <c r="B2293" s="34"/>
      <c r="C2293" s="34"/>
      <c r="D2293" s="34"/>
      <c r="E2293" s="27"/>
      <c r="F2293" s="27"/>
      <c r="G2293" s="27"/>
      <c r="H2293" s="27"/>
      <c r="I2293" s="27"/>
      <c r="J2293" s="27"/>
      <c r="K2293" s="27"/>
      <c r="L2293" s="27"/>
      <c r="M2293" s="28"/>
      <c r="N2293" s="28"/>
      <c r="O2293" s="27"/>
      <c r="P2293" s="27"/>
    </row>
    <row r="2294">
      <c r="A2294" s="33"/>
      <c r="B2294" s="34"/>
      <c r="C2294" s="34"/>
      <c r="D2294" s="34"/>
      <c r="E2294" s="27"/>
      <c r="F2294" s="27"/>
      <c r="G2294" s="27"/>
      <c r="H2294" s="27"/>
      <c r="I2294" s="27"/>
      <c r="J2294" s="27"/>
      <c r="K2294" s="27"/>
      <c r="L2294" s="27"/>
      <c r="M2294" s="28"/>
      <c r="N2294" s="28"/>
      <c r="O2294" s="27"/>
      <c r="P2294" s="27"/>
    </row>
    <row r="2295">
      <c r="A2295" s="33"/>
      <c r="B2295" s="34"/>
      <c r="C2295" s="34"/>
      <c r="D2295" s="34"/>
      <c r="E2295" s="27"/>
      <c r="F2295" s="27"/>
      <c r="G2295" s="27"/>
      <c r="H2295" s="27"/>
      <c r="I2295" s="27"/>
      <c r="J2295" s="27"/>
      <c r="K2295" s="27"/>
      <c r="L2295" s="27"/>
      <c r="M2295" s="28"/>
      <c r="N2295" s="28"/>
      <c r="O2295" s="27"/>
      <c r="P2295" s="27"/>
    </row>
    <row r="2296">
      <c r="A2296" s="33"/>
      <c r="B2296" s="34"/>
      <c r="C2296" s="34"/>
      <c r="D2296" s="34"/>
      <c r="E2296" s="27"/>
      <c r="F2296" s="27"/>
      <c r="G2296" s="27"/>
      <c r="H2296" s="27"/>
      <c r="I2296" s="27"/>
      <c r="J2296" s="27"/>
      <c r="K2296" s="27"/>
      <c r="L2296" s="27"/>
      <c r="M2296" s="28"/>
      <c r="N2296" s="28"/>
      <c r="O2296" s="27"/>
      <c r="P2296" s="27"/>
    </row>
    <row r="2297">
      <c r="A2297" s="33"/>
      <c r="B2297" s="34"/>
      <c r="C2297" s="34"/>
      <c r="D2297" s="34"/>
      <c r="E2297" s="27"/>
      <c r="F2297" s="27"/>
      <c r="G2297" s="27"/>
      <c r="H2297" s="27"/>
      <c r="I2297" s="27"/>
      <c r="J2297" s="27"/>
      <c r="K2297" s="27"/>
      <c r="L2297" s="27"/>
      <c r="M2297" s="28"/>
      <c r="N2297" s="28"/>
      <c r="O2297" s="27"/>
      <c r="P2297" s="27"/>
    </row>
    <row r="2298">
      <c r="A2298" s="33"/>
      <c r="B2298" s="34"/>
      <c r="C2298" s="34"/>
      <c r="D2298" s="34"/>
      <c r="E2298" s="27"/>
      <c r="F2298" s="27"/>
      <c r="G2298" s="27"/>
      <c r="H2298" s="27"/>
      <c r="I2298" s="27"/>
      <c r="J2298" s="27"/>
      <c r="K2298" s="27"/>
      <c r="L2298" s="27"/>
      <c r="M2298" s="28"/>
      <c r="N2298" s="28"/>
      <c r="O2298" s="27"/>
      <c r="P2298" s="27"/>
    </row>
    <row r="2299">
      <c r="A2299" s="33"/>
      <c r="B2299" s="34"/>
      <c r="C2299" s="34"/>
      <c r="D2299" s="34"/>
      <c r="E2299" s="27"/>
      <c r="F2299" s="27"/>
      <c r="G2299" s="27"/>
      <c r="H2299" s="27"/>
      <c r="I2299" s="27"/>
      <c r="J2299" s="27"/>
      <c r="K2299" s="27"/>
      <c r="L2299" s="27"/>
      <c r="M2299" s="28"/>
      <c r="N2299" s="28"/>
      <c r="O2299" s="27"/>
      <c r="P2299" s="27"/>
    </row>
    <row r="2300">
      <c r="A2300" s="33"/>
      <c r="B2300" s="34"/>
      <c r="C2300" s="34"/>
      <c r="D2300" s="34"/>
      <c r="E2300" s="27"/>
      <c r="F2300" s="27"/>
      <c r="G2300" s="27"/>
      <c r="H2300" s="27"/>
      <c r="I2300" s="27"/>
      <c r="J2300" s="27"/>
      <c r="K2300" s="27"/>
      <c r="L2300" s="27"/>
      <c r="M2300" s="28"/>
      <c r="N2300" s="28"/>
      <c r="O2300" s="27"/>
      <c r="P2300" s="27"/>
    </row>
    <row r="2301">
      <c r="A2301" s="33"/>
      <c r="B2301" s="34"/>
      <c r="C2301" s="34"/>
      <c r="D2301" s="34"/>
      <c r="E2301" s="27"/>
      <c r="F2301" s="27"/>
      <c r="G2301" s="27"/>
      <c r="H2301" s="27"/>
      <c r="I2301" s="27"/>
      <c r="J2301" s="27"/>
      <c r="K2301" s="27"/>
      <c r="L2301" s="27"/>
      <c r="M2301" s="28"/>
      <c r="N2301" s="28"/>
      <c r="O2301" s="27"/>
      <c r="P2301" s="27"/>
    </row>
    <row r="2302">
      <c r="A2302" s="33"/>
      <c r="B2302" s="34"/>
      <c r="C2302" s="34"/>
      <c r="D2302" s="34"/>
      <c r="E2302" s="27"/>
      <c r="F2302" s="27"/>
      <c r="G2302" s="27"/>
      <c r="H2302" s="27"/>
      <c r="I2302" s="27"/>
      <c r="J2302" s="27"/>
      <c r="K2302" s="27"/>
      <c r="L2302" s="27"/>
      <c r="M2302" s="28"/>
      <c r="N2302" s="28"/>
      <c r="O2302" s="27"/>
      <c r="P2302" s="27"/>
    </row>
    <row r="2303">
      <c r="A2303" s="33"/>
      <c r="B2303" s="34"/>
      <c r="C2303" s="34"/>
      <c r="D2303" s="34"/>
      <c r="E2303" s="27"/>
      <c r="F2303" s="27"/>
      <c r="G2303" s="27"/>
      <c r="H2303" s="27"/>
      <c r="I2303" s="27"/>
      <c r="J2303" s="27"/>
      <c r="K2303" s="27"/>
      <c r="L2303" s="27"/>
      <c r="M2303" s="28"/>
      <c r="N2303" s="28"/>
      <c r="O2303" s="27"/>
      <c r="P2303" s="27"/>
    </row>
    <row r="2304">
      <c r="A2304" s="33"/>
      <c r="B2304" s="34"/>
      <c r="C2304" s="34"/>
      <c r="D2304" s="34"/>
      <c r="E2304" s="27"/>
      <c r="F2304" s="27"/>
      <c r="G2304" s="27"/>
      <c r="H2304" s="27"/>
      <c r="I2304" s="27"/>
      <c r="J2304" s="27"/>
      <c r="K2304" s="27"/>
      <c r="L2304" s="27"/>
      <c r="M2304" s="28"/>
      <c r="N2304" s="28"/>
      <c r="O2304" s="27"/>
      <c r="P2304" s="27"/>
    </row>
    <row r="2305">
      <c r="A2305" s="33"/>
      <c r="B2305" s="34"/>
      <c r="C2305" s="34"/>
      <c r="D2305" s="34"/>
      <c r="E2305" s="27"/>
      <c r="F2305" s="27"/>
      <c r="G2305" s="27"/>
      <c r="H2305" s="27"/>
      <c r="I2305" s="27"/>
      <c r="J2305" s="27"/>
      <c r="K2305" s="27"/>
      <c r="L2305" s="27"/>
      <c r="M2305" s="28"/>
      <c r="N2305" s="28"/>
      <c r="O2305" s="27"/>
      <c r="P2305" s="27"/>
    </row>
    <row r="2306">
      <c r="A2306" s="33"/>
      <c r="B2306" s="34"/>
      <c r="C2306" s="34"/>
      <c r="D2306" s="34"/>
      <c r="E2306" s="27"/>
      <c r="F2306" s="27"/>
      <c r="G2306" s="27"/>
      <c r="H2306" s="27"/>
      <c r="I2306" s="27"/>
      <c r="J2306" s="27"/>
      <c r="K2306" s="27"/>
      <c r="L2306" s="27"/>
      <c r="M2306" s="28"/>
      <c r="N2306" s="28"/>
      <c r="O2306" s="27"/>
      <c r="P2306" s="27"/>
    </row>
    <row r="2307">
      <c r="A2307" s="33"/>
      <c r="B2307" s="34"/>
      <c r="C2307" s="34"/>
      <c r="D2307" s="34"/>
      <c r="E2307" s="27"/>
      <c r="F2307" s="27"/>
      <c r="G2307" s="27"/>
      <c r="H2307" s="27"/>
      <c r="I2307" s="27"/>
      <c r="J2307" s="27"/>
      <c r="K2307" s="27"/>
      <c r="L2307" s="27"/>
      <c r="M2307" s="28"/>
      <c r="N2307" s="28"/>
      <c r="O2307" s="27"/>
      <c r="P2307" s="27"/>
    </row>
    <row r="2308">
      <c r="A2308" s="33"/>
      <c r="B2308" s="34"/>
      <c r="C2308" s="34"/>
      <c r="D2308" s="34"/>
      <c r="E2308" s="27"/>
      <c r="F2308" s="27"/>
      <c r="G2308" s="27"/>
      <c r="H2308" s="27"/>
      <c r="I2308" s="27"/>
      <c r="J2308" s="27"/>
      <c r="K2308" s="27"/>
      <c r="L2308" s="27"/>
      <c r="M2308" s="28"/>
      <c r="N2308" s="28"/>
      <c r="O2308" s="27"/>
      <c r="P2308" s="27"/>
    </row>
    <row r="2309">
      <c r="A2309" s="33"/>
      <c r="B2309" s="34"/>
      <c r="C2309" s="34"/>
      <c r="D2309" s="34"/>
      <c r="E2309" s="27"/>
      <c r="F2309" s="27"/>
      <c r="G2309" s="27"/>
      <c r="H2309" s="27"/>
      <c r="I2309" s="27"/>
      <c r="J2309" s="27"/>
      <c r="K2309" s="27"/>
      <c r="L2309" s="27"/>
      <c r="M2309" s="28"/>
      <c r="N2309" s="28"/>
      <c r="O2309" s="27"/>
      <c r="P2309" s="27"/>
    </row>
    <row r="2310">
      <c r="A2310" s="33"/>
      <c r="B2310" s="34"/>
      <c r="C2310" s="34"/>
      <c r="D2310" s="34"/>
      <c r="E2310" s="27"/>
      <c r="F2310" s="27"/>
      <c r="G2310" s="27"/>
      <c r="H2310" s="27"/>
      <c r="I2310" s="27"/>
      <c r="J2310" s="27"/>
      <c r="K2310" s="27"/>
      <c r="L2310" s="27"/>
      <c r="M2310" s="28"/>
      <c r="N2310" s="28"/>
      <c r="O2310" s="27"/>
      <c r="P2310" s="27"/>
    </row>
    <row r="2311">
      <c r="A2311" s="33"/>
      <c r="B2311" s="34"/>
      <c r="C2311" s="34"/>
      <c r="D2311" s="34"/>
      <c r="E2311" s="27"/>
      <c r="F2311" s="27"/>
      <c r="G2311" s="27"/>
      <c r="H2311" s="27"/>
      <c r="I2311" s="27"/>
      <c r="J2311" s="27"/>
      <c r="K2311" s="27"/>
      <c r="L2311" s="27"/>
      <c r="M2311" s="28"/>
      <c r="N2311" s="28"/>
      <c r="O2311" s="27"/>
      <c r="P2311" s="27"/>
    </row>
    <row r="2312">
      <c r="A2312" s="33"/>
      <c r="B2312" s="34"/>
      <c r="C2312" s="34"/>
      <c r="D2312" s="34"/>
      <c r="E2312" s="27"/>
      <c r="F2312" s="27"/>
      <c r="G2312" s="27"/>
      <c r="H2312" s="27"/>
      <c r="I2312" s="27"/>
      <c r="J2312" s="27"/>
      <c r="K2312" s="27"/>
      <c r="L2312" s="27"/>
      <c r="M2312" s="28"/>
      <c r="N2312" s="28"/>
      <c r="O2312" s="27"/>
      <c r="P2312" s="27"/>
    </row>
    <row r="2313">
      <c r="A2313" s="33"/>
      <c r="B2313" s="34"/>
      <c r="C2313" s="34"/>
      <c r="D2313" s="34"/>
      <c r="E2313" s="27"/>
      <c r="F2313" s="27"/>
      <c r="G2313" s="27"/>
      <c r="H2313" s="27"/>
      <c r="I2313" s="27"/>
      <c r="J2313" s="27"/>
      <c r="K2313" s="27"/>
      <c r="L2313" s="27"/>
      <c r="M2313" s="28"/>
      <c r="N2313" s="28"/>
      <c r="O2313" s="27"/>
      <c r="P2313" s="27"/>
    </row>
    <row r="2314">
      <c r="A2314" s="33"/>
      <c r="B2314" s="34"/>
      <c r="C2314" s="34"/>
      <c r="D2314" s="34"/>
      <c r="E2314" s="27"/>
      <c r="F2314" s="27"/>
      <c r="G2314" s="27"/>
      <c r="H2314" s="27"/>
      <c r="I2314" s="27"/>
      <c r="J2314" s="27"/>
      <c r="K2314" s="27"/>
      <c r="L2314" s="27"/>
      <c r="M2314" s="28"/>
      <c r="N2314" s="28"/>
      <c r="O2314" s="27"/>
      <c r="P2314" s="27"/>
    </row>
    <row r="2315">
      <c r="A2315" s="33"/>
      <c r="B2315" s="34"/>
      <c r="C2315" s="34"/>
      <c r="D2315" s="34"/>
      <c r="E2315" s="27"/>
      <c r="F2315" s="27"/>
      <c r="G2315" s="27"/>
      <c r="H2315" s="27"/>
      <c r="I2315" s="27"/>
      <c r="J2315" s="27"/>
      <c r="K2315" s="27"/>
      <c r="L2315" s="27"/>
      <c r="M2315" s="28"/>
      <c r="N2315" s="28"/>
      <c r="O2315" s="27"/>
      <c r="P2315" s="27"/>
    </row>
    <row r="2316">
      <c r="A2316" s="33"/>
      <c r="B2316" s="34"/>
      <c r="C2316" s="34"/>
      <c r="D2316" s="34"/>
      <c r="E2316" s="27"/>
      <c r="F2316" s="27"/>
      <c r="G2316" s="27"/>
      <c r="H2316" s="27"/>
      <c r="I2316" s="27"/>
      <c r="J2316" s="27"/>
      <c r="K2316" s="27"/>
      <c r="L2316" s="27"/>
      <c r="M2316" s="28"/>
      <c r="N2316" s="28"/>
      <c r="O2316" s="27"/>
      <c r="P2316" s="27"/>
    </row>
    <row r="2317">
      <c r="A2317" s="33"/>
      <c r="B2317" s="34"/>
      <c r="C2317" s="34"/>
      <c r="D2317" s="34"/>
      <c r="E2317" s="27"/>
      <c r="F2317" s="27"/>
      <c r="G2317" s="27"/>
      <c r="H2317" s="27"/>
      <c r="I2317" s="27"/>
      <c r="J2317" s="27"/>
      <c r="K2317" s="27"/>
      <c r="L2317" s="27"/>
      <c r="M2317" s="28"/>
      <c r="N2317" s="28"/>
      <c r="O2317" s="27"/>
      <c r="P2317" s="27"/>
    </row>
    <row r="2318">
      <c r="A2318" s="33"/>
      <c r="B2318" s="34"/>
      <c r="C2318" s="34"/>
      <c r="D2318" s="34"/>
      <c r="E2318" s="27"/>
      <c r="F2318" s="27"/>
      <c r="G2318" s="27"/>
      <c r="H2318" s="27"/>
      <c r="I2318" s="27"/>
      <c r="J2318" s="27"/>
      <c r="K2318" s="27"/>
      <c r="L2318" s="27"/>
      <c r="M2318" s="28"/>
      <c r="N2318" s="28"/>
      <c r="O2318" s="27"/>
      <c r="P2318" s="27"/>
    </row>
    <row r="2319">
      <c r="A2319" s="33"/>
      <c r="B2319" s="34"/>
      <c r="C2319" s="34"/>
      <c r="D2319" s="34"/>
      <c r="E2319" s="27"/>
      <c r="F2319" s="27"/>
      <c r="G2319" s="27"/>
      <c r="H2319" s="27"/>
      <c r="I2319" s="27"/>
      <c r="J2319" s="27"/>
      <c r="K2319" s="27"/>
      <c r="L2319" s="27"/>
      <c r="M2319" s="28"/>
      <c r="N2319" s="28"/>
      <c r="O2319" s="27"/>
      <c r="P2319" s="27"/>
    </row>
    <row r="2320">
      <c r="A2320" s="33"/>
      <c r="B2320" s="34"/>
      <c r="C2320" s="34"/>
      <c r="D2320" s="34"/>
      <c r="E2320" s="27"/>
      <c r="F2320" s="27"/>
      <c r="G2320" s="27"/>
      <c r="H2320" s="27"/>
      <c r="I2320" s="27"/>
      <c r="J2320" s="27"/>
      <c r="K2320" s="27"/>
      <c r="L2320" s="27"/>
      <c r="M2320" s="28"/>
      <c r="N2320" s="28"/>
      <c r="O2320" s="27"/>
      <c r="P2320" s="27"/>
    </row>
    <row r="2321">
      <c r="A2321" s="33"/>
      <c r="B2321" s="34"/>
      <c r="C2321" s="34"/>
      <c r="D2321" s="34"/>
      <c r="E2321" s="27"/>
      <c r="F2321" s="27"/>
      <c r="G2321" s="27"/>
      <c r="H2321" s="27"/>
      <c r="I2321" s="27"/>
      <c r="J2321" s="27"/>
      <c r="K2321" s="27"/>
      <c r="L2321" s="27"/>
      <c r="M2321" s="28"/>
      <c r="N2321" s="28"/>
      <c r="O2321" s="27"/>
      <c r="P2321" s="27"/>
    </row>
    <row r="2322">
      <c r="A2322" s="33"/>
      <c r="B2322" s="34"/>
      <c r="C2322" s="34"/>
      <c r="D2322" s="34"/>
      <c r="E2322" s="27"/>
      <c r="F2322" s="27"/>
      <c r="G2322" s="27"/>
      <c r="H2322" s="27"/>
      <c r="I2322" s="27"/>
      <c r="J2322" s="27"/>
      <c r="K2322" s="27"/>
      <c r="L2322" s="27"/>
      <c r="M2322" s="28"/>
      <c r="N2322" s="28"/>
      <c r="O2322" s="27"/>
      <c r="P2322" s="27"/>
    </row>
    <row r="2323">
      <c r="A2323" s="33"/>
      <c r="B2323" s="34"/>
      <c r="C2323" s="34"/>
      <c r="D2323" s="34"/>
      <c r="E2323" s="27"/>
      <c r="F2323" s="27"/>
      <c r="G2323" s="27"/>
      <c r="H2323" s="27"/>
      <c r="I2323" s="27"/>
      <c r="J2323" s="27"/>
      <c r="K2323" s="27"/>
      <c r="L2323" s="27"/>
      <c r="M2323" s="28"/>
      <c r="N2323" s="28"/>
      <c r="O2323" s="27"/>
      <c r="P2323" s="27"/>
    </row>
    <row r="2324">
      <c r="A2324" s="33"/>
      <c r="B2324" s="34"/>
      <c r="C2324" s="34"/>
      <c r="D2324" s="34"/>
      <c r="E2324" s="27"/>
      <c r="F2324" s="27"/>
      <c r="G2324" s="27"/>
      <c r="H2324" s="27"/>
      <c r="I2324" s="27"/>
      <c r="J2324" s="27"/>
      <c r="K2324" s="27"/>
      <c r="L2324" s="27"/>
      <c r="M2324" s="28"/>
      <c r="N2324" s="28"/>
      <c r="O2324" s="27"/>
      <c r="P2324" s="27"/>
    </row>
    <row r="2325">
      <c r="A2325" s="33"/>
      <c r="B2325" s="34"/>
      <c r="C2325" s="34"/>
      <c r="D2325" s="34"/>
      <c r="E2325" s="27"/>
      <c r="F2325" s="27"/>
      <c r="G2325" s="27"/>
      <c r="H2325" s="27"/>
      <c r="I2325" s="27"/>
      <c r="J2325" s="27"/>
      <c r="K2325" s="27"/>
      <c r="L2325" s="27"/>
      <c r="M2325" s="28"/>
      <c r="N2325" s="28"/>
      <c r="O2325" s="27"/>
      <c r="P2325" s="27"/>
    </row>
    <row r="2326">
      <c r="A2326" s="33"/>
      <c r="B2326" s="34"/>
      <c r="C2326" s="34"/>
      <c r="D2326" s="34"/>
      <c r="E2326" s="27"/>
      <c r="F2326" s="27"/>
      <c r="G2326" s="27"/>
      <c r="H2326" s="27"/>
      <c r="I2326" s="27"/>
      <c r="J2326" s="27"/>
      <c r="K2326" s="27"/>
      <c r="L2326" s="27"/>
      <c r="M2326" s="28"/>
      <c r="N2326" s="28"/>
      <c r="O2326" s="27"/>
      <c r="P2326" s="27"/>
    </row>
    <row r="2327">
      <c r="A2327" s="33"/>
      <c r="B2327" s="34"/>
      <c r="C2327" s="34"/>
      <c r="D2327" s="34"/>
      <c r="E2327" s="27"/>
      <c r="F2327" s="27"/>
      <c r="G2327" s="27"/>
      <c r="H2327" s="27"/>
      <c r="I2327" s="27"/>
      <c r="J2327" s="27"/>
      <c r="K2327" s="27"/>
      <c r="L2327" s="27"/>
      <c r="M2327" s="28"/>
      <c r="N2327" s="28"/>
      <c r="O2327" s="27"/>
      <c r="P2327" s="27"/>
    </row>
    <row r="2328">
      <c r="A2328" s="33"/>
      <c r="B2328" s="34"/>
      <c r="C2328" s="34"/>
      <c r="D2328" s="34"/>
      <c r="E2328" s="27"/>
      <c r="F2328" s="27"/>
      <c r="G2328" s="27"/>
      <c r="H2328" s="27"/>
      <c r="I2328" s="27"/>
      <c r="J2328" s="27"/>
      <c r="K2328" s="27"/>
      <c r="L2328" s="27"/>
      <c r="M2328" s="28"/>
      <c r="N2328" s="28"/>
      <c r="O2328" s="27"/>
      <c r="P2328" s="27"/>
    </row>
    <row r="2329">
      <c r="A2329" s="33"/>
      <c r="B2329" s="34"/>
      <c r="C2329" s="34"/>
      <c r="D2329" s="34"/>
      <c r="E2329" s="27"/>
      <c r="F2329" s="27"/>
      <c r="G2329" s="27"/>
      <c r="H2329" s="27"/>
      <c r="I2329" s="27"/>
      <c r="J2329" s="27"/>
      <c r="K2329" s="27"/>
      <c r="L2329" s="27"/>
      <c r="M2329" s="28"/>
      <c r="N2329" s="28"/>
      <c r="O2329" s="27"/>
      <c r="P2329" s="27"/>
    </row>
    <row r="2330">
      <c r="A2330" s="33"/>
      <c r="B2330" s="34"/>
      <c r="C2330" s="34"/>
      <c r="D2330" s="34"/>
      <c r="E2330" s="27"/>
      <c r="F2330" s="27"/>
      <c r="G2330" s="27"/>
      <c r="H2330" s="27"/>
      <c r="I2330" s="27"/>
      <c r="J2330" s="27"/>
      <c r="K2330" s="27"/>
      <c r="L2330" s="27"/>
      <c r="M2330" s="28"/>
      <c r="N2330" s="28"/>
      <c r="O2330" s="27"/>
      <c r="P2330" s="27"/>
    </row>
    <row r="2331">
      <c r="A2331" s="33"/>
      <c r="B2331" s="34"/>
      <c r="C2331" s="34"/>
      <c r="D2331" s="34"/>
      <c r="E2331" s="27"/>
      <c r="F2331" s="27"/>
      <c r="G2331" s="27"/>
      <c r="H2331" s="27"/>
      <c r="I2331" s="27"/>
      <c r="J2331" s="27"/>
      <c r="K2331" s="27"/>
      <c r="L2331" s="27"/>
      <c r="M2331" s="28"/>
      <c r="N2331" s="28"/>
      <c r="O2331" s="27"/>
      <c r="P2331" s="27"/>
    </row>
    <row r="2332">
      <c r="A2332" s="33"/>
      <c r="B2332" s="34"/>
      <c r="C2332" s="34"/>
      <c r="D2332" s="34"/>
      <c r="E2332" s="27"/>
      <c r="F2332" s="27"/>
      <c r="G2332" s="27"/>
      <c r="H2332" s="27"/>
      <c r="I2332" s="27"/>
      <c r="J2332" s="27"/>
      <c r="K2332" s="27"/>
      <c r="L2332" s="27"/>
      <c r="M2332" s="28"/>
      <c r="N2332" s="28"/>
      <c r="O2332" s="27"/>
      <c r="P2332" s="27"/>
    </row>
    <row r="2333">
      <c r="A2333" s="33"/>
      <c r="B2333" s="34"/>
      <c r="C2333" s="34"/>
      <c r="D2333" s="34"/>
      <c r="E2333" s="27"/>
      <c r="F2333" s="27"/>
      <c r="G2333" s="27"/>
      <c r="H2333" s="27"/>
      <c r="I2333" s="27"/>
      <c r="J2333" s="27"/>
      <c r="K2333" s="27"/>
      <c r="L2333" s="27"/>
      <c r="M2333" s="28"/>
      <c r="N2333" s="28"/>
      <c r="O2333" s="27"/>
      <c r="P2333" s="27"/>
    </row>
    <row r="2334">
      <c r="A2334" s="33"/>
      <c r="B2334" s="34"/>
      <c r="C2334" s="34"/>
      <c r="D2334" s="34"/>
      <c r="E2334" s="27"/>
      <c r="F2334" s="27"/>
      <c r="G2334" s="27"/>
      <c r="H2334" s="27"/>
      <c r="I2334" s="27"/>
      <c r="J2334" s="27"/>
      <c r="K2334" s="27"/>
      <c r="L2334" s="27"/>
      <c r="M2334" s="28"/>
      <c r="N2334" s="28"/>
      <c r="O2334" s="27"/>
      <c r="P2334" s="27"/>
    </row>
    <row r="2335">
      <c r="A2335" s="33"/>
      <c r="B2335" s="34"/>
      <c r="C2335" s="34"/>
      <c r="D2335" s="34"/>
      <c r="E2335" s="27"/>
      <c r="F2335" s="27"/>
      <c r="G2335" s="27"/>
      <c r="H2335" s="27"/>
      <c r="I2335" s="27"/>
      <c r="J2335" s="27"/>
      <c r="K2335" s="27"/>
      <c r="L2335" s="27"/>
      <c r="M2335" s="28"/>
      <c r="N2335" s="28"/>
      <c r="O2335" s="27"/>
      <c r="P2335" s="27"/>
    </row>
    <row r="2336">
      <c r="A2336" s="33"/>
      <c r="B2336" s="34"/>
      <c r="C2336" s="34"/>
      <c r="D2336" s="34"/>
      <c r="E2336" s="27"/>
      <c r="F2336" s="27"/>
      <c r="G2336" s="27"/>
      <c r="H2336" s="27"/>
      <c r="I2336" s="27"/>
      <c r="J2336" s="27"/>
      <c r="K2336" s="27"/>
      <c r="L2336" s="27"/>
      <c r="M2336" s="28"/>
      <c r="N2336" s="28"/>
      <c r="O2336" s="27"/>
      <c r="P2336" s="27"/>
    </row>
    <row r="2337">
      <c r="A2337" s="33"/>
      <c r="B2337" s="34"/>
      <c r="C2337" s="34"/>
      <c r="D2337" s="34"/>
      <c r="E2337" s="27"/>
      <c r="F2337" s="27"/>
      <c r="G2337" s="27"/>
      <c r="H2337" s="27"/>
      <c r="I2337" s="27"/>
      <c r="J2337" s="27"/>
      <c r="K2337" s="27"/>
      <c r="L2337" s="27"/>
      <c r="M2337" s="28"/>
      <c r="N2337" s="28"/>
      <c r="O2337" s="27"/>
      <c r="P2337" s="27"/>
    </row>
    <row r="2338">
      <c r="A2338" s="33"/>
      <c r="B2338" s="34"/>
      <c r="C2338" s="34"/>
      <c r="D2338" s="34"/>
      <c r="E2338" s="27"/>
      <c r="F2338" s="27"/>
      <c r="G2338" s="27"/>
      <c r="H2338" s="27"/>
      <c r="I2338" s="27"/>
      <c r="J2338" s="27"/>
      <c r="K2338" s="27"/>
      <c r="L2338" s="27"/>
      <c r="M2338" s="28"/>
      <c r="N2338" s="28"/>
      <c r="O2338" s="27"/>
      <c r="P2338" s="27"/>
    </row>
    <row r="2339">
      <c r="A2339" s="33"/>
      <c r="B2339" s="34"/>
      <c r="C2339" s="34"/>
      <c r="D2339" s="34"/>
      <c r="E2339" s="27"/>
      <c r="F2339" s="27"/>
      <c r="G2339" s="27"/>
      <c r="H2339" s="27"/>
      <c r="I2339" s="27"/>
      <c r="J2339" s="27"/>
      <c r="K2339" s="27"/>
      <c r="L2339" s="27"/>
      <c r="M2339" s="28"/>
      <c r="N2339" s="28"/>
      <c r="O2339" s="27"/>
      <c r="P2339" s="27"/>
    </row>
    <row r="2340">
      <c r="A2340" s="33"/>
      <c r="B2340" s="34"/>
      <c r="C2340" s="34"/>
      <c r="D2340" s="34"/>
      <c r="E2340" s="27"/>
      <c r="F2340" s="27"/>
      <c r="G2340" s="27"/>
      <c r="H2340" s="27"/>
      <c r="I2340" s="27"/>
      <c r="J2340" s="27"/>
      <c r="K2340" s="27"/>
      <c r="L2340" s="27"/>
      <c r="M2340" s="28"/>
      <c r="N2340" s="28"/>
      <c r="O2340" s="27"/>
      <c r="P2340" s="27"/>
    </row>
    <row r="2341">
      <c r="A2341" s="33"/>
      <c r="B2341" s="34"/>
      <c r="C2341" s="34"/>
      <c r="D2341" s="34"/>
      <c r="E2341" s="27"/>
      <c r="F2341" s="27"/>
      <c r="G2341" s="27"/>
      <c r="H2341" s="27"/>
      <c r="I2341" s="27"/>
      <c r="J2341" s="27"/>
      <c r="K2341" s="27"/>
      <c r="L2341" s="27"/>
      <c r="M2341" s="28"/>
      <c r="N2341" s="28"/>
      <c r="O2341" s="27"/>
      <c r="P2341" s="27"/>
    </row>
    <row r="2342">
      <c r="A2342" s="33"/>
      <c r="B2342" s="34"/>
      <c r="C2342" s="34"/>
      <c r="D2342" s="34"/>
      <c r="E2342" s="27"/>
      <c r="F2342" s="27"/>
      <c r="G2342" s="27"/>
      <c r="H2342" s="27"/>
      <c r="I2342" s="27"/>
      <c r="J2342" s="27"/>
      <c r="K2342" s="27"/>
      <c r="L2342" s="27"/>
      <c r="M2342" s="28"/>
      <c r="N2342" s="28"/>
      <c r="O2342" s="27"/>
      <c r="P2342" s="27"/>
    </row>
    <row r="2343">
      <c r="A2343" s="33"/>
      <c r="B2343" s="34"/>
      <c r="C2343" s="34"/>
      <c r="D2343" s="34"/>
      <c r="E2343" s="27"/>
      <c r="F2343" s="27"/>
      <c r="G2343" s="27"/>
      <c r="H2343" s="27"/>
      <c r="I2343" s="27"/>
      <c r="J2343" s="27"/>
      <c r="K2343" s="27"/>
      <c r="L2343" s="27"/>
      <c r="M2343" s="28"/>
      <c r="N2343" s="28"/>
      <c r="O2343" s="27"/>
      <c r="P2343" s="27"/>
    </row>
    <row r="2344">
      <c r="A2344" s="33"/>
      <c r="B2344" s="34"/>
      <c r="C2344" s="34"/>
      <c r="D2344" s="34"/>
      <c r="E2344" s="27"/>
      <c r="F2344" s="27"/>
      <c r="G2344" s="27"/>
      <c r="H2344" s="27"/>
      <c r="I2344" s="27"/>
      <c r="J2344" s="27"/>
      <c r="K2344" s="27"/>
      <c r="L2344" s="27"/>
      <c r="M2344" s="28"/>
      <c r="N2344" s="28"/>
      <c r="O2344" s="27"/>
      <c r="P2344" s="27"/>
    </row>
    <row r="2345">
      <c r="A2345" s="33"/>
      <c r="B2345" s="34"/>
      <c r="C2345" s="34"/>
      <c r="D2345" s="34"/>
      <c r="E2345" s="27"/>
      <c r="F2345" s="27"/>
      <c r="G2345" s="27"/>
      <c r="H2345" s="27"/>
      <c r="I2345" s="27"/>
      <c r="J2345" s="27"/>
      <c r="K2345" s="27"/>
      <c r="L2345" s="27"/>
      <c r="M2345" s="28"/>
      <c r="N2345" s="28"/>
      <c r="O2345" s="27"/>
      <c r="P2345" s="27"/>
    </row>
    <row r="2346">
      <c r="A2346" s="33"/>
      <c r="B2346" s="34"/>
      <c r="C2346" s="34"/>
      <c r="D2346" s="34"/>
      <c r="E2346" s="27"/>
      <c r="F2346" s="27"/>
      <c r="G2346" s="27"/>
      <c r="H2346" s="27"/>
      <c r="I2346" s="27"/>
      <c r="J2346" s="27"/>
      <c r="K2346" s="27"/>
      <c r="L2346" s="27"/>
      <c r="M2346" s="28"/>
      <c r="N2346" s="28"/>
      <c r="O2346" s="27"/>
      <c r="P2346" s="27"/>
    </row>
    <row r="2347">
      <c r="A2347" s="33"/>
      <c r="B2347" s="34"/>
      <c r="C2347" s="34"/>
      <c r="D2347" s="34"/>
      <c r="E2347" s="27"/>
      <c r="F2347" s="27"/>
      <c r="G2347" s="27"/>
      <c r="H2347" s="27"/>
      <c r="I2347" s="27"/>
      <c r="J2347" s="27"/>
      <c r="K2347" s="27"/>
      <c r="L2347" s="27"/>
      <c r="M2347" s="28"/>
      <c r="N2347" s="28"/>
      <c r="O2347" s="27"/>
      <c r="P2347" s="27"/>
    </row>
    <row r="2348">
      <c r="A2348" s="33"/>
      <c r="B2348" s="34"/>
      <c r="C2348" s="34"/>
      <c r="D2348" s="34"/>
      <c r="E2348" s="27"/>
      <c r="F2348" s="27"/>
      <c r="G2348" s="27"/>
      <c r="H2348" s="27"/>
      <c r="I2348" s="27"/>
      <c r="J2348" s="27"/>
      <c r="K2348" s="27"/>
      <c r="L2348" s="27"/>
      <c r="M2348" s="28"/>
      <c r="N2348" s="28"/>
      <c r="O2348" s="27"/>
      <c r="P2348" s="27"/>
    </row>
    <row r="2349">
      <c r="A2349" s="33"/>
      <c r="B2349" s="34"/>
      <c r="C2349" s="34"/>
      <c r="D2349" s="34"/>
      <c r="E2349" s="27"/>
      <c r="F2349" s="27"/>
      <c r="G2349" s="27"/>
      <c r="H2349" s="27"/>
      <c r="I2349" s="27"/>
      <c r="J2349" s="27"/>
      <c r="K2349" s="27"/>
      <c r="L2349" s="27"/>
      <c r="M2349" s="28"/>
      <c r="N2349" s="28"/>
      <c r="O2349" s="27"/>
      <c r="P2349" s="27"/>
    </row>
    <row r="2350">
      <c r="A2350" s="33"/>
      <c r="B2350" s="34"/>
      <c r="C2350" s="34"/>
      <c r="D2350" s="34"/>
      <c r="E2350" s="27"/>
      <c r="F2350" s="27"/>
      <c r="G2350" s="27"/>
      <c r="H2350" s="27"/>
      <c r="I2350" s="27"/>
      <c r="J2350" s="27"/>
      <c r="K2350" s="27"/>
      <c r="L2350" s="27"/>
      <c r="M2350" s="28"/>
      <c r="N2350" s="28"/>
      <c r="O2350" s="27"/>
      <c r="P2350" s="27"/>
    </row>
    <row r="2351">
      <c r="A2351" s="33"/>
      <c r="B2351" s="34"/>
      <c r="C2351" s="34"/>
      <c r="D2351" s="34"/>
      <c r="E2351" s="27"/>
      <c r="F2351" s="27"/>
      <c r="G2351" s="27"/>
      <c r="H2351" s="27"/>
      <c r="I2351" s="27"/>
      <c r="J2351" s="27"/>
      <c r="K2351" s="27"/>
      <c r="L2351" s="27"/>
      <c r="M2351" s="28"/>
      <c r="N2351" s="28"/>
      <c r="O2351" s="27"/>
      <c r="P2351" s="27"/>
    </row>
    <row r="2352">
      <c r="A2352" s="33"/>
      <c r="B2352" s="34"/>
      <c r="C2352" s="34"/>
      <c r="D2352" s="34"/>
      <c r="E2352" s="27"/>
      <c r="F2352" s="27"/>
      <c r="G2352" s="27"/>
      <c r="H2352" s="27"/>
      <c r="I2352" s="27"/>
      <c r="J2352" s="27"/>
      <c r="K2352" s="27"/>
      <c r="L2352" s="27"/>
      <c r="M2352" s="28"/>
      <c r="N2352" s="28"/>
      <c r="O2352" s="27"/>
      <c r="P2352" s="27"/>
    </row>
    <row r="2353">
      <c r="A2353" s="33"/>
      <c r="B2353" s="34"/>
      <c r="C2353" s="34"/>
      <c r="D2353" s="34"/>
      <c r="E2353" s="27"/>
      <c r="F2353" s="27"/>
      <c r="G2353" s="27"/>
      <c r="H2353" s="27"/>
      <c r="I2353" s="27"/>
      <c r="J2353" s="27"/>
      <c r="K2353" s="27"/>
      <c r="L2353" s="27"/>
      <c r="M2353" s="28"/>
      <c r="N2353" s="28"/>
      <c r="O2353" s="27"/>
      <c r="P2353" s="27"/>
    </row>
    <row r="2354">
      <c r="A2354" s="33"/>
      <c r="B2354" s="34"/>
      <c r="C2354" s="34"/>
      <c r="D2354" s="34"/>
      <c r="E2354" s="27"/>
      <c r="F2354" s="27"/>
      <c r="G2354" s="27"/>
      <c r="H2354" s="27"/>
      <c r="I2354" s="27"/>
      <c r="J2354" s="27"/>
      <c r="K2354" s="27"/>
      <c r="L2354" s="27"/>
      <c r="M2354" s="28"/>
      <c r="N2354" s="28"/>
      <c r="O2354" s="27"/>
      <c r="P2354" s="27"/>
    </row>
    <row r="2355">
      <c r="A2355" s="33"/>
      <c r="B2355" s="34"/>
      <c r="C2355" s="34"/>
      <c r="D2355" s="34"/>
      <c r="E2355" s="27"/>
      <c r="F2355" s="27"/>
      <c r="G2355" s="27"/>
      <c r="H2355" s="27"/>
      <c r="I2355" s="27"/>
      <c r="J2355" s="27"/>
      <c r="K2355" s="27"/>
      <c r="L2355" s="27"/>
      <c r="M2355" s="28"/>
      <c r="N2355" s="28"/>
      <c r="O2355" s="27"/>
      <c r="P2355" s="27"/>
    </row>
    <row r="2356">
      <c r="A2356" s="33"/>
      <c r="B2356" s="34"/>
      <c r="C2356" s="34"/>
      <c r="D2356" s="34"/>
      <c r="E2356" s="27"/>
      <c r="F2356" s="27"/>
      <c r="G2356" s="27"/>
      <c r="H2356" s="27"/>
      <c r="I2356" s="27"/>
      <c r="J2356" s="27"/>
      <c r="K2356" s="27"/>
      <c r="L2356" s="27"/>
      <c r="M2356" s="28"/>
      <c r="N2356" s="28"/>
      <c r="O2356" s="27"/>
      <c r="P2356" s="27"/>
    </row>
    <row r="2357">
      <c r="A2357" s="33"/>
      <c r="B2357" s="34"/>
      <c r="C2357" s="34"/>
      <c r="D2357" s="34"/>
      <c r="E2357" s="27"/>
      <c r="F2357" s="27"/>
      <c r="G2357" s="27"/>
      <c r="H2357" s="27"/>
      <c r="I2357" s="27"/>
      <c r="J2357" s="27"/>
      <c r="K2357" s="27"/>
      <c r="L2357" s="27"/>
      <c r="M2357" s="28"/>
      <c r="N2357" s="28"/>
      <c r="O2357" s="27"/>
      <c r="P2357" s="27"/>
    </row>
    <row r="2358">
      <c r="A2358" s="33"/>
      <c r="B2358" s="34"/>
      <c r="C2358" s="34"/>
      <c r="D2358" s="34"/>
      <c r="E2358" s="27"/>
      <c r="F2358" s="27"/>
      <c r="G2358" s="27"/>
      <c r="H2358" s="27"/>
      <c r="I2358" s="27"/>
      <c r="J2358" s="27"/>
      <c r="K2358" s="27"/>
      <c r="L2358" s="27"/>
      <c r="M2358" s="28"/>
      <c r="N2358" s="28"/>
      <c r="O2358" s="27"/>
      <c r="P2358" s="27"/>
    </row>
    <row r="2359">
      <c r="A2359" s="33"/>
      <c r="B2359" s="34"/>
      <c r="C2359" s="34"/>
      <c r="D2359" s="34"/>
      <c r="E2359" s="27"/>
      <c r="F2359" s="27"/>
      <c r="G2359" s="27"/>
      <c r="H2359" s="27"/>
      <c r="I2359" s="27"/>
      <c r="J2359" s="27"/>
      <c r="K2359" s="27"/>
      <c r="L2359" s="27"/>
      <c r="M2359" s="28"/>
      <c r="N2359" s="28"/>
      <c r="O2359" s="27"/>
      <c r="P2359" s="27"/>
    </row>
    <row r="2360">
      <c r="A2360" s="33"/>
      <c r="B2360" s="34"/>
      <c r="C2360" s="34"/>
      <c r="D2360" s="34"/>
      <c r="E2360" s="27"/>
      <c r="F2360" s="27"/>
      <c r="G2360" s="27"/>
      <c r="H2360" s="27"/>
      <c r="I2360" s="27"/>
      <c r="J2360" s="27"/>
      <c r="K2360" s="27"/>
      <c r="L2360" s="27"/>
      <c r="M2360" s="28"/>
      <c r="N2360" s="28"/>
      <c r="O2360" s="27"/>
      <c r="P2360" s="27"/>
    </row>
    <row r="2361">
      <c r="A2361" s="33"/>
      <c r="B2361" s="34"/>
      <c r="C2361" s="34"/>
      <c r="D2361" s="34"/>
      <c r="E2361" s="27"/>
      <c r="F2361" s="27"/>
      <c r="G2361" s="27"/>
      <c r="H2361" s="27"/>
      <c r="I2361" s="27"/>
      <c r="J2361" s="27"/>
      <c r="K2361" s="27"/>
      <c r="L2361" s="27"/>
      <c r="M2361" s="28"/>
      <c r="N2361" s="28"/>
      <c r="O2361" s="27"/>
      <c r="P2361" s="27"/>
    </row>
    <row r="2362">
      <c r="A2362" s="33"/>
      <c r="B2362" s="34"/>
      <c r="C2362" s="34"/>
      <c r="D2362" s="34"/>
      <c r="E2362" s="27"/>
      <c r="F2362" s="27"/>
      <c r="G2362" s="27"/>
      <c r="H2362" s="27"/>
      <c r="I2362" s="27"/>
      <c r="J2362" s="27"/>
      <c r="K2362" s="27"/>
      <c r="L2362" s="27"/>
      <c r="M2362" s="28"/>
      <c r="N2362" s="28"/>
      <c r="O2362" s="27"/>
      <c r="P2362" s="27"/>
    </row>
    <row r="2363">
      <c r="A2363" s="33"/>
      <c r="B2363" s="34"/>
      <c r="C2363" s="34"/>
      <c r="D2363" s="34"/>
      <c r="E2363" s="27"/>
      <c r="F2363" s="27"/>
      <c r="G2363" s="27"/>
      <c r="H2363" s="27"/>
      <c r="I2363" s="27"/>
      <c r="J2363" s="27"/>
      <c r="K2363" s="27"/>
      <c r="L2363" s="27"/>
      <c r="M2363" s="28"/>
      <c r="N2363" s="28"/>
      <c r="O2363" s="27"/>
      <c r="P2363" s="27"/>
    </row>
    <row r="2364">
      <c r="A2364" s="33"/>
      <c r="B2364" s="34"/>
      <c r="C2364" s="34"/>
      <c r="D2364" s="34"/>
      <c r="E2364" s="27"/>
      <c r="F2364" s="27"/>
      <c r="G2364" s="27"/>
      <c r="H2364" s="27"/>
      <c r="I2364" s="27"/>
      <c r="J2364" s="27"/>
      <c r="K2364" s="27"/>
      <c r="L2364" s="27"/>
      <c r="M2364" s="28"/>
      <c r="N2364" s="28"/>
      <c r="O2364" s="27"/>
      <c r="P2364" s="27"/>
    </row>
    <row r="2365">
      <c r="A2365" s="33"/>
      <c r="B2365" s="34"/>
      <c r="C2365" s="34"/>
      <c r="D2365" s="34"/>
      <c r="E2365" s="27"/>
      <c r="F2365" s="27"/>
      <c r="G2365" s="27"/>
      <c r="H2365" s="27"/>
      <c r="I2365" s="27"/>
      <c r="J2365" s="27"/>
      <c r="K2365" s="27"/>
      <c r="L2365" s="27"/>
      <c r="M2365" s="28"/>
      <c r="N2365" s="28"/>
      <c r="O2365" s="27"/>
      <c r="P2365" s="27"/>
    </row>
    <row r="2366">
      <c r="A2366" s="33"/>
      <c r="B2366" s="34"/>
      <c r="C2366" s="34"/>
      <c r="D2366" s="34"/>
      <c r="E2366" s="27"/>
      <c r="F2366" s="27"/>
      <c r="G2366" s="27"/>
      <c r="H2366" s="27"/>
      <c r="I2366" s="27"/>
      <c r="J2366" s="27"/>
      <c r="K2366" s="27"/>
      <c r="L2366" s="27"/>
      <c r="M2366" s="28"/>
      <c r="N2366" s="28"/>
      <c r="O2366" s="27"/>
      <c r="P2366" s="27"/>
    </row>
    <row r="2367">
      <c r="A2367" s="33"/>
      <c r="B2367" s="34"/>
      <c r="C2367" s="34"/>
      <c r="D2367" s="34"/>
      <c r="E2367" s="27"/>
      <c r="F2367" s="27"/>
      <c r="G2367" s="27"/>
      <c r="H2367" s="27"/>
      <c r="I2367" s="27"/>
      <c r="J2367" s="27"/>
      <c r="K2367" s="27"/>
      <c r="L2367" s="27"/>
      <c r="M2367" s="28"/>
      <c r="N2367" s="28"/>
      <c r="O2367" s="27"/>
      <c r="P2367" s="27"/>
    </row>
    <row r="2368">
      <c r="A2368" s="33"/>
      <c r="B2368" s="34"/>
      <c r="C2368" s="34"/>
      <c r="D2368" s="34"/>
      <c r="E2368" s="27"/>
      <c r="F2368" s="27"/>
      <c r="G2368" s="27"/>
      <c r="H2368" s="27"/>
      <c r="I2368" s="27"/>
      <c r="J2368" s="27"/>
      <c r="K2368" s="27"/>
      <c r="L2368" s="27"/>
      <c r="M2368" s="28"/>
      <c r="N2368" s="28"/>
      <c r="O2368" s="27"/>
      <c r="P2368" s="27"/>
    </row>
    <row r="2369">
      <c r="A2369" s="33"/>
      <c r="B2369" s="34"/>
      <c r="C2369" s="34"/>
      <c r="D2369" s="34"/>
      <c r="E2369" s="27"/>
      <c r="F2369" s="27"/>
      <c r="G2369" s="27"/>
      <c r="H2369" s="27"/>
      <c r="I2369" s="27"/>
      <c r="J2369" s="27"/>
      <c r="K2369" s="27"/>
      <c r="L2369" s="27"/>
      <c r="M2369" s="28"/>
      <c r="N2369" s="28"/>
      <c r="O2369" s="27"/>
      <c r="P2369" s="27"/>
    </row>
    <row r="2370">
      <c r="A2370" s="33"/>
      <c r="B2370" s="34"/>
      <c r="C2370" s="34"/>
      <c r="D2370" s="34"/>
      <c r="E2370" s="27"/>
      <c r="F2370" s="27"/>
      <c r="G2370" s="27"/>
      <c r="H2370" s="27"/>
      <c r="I2370" s="27"/>
      <c r="J2370" s="27"/>
      <c r="K2370" s="27"/>
      <c r="L2370" s="27"/>
      <c r="M2370" s="28"/>
      <c r="N2370" s="28"/>
      <c r="O2370" s="27"/>
      <c r="P2370" s="27"/>
    </row>
    <row r="2371">
      <c r="A2371" s="33"/>
      <c r="B2371" s="34"/>
      <c r="C2371" s="34"/>
      <c r="D2371" s="34"/>
      <c r="E2371" s="27"/>
      <c r="F2371" s="27"/>
      <c r="G2371" s="27"/>
      <c r="H2371" s="27"/>
      <c r="I2371" s="27"/>
      <c r="J2371" s="27"/>
      <c r="K2371" s="27"/>
      <c r="L2371" s="27"/>
      <c r="M2371" s="28"/>
      <c r="N2371" s="28"/>
      <c r="O2371" s="27"/>
      <c r="P2371" s="27"/>
    </row>
    <row r="2372">
      <c r="A2372" s="33"/>
      <c r="B2372" s="34"/>
      <c r="C2372" s="34"/>
      <c r="D2372" s="34"/>
      <c r="E2372" s="27"/>
      <c r="F2372" s="27"/>
      <c r="G2372" s="27"/>
      <c r="H2372" s="27"/>
      <c r="I2372" s="27"/>
      <c r="J2372" s="27"/>
      <c r="K2372" s="27"/>
      <c r="L2372" s="27"/>
      <c r="M2372" s="28"/>
      <c r="N2372" s="28"/>
      <c r="O2372" s="27"/>
      <c r="P2372" s="27"/>
    </row>
    <row r="2373">
      <c r="A2373" s="33"/>
      <c r="B2373" s="34"/>
      <c r="C2373" s="34"/>
      <c r="D2373" s="34"/>
      <c r="E2373" s="27"/>
      <c r="F2373" s="27"/>
      <c r="G2373" s="27"/>
      <c r="H2373" s="27"/>
      <c r="I2373" s="27"/>
      <c r="J2373" s="27"/>
      <c r="K2373" s="27"/>
      <c r="L2373" s="27"/>
      <c r="M2373" s="28"/>
      <c r="N2373" s="28"/>
      <c r="O2373" s="27"/>
      <c r="P2373" s="27"/>
    </row>
    <row r="2374">
      <c r="A2374" s="33"/>
      <c r="B2374" s="34"/>
      <c r="C2374" s="34"/>
      <c r="D2374" s="34"/>
      <c r="E2374" s="27"/>
      <c r="F2374" s="27"/>
      <c r="G2374" s="27"/>
      <c r="H2374" s="27"/>
      <c r="I2374" s="27"/>
      <c r="J2374" s="27"/>
      <c r="K2374" s="27"/>
      <c r="L2374" s="27"/>
      <c r="M2374" s="28"/>
      <c r="N2374" s="28"/>
      <c r="O2374" s="27"/>
      <c r="P2374" s="27"/>
    </row>
    <row r="2375">
      <c r="A2375" s="33"/>
      <c r="B2375" s="34"/>
      <c r="C2375" s="34"/>
      <c r="D2375" s="34"/>
      <c r="E2375" s="27"/>
      <c r="F2375" s="27"/>
      <c r="G2375" s="27"/>
      <c r="H2375" s="27"/>
      <c r="I2375" s="27"/>
      <c r="J2375" s="27"/>
      <c r="K2375" s="27"/>
      <c r="L2375" s="27"/>
      <c r="M2375" s="28"/>
      <c r="N2375" s="28"/>
      <c r="O2375" s="27"/>
      <c r="P2375" s="27"/>
    </row>
    <row r="2376">
      <c r="A2376" s="33"/>
      <c r="B2376" s="34"/>
      <c r="C2376" s="34"/>
      <c r="D2376" s="34"/>
      <c r="E2376" s="27"/>
      <c r="F2376" s="27"/>
      <c r="G2376" s="27"/>
      <c r="H2376" s="27"/>
      <c r="I2376" s="27"/>
      <c r="J2376" s="27"/>
      <c r="K2376" s="27"/>
      <c r="L2376" s="27"/>
      <c r="M2376" s="28"/>
      <c r="N2376" s="28"/>
      <c r="O2376" s="27"/>
      <c r="P2376" s="27"/>
    </row>
    <row r="2377">
      <c r="A2377" s="33"/>
      <c r="B2377" s="34"/>
      <c r="C2377" s="34"/>
      <c r="D2377" s="34"/>
      <c r="E2377" s="27"/>
      <c r="F2377" s="27"/>
      <c r="G2377" s="27"/>
      <c r="H2377" s="27"/>
      <c r="I2377" s="27"/>
      <c r="J2377" s="27"/>
      <c r="K2377" s="27"/>
      <c r="L2377" s="27"/>
      <c r="M2377" s="28"/>
      <c r="N2377" s="28"/>
      <c r="O2377" s="27"/>
      <c r="P2377" s="27"/>
    </row>
    <row r="2378">
      <c r="A2378" s="33"/>
      <c r="B2378" s="34"/>
      <c r="C2378" s="34"/>
      <c r="D2378" s="34"/>
      <c r="E2378" s="27"/>
      <c r="F2378" s="27"/>
      <c r="G2378" s="27"/>
      <c r="H2378" s="27"/>
      <c r="I2378" s="27"/>
      <c r="J2378" s="27"/>
      <c r="K2378" s="27"/>
      <c r="L2378" s="27"/>
      <c r="M2378" s="28"/>
      <c r="N2378" s="28"/>
      <c r="O2378" s="27"/>
      <c r="P2378" s="27"/>
    </row>
    <row r="2379">
      <c r="A2379" s="33"/>
      <c r="B2379" s="34"/>
      <c r="C2379" s="34"/>
      <c r="D2379" s="34"/>
      <c r="E2379" s="27"/>
      <c r="F2379" s="27"/>
      <c r="G2379" s="27"/>
      <c r="H2379" s="27"/>
      <c r="I2379" s="27"/>
      <c r="J2379" s="27"/>
      <c r="K2379" s="27"/>
      <c r="L2379" s="27"/>
      <c r="M2379" s="28"/>
      <c r="N2379" s="28"/>
      <c r="O2379" s="27"/>
      <c r="P2379" s="27"/>
    </row>
    <row r="2380">
      <c r="A2380" s="33"/>
      <c r="B2380" s="34"/>
      <c r="C2380" s="34"/>
      <c r="D2380" s="34"/>
      <c r="E2380" s="27"/>
      <c r="F2380" s="27"/>
      <c r="G2380" s="27"/>
      <c r="H2380" s="27"/>
      <c r="I2380" s="27"/>
      <c r="J2380" s="27"/>
      <c r="K2380" s="27"/>
      <c r="L2380" s="27"/>
      <c r="M2380" s="28"/>
      <c r="N2380" s="28"/>
      <c r="O2380" s="27"/>
      <c r="P2380" s="27"/>
    </row>
    <row r="2381">
      <c r="A2381" s="33"/>
      <c r="B2381" s="34"/>
      <c r="C2381" s="34"/>
      <c r="D2381" s="34"/>
      <c r="E2381" s="27"/>
      <c r="F2381" s="27"/>
      <c r="G2381" s="27"/>
      <c r="H2381" s="27"/>
      <c r="I2381" s="27"/>
      <c r="J2381" s="27"/>
      <c r="K2381" s="27"/>
      <c r="L2381" s="27"/>
      <c r="M2381" s="28"/>
      <c r="N2381" s="28"/>
      <c r="O2381" s="27"/>
      <c r="P2381" s="27"/>
    </row>
    <row r="2382">
      <c r="A2382" s="33"/>
      <c r="B2382" s="34"/>
      <c r="C2382" s="34"/>
      <c r="D2382" s="34"/>
      <c r="E2382" s="27"/>
      <c r="F2382" s="27"/>
      <c r="G2382" s="27"/>
      <c r="H2382" s="27"/>
      <c r="I2382" s="27"/>
      <c r="J2382" s="27"/>
      <c r="K2382" s="27"/>
      <c r="L2382" s="27"/>
      <c r="M2382" s="28"/>
      <c r="N2382" s="28"/>
      <c r="O2382" s="27"/>
      <c r="P2382" s="27"/>
    </row>
    <row r="2383">
      <c r="A2383" s="33"/>
      <c r="B2383" s="34"/>
      <c r="C2383" s="34"/>
      <c r="D2383" s="34"/>
      <c r="E2383" s="27"/>
      <c r="F2383" s="27"/>
      <c r="G2383" s="27"/>
      <c r="H2383" s="27"/>
      <c r="I2383" s="27"/>
      <c r="J2383" s="27"/>
      <c r="K2383" s="27"/>
      <c r="L2383" s="27"/>
      <c r="M2383" s="28"/>
      <c r="N2383" s="28"/>
      <c r="O2383" s="27"/>
      <c r="P2383" s="27"/>
    </row>
    <row r="2384">
      <c r="A2384" s="33"/>
      <c r="B2384" s="34"/>
      <c r="C2384" s="34"/>
      <c r="D2384" s="34"/>
      <c r="E2384" s="27"/>
      <c r="F2384" s="27"/>
      <c r="G2384" s="27"/>
      <c r="H2384" s="27"/>
      <c r="I2384" s="27"/>
      <c r="J2384" s="27"/>
      <c r="K2384" s="27"/>
      <c r="L2384" s="27"/>
      <c r="M2384" s="28"/>
      <c r="N2384" s="28"/>
      <c r="O2384" s="27"/>
      <c r="P2384" s="27"/>
    </row>
    <row r="2385">
      <c r="A2385" s="33"/>
      <c r="B2385" s="34"/>
      <c r="C2385" s="34"/>
      <c r="D2385" s="34"/>
      <c r="E2385" s="27"/>
      <c r="F2385" s="27"/>
      <c r="G2385" s="27"/>
      <c r="H2385" s="27"/>
      <c r="I2385" s="27"/>
      <c r="J2385" s="27"/>
      <c r="K2385" s="27"/>
      <c r="L2385" s="27"/>
      <c r="M2385" s="28"/>
      <c r="N2385" s="28"/>
      <c r="O2385" s="27"/>
      <c r="P2385" s="27"/>
    </row>
    <row r="2386">
      <c r="A2386" s="33"/>
      <c r="B2386" s="34"/>
      <c r="C2386" s="34"/>
      <c r="D2386" s="34"/>
      <c r="E2386" s="27"/>
      <c r="F2386" s="27"/>
      <c r="G2386" s="27"/>
      <c r="H2386" s="27"/>
      <c r="I2386" s="27"/>
      <c r="J2386" s="27"/>
      <c r="K2386" s="27"/>
      <c r="L2386" s="27"/>
      <c r="M2386" s="28"/>
      <c r="N2386" s="28"/>
      <c r="O2386" s="27"/>
      <c r="P2386" s="27"/>
    </row>
    <row r="2387">
      <c r="A2387" s="33"/>
      <c r="B2387" s="34"/>
      <c r="C2387" s="34"/>
      <c r="D2387" s="34"/>
      <c r="E2387" s="27"/>
      <c r="F2387" s="27"/>
      <c r="G2387" s="27"/>
      <c r="H2387" s="27"/>
      <c r="I2387" s="27"/>
      <c r="J2387" s="27"/>
      <c r="K2387" s="27"/>
      <c r="L2387" s="27"/>
      <c r="M2387" s="28"/>
      <c r="N2387" s="28"/>
      <c r="O2387" s="27"/>
      <c r="P2387" s="27"/>
    </row>
    <row r="2388">
      <c r="A2388" s="33"/>
      <c r="B2388" s="34"/>
      <c r="C2388" s="34"/>
      <c r="D2388" s="34"/>
      <c r="E2388" s="27"/>
      <c r="F2388" s="27"/>
      <c r="G2388" s="27"/>
      <c r="H2388" s="27"/>
      <c r="I2388" s="27"/>
      <c r="J2388" s="27"/>
      <c r="K2388" s="27"/>
      <c r="L2388" s="27"/>
      <c r="M2388" s="28"/>
      <c r="N2388" s="28"/>
      <c r="O2388" s="27"/>
      <c r="P2388" s="27"/>
    </row>
    <row r="2389">
      <c r="A2389" s="33"/>
      <c r="B2389" s="34"/>
      <c r="C2389" s="34"/>
      <c r="D2389" s="34"/>
      <c r="E2389" s="27"/>
      <c r="F2389" s="27"/>
      <c r="G2389" s="27"/>
      <c r="H2389" s="27"/>
      <c r="I2389" s="27"/>
      <c r="J2389" s="27"/>
      <c r="K2389" s="27"/>
      <c r="L2389" s="27"/>
      <c r="M2389" s="28"/>
      <c r="N2389" s="28"/>
      <c r="O2389" s="27"/>
      <c r="P2389" s="27"/>
    </row>
    <row r="2390">
      <c r="A2390" s="33"/>
      <c r="B2390" s="34"/>
      <c r="C2390" s="34"/>
      <c r="D2390" s="34"/>
      <c r="E2390" s="27"/>
      <c r="F2390" s="27"/>
      <c r="G2390" s="27"/>
      <c r="H2390" s="27"/>
      <c r="I2390" s="27"/>
      <c r="J2390" s="27"/>
      <c r="K2390" s="27"/>
      <c r="L2390" s="27"/>
      <c r="M2390" s="28"/>
      <c r="N2390" s="28"/>
      <c r="O2390" s="27"/>
      <c r="P2390" s="27"/>
    </row>
    <row r="2391">
      <c r="A2391" s="33"/>
      <c r="B2391" s="34"/>
      <c r="C2391" s="34"/>
      <c r="D2391" s="34"/>
      <c r="E2391" s="27"/>
      <c r="F2391" s="27"/>
      <c r="G2391" s="27"/>
      <c r="H2391" s="27"/>
      <c r="I2391" s="27"/>
      <c r="J2391" s="27"/>
      <c r="K2391" s="27"/>
      <c r="L2391" s="27"/>
      <c r="M2391" s="28"/>
      <c r="N2391" s="28"/>
      <c r="O2391" s="27"/>
      <c r="P2391" s="27"/>
    </row>
    <row r="2392">
      <c r="A2392" s="33"/>
      <c r="B2392" s="34"/>
      <c r="C2392" s="34"/>
      <c r="D2392" s="34"/>
      <c r="E2392" s="27"/>
      <c r="F2392" s="27"/>
      <c r="G2392" s="27"/>
      <c r="H2392" s="27"/>
      <c r="I2392" s="27"/>
      <c r="J2392" s="27"/>
      <c r="K2392" s="27"/>
      <c r="L2392" s="27"/>
      <c r="M2392" s="28"/>
      <c r="N2392" s="28"/>
      <c r="O2392" s="27"/>
      <c r="P2392" s="27"/>
    </row>
    <row r="2393">
      <c r="A2393" s="33"/>
      <c r="B2393" s="34"/>
      <c r="C2393" s="34"/>
      <c r="D2393" s="34"/>
      <c r="E2393" s="27"/>
      <c r="F2393" s="27"/>
      <c r="G2393" s="27"/>
      <c r="H2393" s="27"/>
      <c r="I2393" s="27"/>
      <c r="J2393" s="27"/>
      <c r="K2393" s="27"/>
      <c r="L2393" s="27"/>
      <c r="M2393" s="28"/>
      <c r="N2393" s="28"/>
      <c r="O2393" s="27"/>
      <c r="P2393" s="27"/>
    </row>
    <row r="2394">
      <c r="A2394" s="33"/>
      <c r="B2394" s="34"/>
      <c r="C2394" s="34"/>
      <c r="D2394" s="34"/>
      <c r="E2394" s="27"/>
      <c r="F2394" s="27"/>
      <c r="G2394" s="27"/>
      <c r="H2394" s="27"/>
      <c r="I2394" s="27"/>
      <c r="J2394" s="27"/>
      <c r="K2394" s="27"/>
      <c r="L2394" s="27"/>
      <c r="M2394" s="28"/>
      <c r="N2394" s="28"/>
      <c r="O2394" s="27"/>
      <c r="P2394" s="27"/>
    </row>
    <row r="2395">
      <c r="A2395" s="33"/>
      <c r="B2395" s="34"/>
      <c r="C2395" s="34"/>
      <c r="D2395" s="34"/>
      <c r="E2395" s="27"/>
      <c r="F2395" s="27"/>
      <c r="G2395" s="27"/>
      <c r="H2395" s="27"/>
      <c r="I2395" s="27"/>
      <c r="J2395" s="27"/>
      <c r="K2395" s="27"/>
      <c r="L2395" s="27"/>
      <c r="M2395" s="28"/>
      <c r="N2395" s="28"/>
      <c r="O2395" s="27"/>
      <c r="P2395" s="27"/>
    </row>
    <row r="2396">
      <c r="A2396" s="33"/>
      <c r="B2396" s="34"/>
      <c r="C2396" s="34"/>
      <c r="D2396" s="34"/>
      <c r="E2396" s="27"/>
      <c r="F2396" s="27"/>
      <c r="G2396" s="27"/>
      <c r="H2396" s="27"/>
      <c r="I2396" s="27"/>
      <c r="J2396" s="27"/>
      <c r="K2396" s="27"/>
      <c r="L2396" s="27"/>
      <c r="M2396" s="28"/>
      <c r="N2396" s="28"/>
      <c r="O2396" s="27"/>
      <c r="P2396" s="27"/>
    </row>
    <row r="2397">
      <c r="A2397" s="33"/>
      <c r="B2397" s="34"/>
      <c r="C2397" s="34"/>
      <c r="D2397" s="34"/>
      <c r="E2397" s="27"/>
      <c r="F2397" s="27"/>
      <c r="G2397" s="27"/>
      <c r="H2397" s="27"/>
      <c r="I2397" s="27"/>
      <c r="J2397" s="27"/>
      <c r="K2397" s="27"/>
      <c r="L2397" s="27"/>
      <c r="M2397" s="28"/>
      <c r="N2397" s="28"/>
      <c r="O2397" s="27"/>
      <c r="P2397" s="27"/>
    </row>
    <row r="2398">
      <c r="A2398" s="33"/>
      <c r="B2398" s="34"/>
      <c r="C2398" s="34"/>
      <c r="D2398" s="34"/>
      <c r="E2398" s="27"/>
      <c r="F2398" s="27"/>
      <c r="G2398" s="27"/>
      <c r="H2398" s="27"/>
      <c r="I2398" s="27"/>
      <c r="J2398" s="27"/>
      <c r="K2398" s="27"/>
      <c r="L2398" s="27"/>
      <c r="M2398" s="28"/>
      <c r="N2398" s="28"/>
      <c r="O2398" s="27"/>
      <c r="P2398" s="27"/>
    </row>
    <row r="2399">
      <c r="A2399" s="33"/>
      <c r="B2399" s="34"/>
      <c r="C2399" s="34"/>
      <c r="D2399" s="34"/>
      <c r="E2399" s="27"/>
      <c r="F2399" s="27"/>
      <c r="G2399" s="27"/>
      <c r="H2399" s="27"/>
      <c r="I2399" s="27"/>
      <c r="J2399" s="27"/>
      <c r="K2399" s="27"/>
      <c r="L2399" s="27"/>
      <c r="M2399" s="28"/>
      <c r="N2399" s="28"/>
      <c r="O2399" s="27"/>
      <c r="P2399" s="27"/>
    </row>
    <row r="2400">
      <c r="A2400" s="33"/>
      <c r="B2400" s="34"/>
      <c r="C2400" s="34"/>
      <c r="D2400" s="34"/>
      <c r="E2400" s="27"/>
      <c r="F2400" s="27"/>
      <c r="G2400" s="27"/>
      <c r="H2400" s="27"/>
      <c r="I2400" s="27"/>
      <c r="J2400" s="27"/>
      <c r="K2400" s="27"/>
      <c r="L2400" s="27"/>
      <c r="M2400" s="28"/>
      <c r="N2400" s="28"/>
      <c r="O2400" s="27"/>
      <c r="P2400" s="27"/>
    </row>
    <row r="2401">
      <c r="A2401" s="33"/>
      <c r="B2401" s="34"/>
      <c r="C2401" s="34"/>
      <c r="D2401" s="34"/>
      <c r="E2401" s="27"/>
      <c r="F2401" s="27"/>
      <c r="G2401" s="27"/>
      <c r="H2401" s="27"/>
      <c r="I2401" s="27"/>
      <c r="J2401" s="27"/>
      <c r="K2401" s="27"/>
      <c r="L2401" s="27"/>
      <c r="M2401" s="28"/>
      <c r="N2401" s="28"/>
      <c r="O2401" s="27"/>
      <c r="P2401" s="27"/>
    </row>
    <row r="2402">
      <c r="A2402" s="33"/>
      <c r="B2402" s="34"/>
      <c r="C2402" s="34"/>
      <c r="D2402" s="34"/>
      <c r="E2402" s="27"/>
      <c r="F2402" s="27"/>
      <c r="G2402" s="27"/>
      <c r="H2402" s="27"/>
      <c r="I2402" s="27"/>
      <c r="J2402" s="27"/>
      <c r="K2402" s="27"/>
      <c r="L2402" s="27"/>
      <c r="M2402" s="28"/>
      <c r="N2402" s="28"/>
      <c r="O2402" s="27"/>
      <c r="P2402" s="27"/>
    </row>
    <row r="2403">
      <c r="A2403" s="33"/>
      <c r="B2403" s="34"/>
      <c r="C2403" s="34"/>
      <c r="D2403" s="34"/>
      <c r="E2403" s="27"/>
      <c r="F2403" s="27"/>
      <c r="G2403" s="27"/>
      <c r="H2403" s="27"/>
      <c r="I2403" s="27"/>
      <c r="J2403" s="27"/>
      <c r="K2403" s="27"/>
      <c r="L2403" s="27"/>
      <c r="M2403" s="28"/>
      <c r="N2403" s="28"/>
      <c r="O2403" s="27"/>
      <c r="P2403" s="27"/>
    </row>
    <row r="2404">
      <c r="A2404" s="33"/>
      <c r="B2404" s="34"/>
      <c r="C2404" s="34"/>
      <c r="D2404" s="34"/>
      <c r="E2404" s="27"/>
      <c r="F2404" s="27"/>
      <c r="G2404" s="27"/>
      <c r="H2404" s="27"/>
      <c r="I2404" s="27"/>
      <c r="J2404" s="27"/>
      <c r="K2404" s="27"/>
      <c r="L2404" s="27"/>
      <c r="M2404" s="28"/>
      <c r="N2404" s="28"/>
      <c r="O2404" s="27"/>
      <c r="P2404" s="27"/>
    </row>
    <row r="2405">
      <c r="A2405" s="33"/>
      <c r="B2405" s="34"/>
      <c r="C2405" s="34"/>
      <c r="D2405" s="34"/>
      <c r="E2405" s="27"/>
      <c r="F2405" s="27"/>
      <c r="G2405" s="27"/>
      <c r="H2405" s="27"/>
      <c r="I2405" s="27"/>
      <c r="J2405" s="27"/>
      <c r="K2405" s="27"/>
      <c r="L2405" s="27"/>
      <c r="M2405" s="28"/>
      <c r="N2405" s="28"/>
      <c r="O2405" s="27"/>
      <c r="P2405" s="27"/>
    </row>
    <row r="2406">
      <c r="A2406" s="33"/>
      <c r="B2406" s="34"/>
      <c r="C2406" s="34"/>
      <c r="D2406" s="34"/>
      <c r="E2406" s="27"/>
      <c r="F2406" s="27"/>
      <c r="G2406" s="27"/>
      <c r="H2406" s="27"/>
      <c r="I2406" s="27"/>
      <c r="J2406" s="27"/>
      <c r="K2406" s="27"/>
      <c r="L2406" s="27"/>
      <c r="M2406" s="28"/>
      <c r="N2406" s="28"/>
      <c r="O2406" s="27"/>
      <c r="P2406" s="27"/>
    </row>
    <row r="2407">
      <c r="A2407" s="33"/>
      <c r="B2407" s="34"/>
      <c r="C2407" s="34"/>
      <c r="D2407" s="34"/>
      <c r="E2407" s="27"/>
      <c r="F2407" s="27"/>
      <c r="G2407" s="27"/>
      <c r="H2407" s="27"/>
      <c r="I2407" s="27"/>
      <c r="J2407" s="27"/>
      <c r="K2407" s="27"/>
      <c r="L2407" s="27"/>
      <c r="M2407" s="28"/>
      <c r="N2407" s="28"/>
      <c r="O2407" s="27"/>
      <c r="P2407" s="27"/>
    </row>
    <row r="2408">
      <c r="A2408" s="33"/>
      <c r="B2408" s="34"/>
      <c r="C2408" s="34"/>
      <c r="D2408" s="34"/>
      <c r="E2408" s="27"/>
      <c r="F2408" s="27"/>
      <c r="G2408" s="27"/>
      <c r="H2408" s="27"/>
      <c r="I2408" s="27"/>
      <c r="J2408" s="27"/>
      <c r="K2408" s="27"/>
      <c r="L2408" s="27"/>
      <c r="M2408" s="28"/>
      <c r="N2408" s="28"/>
      <c r="O2408" s="27"/>
      <c r="P2408" s="27"/>
    </row>
    <row r="2409">
      <c r="A2409" s="33"/>
      <c r="B2409" s="34"/>
      <c r="C2409" s="34"/>
      <c r="D2409" s="34"/>
      <c r="E2409" s="27"/>
      <c r="F2409" s="27"/>
      <c r="G2409" s="27"/>
      <c r="H2409" s="27"/>
      <c r="I2409" s="27"/>
      <c r="J2409" s="27"/>
      <c r="K2409" s="27"/>
      <c r="L2409" s="27"/>
      <c r="M2409" s="28"/>
      <c r="N2409" s="28"/>
      <c r="O2409" s="27"/>
      <c r="P2409" s="27"/>
    </row>
    <row r="2410">
      <c r="A2410" s="33"/>
      <c r="B2410" s="34"/>
      <c r="C2410" s="34"/>
      <c r="D2410" s="34"/>
      <c r="E2410" s="27"/>
      <c r="F2410" s="27"/>
      <c r="G2410" s="27"/>
      <c r="H2410" s="27"/>
      <c r="I2410" s="27"/>
      <c r="J2410" s="27"/>
      <c r="K2410" s="27"/>
      <c r="L2410" s="27"/>
      <c r="M2410" s="28"/>
      <c r="N2410" s="28"/>
      <c r="O2410" s="27"/>
      <c r="P2410" s="27"/>
    </row>
    <row r="2411">
      <c r="A2411" s="33"/>
      <c r="B2411" s="34"/>
      <c r="C2411" s="34"/>
      <c r="D2411" s="34"/>
      <c r="E2411" s="27"/>
      <c r="F2411" s="27"/>
      <c r="G2411" s="27"/>
      <c r="H2411" s="27"/>
      <c r="I2411" s="27"/>
      <c r="J2411" s="27"/>
      <c r="K2411" s="27"/>
      <c r="L2411" s="27"/>
      <c r="M2411" s="28"/>
      <c r="N2411" s="28"/>
      <c r="O2411" s="27"/>
      <c r="P2411" s="27"/>
    </row>
    <row r="2412">
      <c r="A2412" s="33"/>
      <c r="B2412" s="34"/>
      <c r="C2412" s="34"/>
      <c r="D2412" s="34"/>
      <c r="E2412" s="27"/>
      <c r="F2412" s="27"/>
      <c r="G2412" s="27"/>
      <c r="H2412" s="27"/>
      <c r="I2412" s="27"/>
      <c r="J2412" s="27"/>
      <c r="K2412" s="27"/>
      <c r="L2412" s="27"/>
      <c r="M2412" s="28"/>
      <c r="N2412" s="28"/>
      <c r="O2412" s="27"/>
      <c r="P2412" s="27"/>
    </row>
    <row r="2413">
      <c r="A2413" s="33"/>
      <c r="B2413" s="34"/>
      <c r="C2413" s="34"/>
      <c r="D2413" s="34"/>
      <c r="E2413" s="27"/>
      <c r="F2413" s="27"/>
      <c r="G2413" s="27"/>
      <c r="H2413" s="27"/>
      <c r="I2413" s="27"/>
      <c r="J2413" s="27"/>
      <c r="K2413" s="27"/>
      <c r="L2413" s="27"/>
      <c r="M2413" s="28"/>
      <c r="N2413" s="28"/>
      <c r="O2413" s="27"/>
      <c r="P2413" s="27"/>
    </row>
    <row r="2414">
      <c r="A2414" s="33"/>
      <c r="B2414" s="34"/>
      <c r="C2414" s="34"/>
      <c r="D2414" s="34"/>
      <c r="E2414" s="27"/>
      <c r="F2414" s="27"/>
      <c r="G2414" s="27"/>
      <c r="H2414" s="27"/>
      <c r="I2414" s="27"/>
      <c r="J2414" s="27"/>
      <c r="K2414" s="27"/>
      <c r="L2414" s="27"/>
      <c r="M2414" s="28"/>
      <c r="N2414" s="28"/>
      <c r="O2414" s="27"/>
      <c r="P2414" s="27"/>
    </row>
    <row r="2415">
      <c r="A2415" s="33"/>
      <c r="B2415" s="34"/>
      <c r="C2415" s="34"/>
      <c r="D2415" s="34"/>
      <c r="E2415" s="27"/>
      <c r="F2415" s="27"/>
      <c r="G2415" s="27"/>
      <c r="H2415" s="27"/>
      <c r="I2415" s="27"/>
      <c r="J2415" s="27"/>
      <c r="K2415" s="27"/>
      <c r="L2415" s="27"/>
      <c r="M2415" s="28"/>
      <c r="N2415" s="28"/>
      <c r="O2415" s="27"/>
      <c r="P2415" s="27"/>
    </row>
    <row r="2416">
      <c r="A2416" s="33"/>
      <c r="B2416" s="34"/>
      <c r="C2416" s="34"/>
      <c r="D2416" s="34"/>
      <c r="E2416" s="27"/>
      <c r="F2416" s="27"/>
      <c r="G2416" s="27"/>
      <c r="H2416" s="27"/>
      <c r="I2416" s="27"/>
      <c r="J2416" s="27"/>
      <c r="K2416" s="27"/>
      <c r="L2416" s="27"/>
      <c r="M2416" s="28"/>
      <c r="N2416" s="28"/>
      <c r="O2416" s="27"/>
      <c r="P2416" s="27"/>
    </row>
    <row r="2417">
      <c r="A2417" s="33"/>
      <c r="B2417" s="34"/>
      <c r="C2417" s="34"/>
      <c r="D2417" s="34"/>
      <c r="E2417" s="27"/>
      <c r="F2417" s="27"/>
      <c r="G2417" s="27"/>
      <c r="H2417" s="27"/>
      <c r="I2417" s="27"/>
      <c r="J2417" s="27"/>
      <c r="K2417" s="27"/>
      <c r="L2417" s="27"/>
      <c r="M2417" s="28"/>
      <c r="N2417" s="28"/>
      <c r="O2417" s="27"/>
      <c r="P2417" s="27"/>
    </row>
    <row r="2418">
      <c r="A2418" s="33"/>
      <c r="B2418" s="34"/>
      <c r="C2418" s="34"/>
      <c r="D2418" s="34"/>
      <c r="E2418" s="27"/>
      <c r="F2418" s="27"/>
      <c r="G2418" s="27"/>
      <c r="H2418" s="27"/>
      <c r="I2418" s="27"/>
      <c r="J2418" s="27"/>
      <c r="K2418" s="27"/>
      <c r="L2418" s="27"/>
      <c r="M2418" s="28"/>
      <c r="N2418" s="28"/>
      <c r="O2418" s="27"/>
      <c r="P2418" s="27"/>
    </row>
    <row r="2419">
      <c r="A2419" s="33"/>
      <c r="B2419" s="34"/>
      <c r="C2419" s="34"/>
      <c r="D2419" s="34"/>
      <c r="E2419" s="27"/>
      <c r="F2419" s="27"/>
      <c r="G2419" s="27"/>
      <c r="H2419" s="27"/>
      <c r="I2419" s="27"/>
      <c r="J2419" s="27"/>
      <c r="K2419" s="27"/>
      <c r="L2419" s="27"/>
      <c r="M2419" s="28"/>
      <c r="N2419" s="28"/>
      <c r="O2419" s="27"/>
      <c r="P2419" s="27"/>
    </row>
    <row r="2420">
      <c r="A2420" s="33"/>
      <c r="B2420" s="34"/>
      <c r="C2420" s="34"/>
      <c r="D2420" s="34"/>
      <c r="E2420" s="27"/>
      <c r="F2420" s="27"/>
      <c r="G2420" s="27"/>
      <c r="H2420" s="27"/>
      <c r="I2420" s="27"/>
      <c r="J2420" s="27"/>
      <c r="K2420" s="27"/>
      <c r="L2420" s="27"/>
      <c r="M2420" s="28"/>
      <c r="N2420" s="28"/>
      <c r="O2420" s="27"/>
      <c r="P2420" s="27"/>
    </row>
    <row r="2421">
      <c r="A2421" s="33"/>
      <c r="B2421" s="34"/>
      <c r="C2421" s="34"/>
      <c r="D2421" s="34"/>
      <c r="E2421" s="27"/>
      <c r="F2421" s="27"/>
      <c r="G2421" s="27"/>
      <c r="H2421" s="27"/>
      <c r="I2421" s="27"/>
      <c r="J2421" s="27"/>
      <c r="K2421" s="27"/>
      <c r="L2421" s="27"/>
      <c r="M2421" s="28"/>
      <c r="N2421" s="28"/>
      <c r="O2421" s="27"/>
      <c r="P2421" s="27"/>
    </row>
    <row r="2422">
      <c r="A2422" s="33"/>
      <c r="B2422" s="34"/>
      <c r="C2422" s="34"/>
      <c r="D2422" s="34"/>
      <c r="E2422" s="27"/>
      <c r="F2422" s="27"/>
      <c r="G2422" s="27"/>
      <c r="H2422" s="27"/>
      <c r="I2422" s="27"/>
      <c r="J2422" s="27"/>
      <c r="K2422" s="27"/>
      <c r="L2422" s="27"/>
      <c r="M2422" s="28"/>
      <c r="N2422" s="28"/>
      <c r="O2422" s="27"/>
      <c r="P2422" s="27"/>
    </row>
    <row r="2423">
      <c r="A2423" s="33"/>
      <c r="B2423" s="34"/>
      <c r="C2423" s="34"/>
      <c r="D2423" s="34"/>
      <c r="E2423" s="27"/>
      <c r="F2423" s="27"/>
      <c r="G2423" s="27"/>
      <c r="H2423" s="27"/>
      <c r="I2423" s="27"/>
      <c r="J2423" s="27"/>
      <c r="K2423" s="27"/>
      <c r="L2423" s="27"/>
      <c r="M2423" s="28"/>
      <c r="N2423" s="28"/>
      <c r="O2423" s="27"/>
      <c r="P2423" s="27"/>
    </row>
    <row r="2424">
      <c r="A2424" s="33"/>
      <c r="B2424" s="34"/>
      <c r="C2424" s="34"/>
      <c r="D2424" s="34"/>
      <c r="E2424" s="27"/>
      <c r="F2424" s="27"/>
      <c r="G2424" s="27"/>
      <c r="H2424" s="27"/>
      <c r="I2424" s="27"/>
      <c r="J2424" s="27"/>
      <c r="K2424" s="27"/>
      <c r="L2424" s="27"/>
      <c r="M2424" s="28"/>
      <c r="N2424" s="28"/>
      <c r="O2424" s="27"/>
      <c r="P2424" s="27"/>
    </row>
    <row r="2425">
      <c r="A2425" s="33"/>
      <c r="B2425" s="34"/>
      <c r="C2425" s="34"/>
      <c r="D2425" s="34"/>
      <c r="E2425" s="27"/>
      <c r="F2425" s="27"/>
      <c r="G2425" s="27"/>
      <c r="H2425" s="27"/>
      <c r="I2425" s="27"/>
      <c r="J2425" s="27"/>
      <c r="K2425" s="27"/>
      <c r="L2425" s="27"/>
      <c r="M2425" s="28"/>
      <c r="N2425" s="28"/>
      <c r="O2425" s="27"/>
      <c r="P2425" s="27"/>
    </row>
    <row r="2426">
      <c r="A2426" s="33"/>
      <c r="B2426" s="34"/>
      <c r="C2426" s="34"/>
      <c r="D2426" s="34"/>
      <c r="E2426" s="27"/>
      <c r="F2426" s="27"/>
      <c r="G2426" s="27"/>
      <c r="H2426" s="27"/>
      <c r="I2426" s="27"/>
      <c r="J2426" s="27"/>
      <c r="K2426" s="27"/>
      <c r="L2426" s="27"/>
      <c r="M2426" s="28"/>
      <c r="N2426" s="28"/>
      <c r="O2426" s="27"/>
      <c r="P2426" s="27"/>
    </row>
    <row r="2427">
      <c r="A2427" s="33"/>
      <c r="B2427" s="34"/>
      <c r="C2427" s="34"/>
      <c r="D2427" s="34"/>
      <c r="E2427" s="27"/>
      <c r="F2427" s="27"/>
      <c r="G2427" s="27"/>
      <c r="H2427" s="27"/>
      <c r="I2427" s="27"/>
      <c r="J2427" s="27"/>
      <c r="K2427" s="27"/>
      <c r="L2427" s="27"/>
      <c r="M2427" s="28"/>
      <c r="N2427" s="28"/>
      <c r="O2427" s="27"/>
      <c r="P2427" s="27"/>
    </row>
    <row r="2428">
      <c r="A2428" s="33"/>
      <c r="B2428" s="34"/>
      <c r="C2428" s="34"/>
      <c r="D2428" s="34"/>
      <c r="E2428" s="27"/>
      <c r="F2428" s="27"/>
      <c r="G2428" s="27"/>
      <c r="H2428" s="27"/>
      <c r="I2428" s="27"/>
      <c r="J2428" s="27"/>
      <c r="K2428" s="27"/>
      <c r="L2428" s="27"/>
      <c r="M2428" s="28"/>
      <c r="N2428" s="28"/>
      <c r="O2428" s="27"/>
      <c r="P2428" s="27"/>
    </row>
    <row r="2429">
      <c r="A2429" s="33"/>
      <c r="B2429" s="34"/>
      <c r="C2429" s="34"/>
      <c r="D2429" s="34"/>
      <c r="E2429" s="27"/>
      <c r="F2429" s="27"/>
      <c r="G2429" s="27"/>
      <c r="H2429" s="27"/>
      <c r="I2429" s="27"/>
      <c r="J2429" s="27"/>
      <c r="K2429" s="27"/>
      <c r="L2429" s="27"/>
      <c r="M2429" s="28"/>
      <c r="N2429" s="28"/>
      <c r="O2429" s="27"/>
      <c r="P2429" s="27"/>
    </row>
    <row r="2430">
      <c r="A2430" s="33"/>
      <c r="B2430" s="34"/>
      <c r="C2430" s="34"/>
      <c r="D2430" s="34"/>
      <c r="E2430" s="27"/>
      <c r="F2430" s="27"/>
      <c r="G2430" s="27"/>
      <c r="H2430" s="27"/>
      <c r="I2430" s="27"/>
      <c r="J2430" s="27"/>
      <c r="K2430" s="27"/>
      <c r="L2430" s="27"/>
      <c r="M2430" s="28"/>
      <c r="N2430" s="28"/>
      <c r="O2430" s="27"/>
      <c r="P2430" s="27"/>
    </row>
    <row r="2431">
      <c r="A2431" s="33"/>
      <c r="B2431" s="34"/>
      <c r="C2431" s="34"/>
      <c r="D2431" s="34"/>
      <c r="E2431" s="27"/>
      <c r="F2431" s="27"/>
      <c r="G2431" s="27"/>
      <c r="H2431" s="27"/>
      <c r="I2431" s="27"/>
      <c r="J2431" s="27"/>
      <c r="K2431" s="27"/>
      <c r="L2431" s="27"/>
      <c r="M2431" s="28"/>
      <c r="N2431" s="28"/>
      <c r="O2431" s="27"/>
      <c r="P2431" s="27"/>
    </row>
    <row r="2432">
      <c r="A2432" s="33"/>
      <c r="B2432" s="34"/>
      <c r="C2432" s="34"/>
      <c r="D2432" s="34"/>
      <c r="E2432" s="27"/>
      <c r="F2432" s="27"/>
      <c r="G2432" s="27"/>
      <c r="H2432" s="27"/>
      <c r="I2432" s="27"/>
      <c r="J2432" s="27"/>
      <c r="K2432" s="27"/>
      <c r="L2432" s="27"/>
      <c r="M2432" s="28"/>
      <c r="N2432" s="28"/>
      <c r="O2432" s="27"/>
      <c r="P2432" s="27"/>
    </row>
    <row r="2433">
      <c r="A2433" s="33"/>
      <c r="B2433" s="34"/>
      <c r="C2433" s="34"/>
      <c r="D2433" s="34"/>
      <c r="E2433" s="27"/>
      <c r="F2433" s="27"/>
      <c r="G2433" s="27"/>
      <c r="H2433" s="27"/>
      <c r="I2433" s="27"/>
      <c r="J2433" s="27"/>
      <c r="K2433" s="27"/>
      <c r="L2433" s="27"/>
      <c r="M2433" s="28"/>
      <c r="N2433" s="28"/>
      <c r="O2433" s="27"/>
      <c r="P2433" s="27"/>
    </row>
    <row r="2434">
      <c r="A2434" s="33"/>
      <c r="B2434" s="34"/>
      <c r="C2434" s="34"/>
      <c r="D2434" s="34"/>
      <c r="E2434" s="27"/>
      <c r="F2434" s="27"/>
      <c r="G2434" s="27"/>
      <c r="H2434" s="27"/>
      <c r="I2434" s="27"/>
      <c r="J2434" s="27"/>
      <c r="K2434" s="27"/>
      <c r="L2434" s="27"/>
      <c r="M2434" s="28"/>
      <c r="N2434" s="28"/>
      <c r="O2434" s="27"/>
      <c r="P2434" s="27"/>
    </row>
    <row r="2435">
      <c r="A2435" s="33"/>
      <c r="B2435" s="34"/>
      <c r="C2435" s="34"/>
      <c r="D2435" s="34"/>
      <c r="E2435" s="27"/>
      <c r="F2435" s="27"/>
      <c r="G2435" s="27"/>
      <c r="H2435" s="27"/>
      <c r="I2435" s="27"/>
      <c r="J2435" s="27"/>
      <c r="K2435" s="27"/>
      <c r="L2435" s="27"/>
      <c r="M2435" s="28"/>
      <c r="N2435" s="28"/>
      <c r="O2435" s="27"/>
      <c r="P2435" s="27"/>
    </row>
    <row r="2436">
      <c r="A2436" s="33"/>
      <c r="B2436" s="34"/>
      <c r="C2436" s="34"/>
      <c r="D2436" s="34"/>
      <c r="E2436" s="27"/>
      <c r="F2436" s="27"/>
      <c r="G2436" s="27"/>
      <c r="H2436" s="27"/>
      <c r="I2436" s="27"/>
      <c r="J2436" s="27"/>
      <c r="K2436" s="27"/>
      <c r="L2436" s="27"/>
      <c r="M2436" s="28"/>
      <c r="N2436" s="28"/>
      <c r="O2436" s="27"/>
      <c r="P2436" s="27"/>
    </row>
    <row r="2437">
      <c r="A2437" s="33"/>
      <c r="B2437" s="34"/>
      <c r="C2437" s="34"/>
      <c r="D2437" s="34"/>
      <c r="E2437" s="27"/>
      <c r="F2437" s="27"/>
      <c r="G2437" s="27"/>
      <c r="H2437" s="27"/>
      <c r="I2437" s="27"/>
      <c r="J2437" s="27"/>
      <c r="K2437" s="27"/>
      <c r="L2437" s="27"/>
      <c r="M2437" s="28"/>
      <c r="N2437" s="28"/>
      <c r="O2437" s="27"/>
      <c r="P2437" s="27"/>
    </row>
    <row r="2438">
      <c r="A2438" s="33"/>
      <c r="B2438" s="34"/>
      <c r="C2438" s="34"/>
      <c r="D2438" s="34"/>
      <c r="E2438" s="27"/>
      <c r="F2438" s="27"/>
      <c r="G2438" s="27"/>
      <c r="H2438" s="27"/>
      <c r="I2438" s="27"/>
      <c r="J2438" s="27"/>
      <c r="K2438" s="27"/>
      <c r="L2438" s="27"/>
      <c r="M2438" s="28"/>
      <c r="N2438" s="28"/>
      <c r="O2438" s="27"/>
      <c r="P2438" s="27"/>
    </row>
    <row r="2439">
      <c r="A2439" s="33"/>
      <c r="B2439" s="34"/>
      <c r="C2439" s="34"/>
      <c r="D2439" s="34"/>
      <c r="E2439" s="27"/>
      <c r="F2439" s="27"/>
      <c r="G2439" s="27"/>
      <c r="H2439" s="27"/>
      <c r="I2439" s="27"/>
      <c r="J2439" s="27"/>
      <c r="K2439" s="27"/>
      <c r="L2439" s="27"/>
      <c r="M2439" s="28"/>
      <c r="N2439" s="28"/>
      <c r="O2439" s="27"/>
      <c r="P2439" s="27"/>
    </row>
    <row r="2440">
      <c r="A2440" s="33"/>
      <c r="B2440" s="34"/>
      <c r="C2440" s="34"/>
      <c r="D2440" s="34"/>
      <c r="E2440" s="27"/>
      <c r="F2440" s="27"/>
      <c r="G2440" s="27"/>
      <c r="H2440" s="27"/>
      <c r="I2440" s="27"/>
      <c r="J2440" s="27"/>
      <c r="K2440" s="27"/>
      <c r="L2440" s="27"/>
      <c r="M2440" s="28"/>
      <c r="N2440" s="28"/>
      <c r="O2440" s="27"/>
      <c r="P2440" s="27"/>
    </row>
    <row r="2441">
      <c r="A2441" s="33"/>
      <c r="B2441" s="34"/>
      <c r="C2441" s="34"/>
      <c r="D2441" s="34"/>
      <c r="E2441" s="27"/>
      <c r="F2441" s="27"/>
      <c r="G2441" s="27"/>
      <c r="H2441" s="27"/>
      <c r="I2441" s="27"/>
      <c r="J2441" s="27"/>
      <c r="K2441" s="27"/>
      <c r="L2441" s="27"/>
      <c r="M2441" s="28"/>
      <c r="N2441" s="28"/>
      <c r="O2441" s="27"/>
      <c r="P2441" s="27"/>
    </row>
    <row r="2442">
      <c r="A2442" s="33"/>
      <c r="B2442" s="34"/>
      <c r="C2442" s="34"/>
      <c r="D2442" s="34"/>
      <c r="E2442" s="27"/>
      <c r="F2442" s="27"/>
      <c r="G2442" s="27"/>
      <c r="H2442" s="27"/>
      <c r="I2442" s="27"/>
      <c r="J2442" s="27"/>
      <c r="K2442" s="27"/>
      <c r="L2442" s="27"/>
      <c r="M2442" s="28"/>
      <c r="N2442" s="28"/>
      <c r="O2442" s="27"/>
      <c r="P2442" s="27"/>
    </row>
    <row r="2443">
      <c r="A2443" s="33"/>
      <c r="B2443" s="34"/>
      <c r="C2443" s="34"/>
      <c r="D2443" s="34"/>
      <c r="E2443" s="27"/>
      <c r="F2443" s="27"/>
      <c r="G2443" s="27"/>
      <c r="H2443" s="27"/>
      <c r="I2443" s="27"/>
      <c r="J2443" s="27"/>
      <c r="K2443" s="27"/>
      <c r="L2443" s="27"/>
      <c r="M2443" s="28"/>
      <c r="N2443" s="28"/>
      <c r="O2443" s="27"/>
      <c r="P2443" s="27"/>
    </row>
    <row r="2444">
      <c r="A2444" s="33"/>
      <c r="B2444" s="34"/>
      <c r="C2444" s="34"/>
      <c r="D2444" s="34"/>
      <c r="E2444" s="27"/>
      <c r="F2444" s="27"/>
      <c r="G2444" s="27"/>
      <c r="H2444" s="27"/>
      <c r="I2444" s="27"/>
      <c r="J2444" s="27"/>
      <c r="K2444" s="27"/>
      <c r="L2444" s="27"/>
      <c r="M2444" s="28"/>
      <c r="N2444" s="28"/>
      <c r="O2444" s="27"/>
      <c r="P2444" s="27"/>
    </row>
    <row r="2445">
      <c r="A2445" s="33"/>
      <c r="B2445" s="34"/>
      <c r="C2445" s="34"/>
      <c r="D2445" s="34"/>
      <c r="E2445" s="27"/>
      <c r="F2445" s="27"/>
      <c r="G2445" s="27"/>
      <c r="H2445" s="27"/>
      <c r="I2445" s="27"/>
      <c r="J2445" s="27"/>
      <c r="K2445" s="27"/>
      <c r="L2445" s="27"/>
      <c r="M2445" s="28"/>
      <c r="N2445" s="28"/>
      <c r="O2445" s="27"/>
      <c r="P2445" s="27"/>
    </row>
    <row r="2446">
      <c r="A2446" s="33"/>
      <c r="B2446" s="34"/>
      <c r="C2446" s="34"/>
      <c r="D2446" s="34"/>
      <c r="E2446" s="27"/>
      <c r="F2446" s="27"/>
      <c r="G2446" s="27"/>
      <c r="H2446" s="27"/>
      <c r="I2446" s="27"/>
      <c r="J2446" s="27"/>
      <c r="K2446" s="27"/>
      <c r="L2446" s="27"/>
      <c r="M2446" s="28"/>
      <c r="N2446" s="28"/>
      <c r="O2446" s="27"/>
      <c r="P2446" s="27"/>
    </row>
    <row r="2447">
      <c r="A2447" s="33"/>
      <c r="B2447" s="34"/>
      <c r="C2447" s="34"/>
      <c r="D2447" s="34"/>
      <c r="E2447" s="27"/>
      <c r="F2447" s="27"/>
      <c r="G2447" s="27"/>
      <c r="H2447" s="27"/>
      <c r="I2447" s="27"/>
      <c r="J2447" s="27"/>
      <c r="K2447" s="27"/>
      <c r="L2447" s="27"/>
      <c r="M2447" s="28"/>
      <c r="N2447" s="28"/>
      <c r="O2447" s="27"/>
      <c r="P2447" s="27"/>
    </row>
    <row r="2448">
      <c r="A2448" s="33"/>
      <c r="B2448" s="34"/>
      <c r="C2448" s="34"/>
      <c r="D2448" s="34"/>
      <c r="E2448" s="27"/>
      <c r="F2448" s="27"/>
      <c r="G2448" s="27"/>
      <c r="H2448" s="27"/>
      <c r="I2448" s="27"/>
      <c r="J2448" s="27"/>
      <c r="K2448" s="27"/>
      <c r="L2448" s="27"/>
      <c r="M2448" s="28"/>
      <c r="N2448" s="28"/>
      <c r="O2448" s="27"/>
      <c r="P2448" s="27"/>
    </row>
    <row r="2449">
      <c r="A2449" s="33"/>
      <c r="B2449" s="34"/>
      <c r="C2449" s="34"/>
      <c r="D2449" s="34"/>
      <c r="E2449" s="27"/>
      <c r="F2449" s="27"/>
      <c r="G2449" s="27"/>
      <c r="H2449" s="27"/>
      <c r="I2449" s="27"/>
      <c r="J2449" s="27"/>
      <c r="K2449" s="27"/>
      <c r="L2449" s="27"/>
      <c r="M2449" s="28"/>
      <c r="N2449" s="28"/>
      <c r="O2449" s="27"/>
      <c r="P2449" s="27"/>
    </row>
    <row r="2450">
      <c r="A2450" s="33"/>
      <c r="B2450" s="34"/>
      <c r="C2450" s="34"/>
      <c r="D2450" s="34"/>
      <c r="E2450" s="27"/>
      <c r="F2450" s="27"/>
      <c r="G2450" s="27"/>
      <c r="H2450" s="27"/>
      <c r="I2450" s="27"/>
      <c r="J2450" s="27"/>
      <c r="K2450" s="27"/>
      <c r="L2450" s="27"/>
      <c r="M2450" s="28"/>
      <c r="N2450" s="28"/>
      <c r="O2450" s="27"/>
      <c r="P2450" s="27"/>
    </row>
    <row r="2451">
      <c r="A2451" s="33"/>
      <c r="B2451" s="34"/>
      <c r="C2451" s="34"/>
      <c r="D2451" s="34"/>
      <c r="E2451" s="27"/>
      <c r="F2451" s="27"/>
      <c r="G2451" s="27"/>
      <c r="H2451" s="27"/>
      <c r="I2451" s="27"/>
      <c r="J2451" s="27"/>
      <c r="K2451" s="27"/>
      <c r="L2451" s="27"/>
      <c r="M2451" s="28"/>
      <c r="N2451" s="28"/>
      <c r="O2451" s="27"/>
      <c r="P2451" s="27"/>
    </row>
    <row r="2452">
      <c r="A2452" s="33"/>
      <c r="B2452" s="34"/>
      <c r="C2452" s="34"/>
      <c r="D2452" s="34"/>
      <c r="E2452" s="27"/>
      <c r="F2452" s="27"/>
      <c r="G2452" s="27"/>
      <c r="H2452" s="27"/>
      <c r="I2452" s="27"/>
      <c r="J2452" s="27"/>
      <c r="K2452" s="27"/>
      <c r="L2452" s="27"/>
      <c r="M2452" s="28"/>
      <c r="N2452" s="28"/>
      <c r="O2452" s="27"/>
      <c r="P2452" s="27"/>
    </row>
    <row r="2453">
      <c r="A2453" s="33"/>
      <c r="B2453" s="34"/>
      <c r="C2453" s="34"/>
      <c r="D2453" s="34"/>
      <c r="E2453" s="27"/>
      <c r="F2453" s="27"/>
      <c r="G2453" s="27"/>
      <c r="H2453" s="27"/>
      <c r="I2453" s="27"/>
      <c r="J2453" s="27"/>
      <c r="K2453" s="27"/>
      <c r="L2453" s="27"/>
      <c r="M2453" s="28"/>
      <c r="N2453" s="28"/>
      <c r="O2453" s="27"/>
      <c r="P2453" s="27"/>
    </row>
    <row r="2454">
      <c r="A2454" s="33"/>
      <c r="B2454" s="34"/>
      <c r="C2454" s="34"/>
      <c r="D2454" s="34"/>
      <c r="E2454" s="27"/>
      <c r="F2454" s="27"/>
      <c r="G2454" s="27"/>
      <c r="H2454" s="27"/>
      <c r="I2454" s="27"/>
      <c r="J2454" s="27"/>
      <c r="K2454" s="27"/>
      <c r="L2454" s="27"/>
      <c r="M2454" s="28"/>
      <c r="N2454" s="28"/>
      <c r="O2454" s="27"/>
      <c r="P2454" s="27"/>
    </row>
    <row r="2455">
      <c r="A2455" s="33"/>
      <c r="B2455" s="34"/>
      <c r="C2455" s="34"/>
      <c r="D2455" s="34"/>
      <c r="E2455" s="27"/>
      <c r="F2455" s="27"/>
      <c r="G2455" s="27"/>
      <c r="H2455" s="27"/>
      <c r="I2455" s="27"/>
      <c r="J2455" s="27"/>
      <c r="K2455" s="27"/>
      <c r="L2455" s="27"/>
      <c r="M2455" s="28"/>
      <c r="N2455" s="28"/>
      <c r="O2455" s="27"/>
      <c r="P2455" s="27"/>
    </row>
    <row r="2456">
      <c r="A2456" s="33"/>
      <c r="B2456" s="34"/>
      <c r="C2456" s="34"/>
      <c r="D2456" s="34"/>
      <c r="E2456" s="27"/>
      <c r="F2456" s="27"/>
      <c r="G2456" s="27"/>
      <c r="H2456" s="27"/>
      <c r="I2456" s="27"/>
      <c r="J2456" s="27"/>
      <c r="K2456" s="27"/>
      <c r="L2456" s="27"/>
      <c r="M2456" s="28"/>
      <c r="N2456" s="28"/>
      <c r="O2456" s="27"/>
      <c r="P2456" s="27"/>
    </row>
    <row r="2457">
      <c r="A2457" s="33"/>
      <c r="B2457" s="34"/>
      <c r="C2457" s="34"/>
      <c r="D2457" s="34"/>
      <c r="E2457" s="27"/>
      <c r="F2457" s="27"/>
      <c r="G2457" s="27"/>
      <c r="H2457" s="27"/>
      <c r="I2457" s="27"/>
      <c r="J2457" s="27"/>
      <c r="K2457" s="27"/>
      <c r="L2457" s="27"/>
      <c r="M2457" s="28"/>
      <c r="N2457" s="28"/>
      <c r="O2457" s="27"/>
      <c r="P2457" s="27"/>
    </row>
    <row r="2458">
      <c r="A2458" s="33"/>
      <c r="B2458" s="34"/>
      <c r="C2458" s="34"/>
      <c r="D2458" s="34"/>
      <c r="E2458" s="27"/>
      <c r="F2458" s="27"/>
      <c r="G2458" s="27"/>
      <c r="H2458" s="27"/>
      <c r="I2458" s="27"/>
      <c r="J2458" s="27"/>
      <c r="K2458" s="27"/>
      <c r="L2458" s="27"/>
      <c r="M2458" s="28"/>
      <c r="N2458" s="28"/>
      <c r="O2458" s="27"/>
      <c r="P2458" s="27"/>
    </row>
    <row r="2459">
      <c r="A2459" s="33"/>
      <c r="B2459" s="34"/>
      <c r="C2459" s="34"/>
      <c r="D2459" s="34"/>
      <c r="E2459" s="27"/>
      <c r="F2459" s="27"/>
      <c r="G2459" s="27"/>
      <c r="H2459" s="27"/>
      <c r="I2459" s="27"/>
      <c r="J2459" s="27"/>
      <c r="K2459" s="27"/>
      <c r="L2459" s="27"/>
      <c r="M2459" s="28"/>
      <c r="N2459" s="28"/>
      <c r="O2459" s="27"/>
      <c r="P2459" s="27"/>
    </row>
    <row r="2460">
      <c r="A2460" s="33"/>
      <c r="B2460" s="34"/>
      <c r="C2460" s="34"/>
      <c r="D2460" s="34"/>
      <c r="E2460" s="27"/>
      <c r="F2460" s="27"/>
      <c r="G2460" s="27"/>
      <c r="H2460" s="27"/>
      <c r="I2460" s="27"/>
      <c r="J2460" s="27"/>
      <c r="K2460" s="27"/>
      <c r="L2460" s="27"/>
      <c r="M2460" s="28"/>
      <c r="N2460" s="28"/>
      <c r="O2460" s="27"/>
      <c r="P2460" s="27"/>
    </row>
    <row r="2461">
      <c r="A2461" s="33"/>
      <c r="B2461" s="34"/>
      <c r="C2461" s="34"/>
      <c r="D2461" s="34"/>
      <c r="E2461" s="27"/>
      <c r="F2461" s="27"/>
      <c r="G2461" s="27"/>
      <c r="H2461" s="27"/>
      <c r="I2461" s="27"/>
      <c r="J2461" s="27"/>
      <c r="K2461" s="27"/>
      <c r="L2461" s="27"/>
      <c r="M2461" s="28"/>
      <c r="N2461" s="28"/>
      <c r="O2461" s="27"/>
      <c r="P2461" s="27"/>
    </row>
    <row r="2462">
      <c r="A2462" s="33"/>
      <c r="B2462" s="34"/>
      <c r="C2462" s="34"/>
      <c r="D2462" s="34"/>
      <c r="E2462" s="27"/>
      <c r="F2462" s="27"/>
      <c r="G2462" s="27"/>
      <c r="H2462" s="27"/>
      <c r="I2462" s="27"/>
      <c r="J2462" s="27"/>
      <c r="K2462" s="27"/>
      <c r="L2462" s="27"/>
      <c r="M2462" s="28"/>
      <c r="N2462" s="28"/>
      <c r="O2462" s="27"/>
      <c r="P2462" s="27"/>
    </row>
    <row r="2463">
      <c r="A2463" s="33"/>
      <c r="B2463" s="34"/>
      <c r="C2463" s="34"/>
      <c r="D2463" s="34"/>
      <c r="E2463" s="27"/>
      <c r="F2463" s="27"/>
      <c r="G2463" s="27"/>
      <c r="H2463" s="27"/>
      <c r="I2463" s="27"/>
      <c r="J2463" s="27"/>
      <c r="K2463" s="27"/>
      <c r="L2463" s="27"/>
      <c r="M2463" s="28"/>
      <c r="N2463" s="28"/>
      <c r="O2463" s="27"/>
      <c r="P2463" s="27"/>
    </row>
    <row r="2464">
      <c r="A2464" s="33"/>
      <c r="B2464" s="34"/>
      <c r="C2464" s="34"/>
      <c r="D2464" s="34"/>
      <c r="E2464" s="27"/>
      <c r="F2464" s="27"/>
      <c r="G2464" s="27"/>
      <c r="H2464" s="27"/>
      <c r="I2464" s="27"/>
      <c r="J2464" s="27"/>
      <c r="K2464" s="27"/>
      <c r="L2464" s="27"/>
      <c r="M2464" s="28"/>
      <c r="N2464" s="28"/>
      <c r="O2464" s="27"/>
      <c r="P2464" s="27"/>
    </row>
    <row r="2465">
      <c r="A2465" s="33"/>
      <c r="B2465" s="34"/>
      <c r="C2465" s="34"/>
      <c r="D2465" s="34"/>
      <c r="E2465" s="27"/>
      <c r="F2465" s="27"/>
      <c r="G2465" s="27"/>
      <c r="H2465" s="27"/>
      <c r="I2465" s="27"/>
      <c r="J2465" s="27"/>
      <c r="K2465" s="27"/>
      <c r="L2465" s="27"/>
      <c r="M2465" s="28"/>
      <c r="N2465" s="28"/>
      <c r="O2465" s="27"/>
      <c r="P2465" s="27"/>
    </row>
    <row r="2466">
      <c r="A2466" s="33"/>
      <c r="B2466" s="34"/>
      <c r="C2466" s="34"/>
      <c r="D2466" s="34"/>
      <c r="E2466" s="27"/>
      <c r="F2466" s="27"/>
      <c r="G2466" s="27"/>
      <c r="H2466" s="27"/>
      <c r="I2466" s="27"/>
      <c r="J2466" s="27"/>
      <c r="K2466" s="27"/>
      <c r="L2466" s="27"/>
      <c r="M2466" s="28"/>
      <c r="N2466" s="28"/>
      <c r="O2466" s="27"/>
      <c r="P2466" s="27"/>
    </row>
    <row r="2467">
      <c r="A2467" s="33"/>
      <c r="B2467" s="34"/>
      <c r="C2467" s="34"/>
      <c r="D2467" s="34"/>
      <c r="E2467" s="27"/>
      <c r="F2467" s="27"/>
      <c r="G2467" s="27"/>
      <c r="H2467" s="27"/>
      <c r="I2467" s="27"/>
      <c r="J2467" s="27"/>
      <c r="K2467" s="27"/>
      <c r="L2467" s="27"/>
      <c r="M2467" s="28"/>
      <c r="N2467" s="28"/>
      <c r="O2467" s="27"/>
      <c r="P2467" s="27"/>
    </row>
    <row r="2468">
      <c r="A2468" s="33"/>
      <c r="B2468" s="34"/>
      <c r="C2468" s="34"/>
      <c r="D2468" s="34"/>
      <c r="E2468" s="27"/>
      <c r="F2468" s="27"/>
      <c r="G2468" s="27"/>
      <c r="H2468" s="27"/>
      <c r="I2468" s="27"/>
      <c r="J2468" s="27"/>
      <c r="K2468" s="27"/>
      <c r="L2468" s="27"/>
      <c r="M2468" s="28"/>
      <c r="N2468" s="28"/>
      <c r="O2468" s="27"/>
      <c r="P2468" s="27"/>
    </row>
    <row r="2469">
      <c r="A2469" s="33"/>
      <c r="B2469" s="34"/>
      <c r="C2469" s="34"/>
      <c r="D2469" s="34"/>
      <c r="E2469" s="27"/>
      <c r="F2469" s="27"/>
      <c r="G2469" s="27"/>
      <c r="H2469" s="27"/>
      <c r="I2469" s="27"/>
      <c r="J2469" s="27"/>
      <c r="K2469" s="27"/>
      <c r="L2469" s="27"/>
      <c r="M2469" s="28"/>
      <c r="N2469" s="28"/>
      <c r="O2469" s="27"/>
      <c r="P2469" s="27"/>
    </row>
    <row r="2470">
      <c r="A2470" s="33"/>
      <c r="B2470" s="34"/>
      <c r="C2470" s="34"/>
      <c r="D2470" s="34"/>
      <c r="E2470" s="27"/>
      <c r="F2470" s="27"/>
      <c r="G2470" s="27"/>
      <c r="H2470" s="27"/>
      <c r="I2470" s="27"/>
      <c r="J2470" s="27"/>
      <c r="K2470" s="27"/>
      <c r="L2470" s="27"/>
      <c r="M2470" s="28"/>
      <c r="N2470" s="28"/>
      <c r="O2470" s="27"/>
      <c r="P2470" s="27"/>
    </row>
    <row r="2471">
      <c r="A2471" s="33"/>
      <c r="B2471" s="34"/>
      <c r="C2471" s="34"/>
      <c r="D2471" s="34"/>
      <c r="E2471" s="27"/>
      <c r="F2471" s="27"/>
      <c r="G2471" s="27"/>
      <c r="H2471" s="27"/>
      <c r="I2471" s="27"/>
      <c r="J2471" s="27"/>
      <c r="K2471" s="27"/>
      <c r="L2471" s="27"/>
      <c r="M2471" s="28"/>
      <c r="N2471" s="28"/>
      <c r="O2471" s="27"/>
      <c r="P2471" s="27"/>
    </row>
    <row r="2472">
      <c r="A2472" s="33"/>
      <c r="B2472" s="34"/>
      <c r="C2472" s="34"/>
      <c r="D2472" s="34"/>
      <c r="E2472" s="27"/>
      <c r="F2472" s="27"/>
      <c r="G2472" s="27"/>
      <c r="H2472" s="27"/>
      <c r="I2472" s="27"/>
      <c r="J2472" s="27"/>
      <c r="K2472" s="27"/>
      <c r="L2472" s="27"/>
      <c r="M2472" s="28"/>
      <c r="N2472" s="28"/>
      <c r="O2472" s="27"/>
      <c r="P2472" s="27"/>
    </row>
    <row r="2473">
      <c r="A2473" s="33"/>
      <c r="B2473" s="34"/>
      <c r="C2473" s="34"/>
      <c r="D2473" s="34"/>
      <c r="E2473" s="27"/>
      <c r="F2473" s="27"/>
      <c r="G2473" s="27"/>
      <c r="H2473" s="27"/>
      <c r="I2473" s="27"/>
      <c r="J2473" s="27"/>
      <c r="K2473" s="27"/>
      <c r="L2473" s="27"/>
      <c r="M2473" s="28"/>
      <c r="N2473" s="28"/>
      <c r="O2473" s="27"/>
      <c r="P2473" s="27"/>
    </row>
    <row r="2474">
      <c r="A2474" s="33"/>
      <c r="B2474" s="34"/>
      <c r="C2474" s="34"/>
      <c r="D2474" s="34"/>
      <c r="E2474" s="27"/>
      <c r="F2474" s="27"/>
      <c r="G2474" s="27"/>
      <c r="H2474" s="27"/>
      <c r="I2474" s="27"/>
      <c r="J2474" s="27"/>
      <c r="K2474" s="27"/>
      <c r="L2474" s="27"/>
      <c r="M2474" s="28"/>
      <c r="N2474" s="28"/>
      <c r="O2474" s="27"/>
      <c r="P2474" s="27"/>
    </row>
    <row r="2475">
      <c r="A2475" s="33"/>
      <c r="B2475" s="34"/>
      <c r="C2475" s="34"/>
      <c r="D2475" s="34"/>
      <c r="E2475" s="27"/>
      <c r="F2475" s="27"/>
      <c r="G2475" s="27"/>
      <c r="H2475" s="27"/>
      <c r="I2475" s="27"/>
      <c r="J2475" s="27"/>
      <c r="K2475" s="27"/>
      <c r="L2475" s="27"/>
      <c r="M2475" s="28"/>
      <c r="N2475" s="28"/>
      <c r="O2475" s="27"/>
      <c r="P2475" s="27"/>
    </row>
    <row r="2476">
      <c r="A2476" s="33"/>
      <c r="B2476" s="34"/>
      <c r="C2476" s="34"/>
      <c r="D2476" s="34"/>
      <c r="E2476" s="27"/>
      <c r="F2476" s="27"/>
      <c r="G2476" s="27"/>
      <c r="H2476" s="27"/>
      <c r="I2476" s="27"/>
      <c r="J2476" s="27"/>
      <c r="K2476" s="27"/>
      <c r="L2476" s="27"/>
      <c r="M2476" s="28"/>
      <c r="N2476" s="28"/>
      <c r="O2476" s="27"/>
      <c r="P2476" s="27"/>
    </row>
    <row r="2477">
      <c r="A2477" s="33"/>
      <c r="B2477" s="34"/>
      <c r="C2477" s="34"/>
      <c r="D2477" s="34"/>
      <c r="E2477" s="27"/>
      <c r="F2477" s="27"/>
      <c r="G2477" s="27"/>
      <c r="H2477" s="27"/>
      <c r="I2477" s="27"/>
      <c r="J2477" s="27"/>
      <c r="K2477" s="27"/>
      <c r="L2477" s="27"/>
      <c r="M2477" s="28"/>
      <c r="N2477" s="28"/>
      <c r="O2477" s="27"/>
      <c r="P2477" s="27"/>
    </row>
    <row r="2478">
      <c r="A2478" s="33"/>
      <c r="B2478" s="34"/>
      <c r="C2478" s="34"/>
      <c r="D2478" s="34"/>
      <c r="E2478" s="27"/>
      <c r="F2478" s="27"/>
      <c r="G2478" s="27"/>
      <c r="H2478" s="27"/>
      <c r="I2478" s="27"/>
      <c r="J2478" s="27"/>
      <c r="K2478" s="27"/>
      <c r="L2478" s="27"/>
      <c r="M2478" s="28"/>
      <c r="N2478" s="28"/>
      <c r="O2478" s="27"/>
      <c r="P2478" s="27"/>
    </row>
    <row r="2479">
      <c r="A2479" s="33"/>
      <c r="B2479" s="34"/>
      <c r="C2479" s="34"/>
      <c r="D2479" s="34"/>
      <c r="E2479" s="27"/>
      <c r="F2479" s="27"/>
      <c r="G2479" s="27"/>
      <c r="H2479" s="27"/>
      <c r="I2479" s="27"/>
      <c r="J2479" s="27"/>
      <c r="K2479" s="27"/>
      <c r="L2479" s="27"/>
      <c r="M2479" s="28"/>
      <c r="N2479" s="28"/>
      <c r="O2479" s="27"/>
      <c r="P2479" s="27"/>
    </row>
    <row r="2480">
      <c r="A2480" s="33"/>
      <c r="B2480" s="34"/>
      <c r="C2480" s="34"/>
      <c r="D2480" s="34"/>
      <c r="E2480" s="27"/>
      <c r="F2480" s="27"/>
      <c r="G2480" s="27"/>
      <c r="H2480" s="27"/>
      <c r="I2480" s="27"/>
      <c r="J2480" s="27"/>
      <c r="K2480" s="27"/>
      <c r="L2480" s="27"/>
      <c r="M2480" s="28"/>
      <c r="N2480" s="28"/>
      <c r="O2480" s="27"/>
      <c r="P2480" s="27"/>
    </row>
    <row r="2481">
      <c r="A2481" s="33"/>
      <c r="B2481" s="34"/>
      <c r="C2481" s="34"/>
      <c r="D2481" s="34"/>
      <c r="E2481" s="27"/>
      <c r="F2481" s="27"/>
      <c r="G2481" s="27"/>
      <c r="H2481" s="27"/>
      <c r="I2481" s="27"/>
      <c r="J2481" s="27"/>
      <c r="K2481" s="27"/>
      <c r="L2481" s="27"/>
      <c r="M2481" s="28"/>
      <c r="N2481" s="28"/>
      <c r="O2481" s="27"/>
      <c r="P2481" s="27"/>
    </row>
    <row r="2482">
      <c r="A2482" s="33"/>
      <c r="B2482" s="34"/>
      <c r="C2482" s="34"/>
      <c r="D2482" s="34"/>
      <c r="E2482" s="27"/>
      <c r="F2482" s="27"/>
      <c r="G2482" s="27"/>
      <c r="H2482" s="27"/>
      <c r="I2482" s="27"/>
      <c r="J2482" s="27"/>
      <c r="K2482" s="27"/>
      <c r="L2482" s="27"/>
      <c r="M2482" s="28"/>
      <c r="N2482" s="28"/>
      <c r="O2482" s="27"/>
      <c r="P2482" s="27"/>
    </row>
    <row r="2483">
      <c r="A2483" s="33"/>
      <c r="B2483" s="34"/>
      <c r="C2483" s="34"/>
      <c r="D2483" s="34"/>
      <c r="E2483" s="27"/>
      <c r="F2483" s="27"/>
      <c r="G2483" s="27"/>
      <c r="H2483" s="27"/>
      <c r="I2483" s="27"/>
      <c r="J2483" s="27"/>
      <c r="K2483" s="27"/>
      <c r="L2483" s="27"/>
      <c r="M2483" s="28"/>
      <c r="N2483" s="28"/>
      <c r="O2483" s="27"/>
      <c r="P2483" s="27"/>
    </row>
    <row r="2484">
      <c r="A2484" s="33"/>
      <c r="B2484" s="34"/>
      <c r="C2484" s="34"/>
      <c r="D2484" s="34"/>
      <c r="E2484" s="27"/>
      <c r="F2484" s="27"/>
      <c r="G2484" s="27"/>
      <c r="H2484" s="27"/>
      <c r="I2484" s="27"/>
      <c r="J2484" s="27"/>
      <c r="K2484" s="27"/>
      <c r="L2484" s="27"/>
      <c r="M2484" s="28"/>
      <c r="N2484" s="28"/>
      <c r="O2484" s="27"/>
      <c r="P2484" s="27"/>
    </row>
    <row r="2485">
      <c r="A2485" s="33"/>
      <c r="B2485" s="34"/>
      <c r="C2485" s="34"/>
      <c r="D2485" s="34"/>
      <c r="E2485" s="27"/>
      <c r="F2485" s="27"/>
      <c r="G2485" s="27"/>
      <c r="H2485" s="27"/>
      <c r="I2485" s="27"/>
      <c r="J2485" s="27"/>
      <c r="K2485" s="27"/>
      <c r="L2485" s="27"/>
      <c r="M2485" s="28"/>
      <c r="N2485" s="28"/>
      <c r="O2485" s="27"/>
      <c r="P2485" s="27"/>
    </row>
    <row r="2486">
      <c r="A2486" s="33"/>
      <c r="B2486" s="34"/>
      <c r="C2486" s="34"/>
      <c r="D2486" s="34"/>
      <c r="E2486" s="27"/>
      <c r="F2486" s="27"/>
      <c r="G2486" s="27"/>
      <c r="H2486" s="27"/>
      <c r="I2486" s="27"/>
      <c r="J2486" s="27"/>
      <c r="K2486" s="27"/>
      <c r="L2486" s="27"/>
      <c r="M2486" s="28"/>
      <c r="N2486" s="28"/>
      <c r="O2486" s="27"/>
      <c r="P2486" s="27"/>
    </row>
    <row r="2487">
      <c r="A2487" s="33"/>
      <c r="B2487" s="34"/>
      <c r="C2487" s="34"/>
      <c r="D2487" s="34"/>
      <c r="E2487" s="27"/>
      <c r="F2487" s="27"/>
      <c r="G2487" s="27"/>
      <c r="H2487" s="27"/>
      <c r="I2487" s="27"/>
      <c r="J2487" s="27"/>
      <c r="K2487" s="27"/>
      <c r="L2487" s="27"/>
      <c r="M2487" s="28"/>
      <c r="N2487" s="28"/>
      <c r="O2487" s="27"/>
      <c r="P2487" s="27"/>
    </row>
    <row r="2488">
      <c r="A2488" s="33"/>
      <c r="B2488" s="34"/>
      <c r="C2488" s="34"/>
      <c r="D2488" s="34"/>
      <c r="E2488" s="27"/>
      <c r="F2488" s="27"/>
      <c r="G2488" s="27"/>
      <c r="H2488" s="27"/>
      <c r="I2488" s="27"/>
      <c r="J2488" s="27"/>
      <c r="K2488" s="27"/>
      <c r="L2488" s="27"/>
      <c r="M2488" s="28"/>
      <c r="N2488" s="28"/>
      <c r="O2488" s="27"/>
      <c r="P2488" s="27"/>
    </row>
    <row r="2489">
      <c r="A2489" s="33"/>
      <c r="B2489" s="34"/>
      <c r="C2489" s="34"/>
      <c r="D2489" s="34"/>
      <c r="E2489" s="27"/>
      <c r="F2489" s="27"/>
      <c r="G2489" s="27"/>
      <c r="H2489" s="27"/>
      <c r="I2489" s="27"/>
      <c r="J2489" s="27"/>
      <c r="K2489" s="27"/>
      <c r="L2489" s="27"/>
      <c r="M2489" s="28"/>
      <c r="N2489" s="28"/>
      <c r="O2489" s="27"/>
      <c r="P2489" s="27"/>
    </row>
    <row r="2490">
      <c r="A2490" s="33"/>
      <c r="B2490" s="34"/>
      <c r="C2490" s="34"/>
      <c r="D2490" s="34"/>
      <c r="E2490" s="27"/>
      <c r="F2490" s="27"/>
      <c r="G2490" s="27"/>
      <c r="H2490" s="27"/>
      <c r="I2490" s="27"/>
      <c r="J2490" s="27"/>
      <c r="K2490" s="27"/>
      <c r="L2490" s="27"/>
      <c r="M2490" s="28"/>
      <c r="N2490" s="28"/>
      <c r="O2490" s="27"/>
      <c r="P2490" s="27"/>
    </row>
    <row r="2491">
      <c r="A2491" s="33"/>
      <c r="B2491" s="34"/>
      <c r="C2491" s="34"/>
      <c r="D2491" s="34"/>
      <c r="E2491" s="27"/>
      <c r="F2491" s="27"/>
      <c r="G2491" s="27"/>
      <c r="H2491" s="27"/>
      <c r="I2491" s="27"/>
      <c r="J2491" s="27"/>
      <c r="K2491" s="27"/>
      <c r="L2491" s="27"/>
      <c r="M2491" s="28"/>
      <c r="N2491" s="28"/>
      <c r="O2491" s="27"/>
      <c r="P2491" s="27"/>
    </row>
    <row r="2492">
      <c r="A2492" s="33"/>
      <c r="B2492" s="34"/>
      <c r="C2492" s="34"/>
      <c r="D2492" s="34"/>
      <c r="E2492" s="27"/>
      <c r="F2492" s="27"/>
      <c r="G2492" s="27"/>
      <c r="H2492" s="27"/>
      <c r="I2492" s="27"/>
      <c r="J2492" s="27"/>
      <c r="K2492" s="27"/>
      <c r="L2492" s="27"/>
      <c r="M2492" s="28"/>
      <c r="N2492" s="28"/>
      <c r="O2492" s="27"/>
      <c r="P2492" s="27"/>
    </row>
    <row r="2493">
      <c r="A2493" s="33"/>
      <c r="B2493" s="34"/>
      <c r="C2493" s="34"/>
      <c r="D2493" s="34"/>
      <c r="E2493" s="27"/>
      <c r="F2493" s="27"/>
      <c r="G2493" s="27"/>
      <c r="H2493" s="27"/>
      <c r="I2493" s="27"/>
      <c r="J2493" s="27"/>
      <c r="K2493" s="27"/>
      <c r="L2493" s="27"/>
      <c r="M2493" s="28"/>
      <c r="N2493" s="28"/>
      <c r="O2493" s="27"/>
      <c r="P2493" s="27"/>
    </row>
    <row r="2494">
      <c r="A2494" s="33"/>
      <c r="B2494" s="34"/>
      <c r="C2494" s="34"/>
      <c r="D2494" s="34"/>
      <c r="E2494" s="27"/>
      <c r="F2494" s="27"/>
      <c r="G2494" s="27"/>
      <c r="H2494" s="27"/>
      <c r="I2494" s="27"/>
      <c r="J2494" s="27"/>
      <c r="K2494" s="27"/>
      <c r="L2494" s="27"/>
      <c r="M2494" s="28"/>
      <c r="N2494" s="28"/>
      <c r="O2494" s="27"/>
      <c r="P2494" s="27"/>
    </row>
    <row r="2495">
      <c r="A2495" s="33"/>
      <c r="B2495" s="34"/>
      <c r="C2495" s="34"/>
      <c r="D2495" s="34"/>
      <c r="E2495" s="27"/>
      <c r="F2495" s="27"/>
      <c r="G2495" s="27"/>
      <c r="H2495" s="27"/>
      <c r="I2495" s="27"/>
      <c r="J2495" s="27"/>
      <c r="K2495" s="27"/>
      <c r="L2495" s="27"/>
      <c r="M2495" s="28"/>
      <c r="N2495" s="28"/>
      <c r="O2495" s="27"/>
      <c r="P2495" s="27"/>
    </row>
    <row r="2496">
      <c r="A2496" s="33"/>
      <c r="B2496" s="34"/>
      <c r="C2496" s="34"/>
      <c r="D2496" s="34"/>
      <c r="E2496" s="27"/>
      <c r="F2496" s="27"/>
      <c r="G2496" s="27"/>
      <c r="H2496" s="27"/>
      <c r="I2496" s="27"/>
      <c r="J2496" s="27"/>
      <c r="K2496" s="27"/>
      <c r="L2496" s="27"/>
      <c r="M2496" s="28"/>
      <c r="N2496" s="28"/>
      <c r="O2496" s="27"/>
      <c r="P2496" s="27"/>
    </row>
    <row r="2497">
      <c r="A2497" s="33"/>
      <c r="B2497" s="34"/>
      <c r="C2497" s="34"/>
      <c r="D2497" s="34"/>
      <c r="E2497" s="27"/>
      <c r="F2497" s="27"/>
      <c r="G2497" s="27"/>
      <c r="H2497" s="27"/>
      <c r="I2497" s="27"/>
      <c r="J2497" s="27"/>
      <c r="K2497" s="27"/>
      <c r="L2497" s="27"/>
      <c r="M2497" s="28"/>
      <c r="N2497" s="28"/>
      <c r="O2497" s="27"/>
      <c r="P2497" s="27"/>
    </row>
    <row r="2498">
      <c r="A2498" s="33"/>
      <c r="B2498" s="34"/>
      <c r="C2498" s="34"/>
      <c r="D2498" s="34"/>
      <c r="E2498" s="27"/>
      <c r="F2498" s="27"/>
      <c r="G2498" s="27"/>
      <c r="H2498" s="27"/>
      <c r="I2498" s="27"/>
      <c r="J2498" s="27"/>
      <c r="K2498" s="27"/>
      <c r="L2498" s="27"/>
      <c r="M2498" s="28"/>
      <c r="N2498" s="28"/>
      <c r="O2498" s="27"/>
      <c r="P2498" s="27"/>
    </row>
    <row r="2499">
      <c r="A2499" s="33"/>
      <c r="B2499" s="34"/>
      <c r="C2499" s="34"/>
      <c r="D2499" s="34"/>
      <c r="E2499" s="27"/>
      <c r="F2499" s="27"/>
      <c r="G2499" s="27"/>
      <c r="H2499" s="27"/>
      <c r="I2499" s="27"/>
      <c r="J2499" s="27"/>
      <c r="K2499" s="27"/>
      <c r="L2499" s="27"/>
      <c r="M2499" s="28"/>
      <c r="N2499" s="28"/>
      <c r="O2499" s="27"/>
      <c r="P2499" s="27"/>
    </row>
    <row r="2500">
      <c r="A2500" s="33"/>
      <c r="B2500" s="34"/>
      <c r="C2500" s="34"/>
      <c r="D2500" s="34"/>
      <c r="E2500" s="27"/>
      <c r="F2500" s="27"/>
      <c r="G2500" s="27"/>
      <c r="H2500" s="27"/>
      <c r="I2500" s="27"/>
      <c r="J2500" s="27"/>
      <c r="K2500" s="27"/>
      <c r="L2500" s="27"/>
      <c r="M2500" s="28"/>
      <c r="N2500" s="28"/>
      <c r="O2500" s="27"/>
      <c r="P2500" s="27"/>
    </row>
    <row r="2501">
      <c r="A2501" s="33"/>
      <c r="B2501" s="34"/>
      <c r="C2501" s="34"/>
      <c r="D2501" s="34"/>
      <c r="E2501" s="27"/>
      <c r="F2501" s="27"/>
      <c r="G2501" s="27"/>
      <c r="H2501" s="27"/>
      <c r="I2501" s="27"/>
      <c r="J2501" s="27"/>
      <c r="K2501" s="27"/>
      <c r="L2501" s="27"/>
      <c r="M2501" s="28"/>
      <c r="N2501" s="28"/>
      <c r="O2501" s="27"/>
      <c r="P2501" s="27"/>
    </row>
    <row r="2502">
      <c r="A2502" s="33"/>
      <c r="B2502" s="34"/>
      <c r="C2502" s="34"/>
      <c r="D2502" s="34"/>
      <c r="E2502" s="27"/>
      <c r="F2502" s="27"/>
      <c r="G2502" s="27"/>
      <c r="H2502" s="27"/>
      <c r="I2502" s="27"/>
      <c r="J2502" s="27"/>
      <c r="K2502" s="27"/>
      <c r="L2502" s="27"/>
      <c r="M2502" s="28"/>
      <c r="N2502" s="28"/>
      <c r="O2502" s="27"/>
      <c r="P2502" s="27"/>
    </row>
    <row r="2503">
      <c r="A2503" s="33"/>
      <c r="B2503" s="34"/>
      <c r="C2503" s="34"/>
      <c r="D2503" s="34"/>
      <c r="E2503" s="27"/>
      <c r="F2503" s="27"/>
      <c r="G2503" s="27"/>
      <c r="H2503" s="27"/>
      <c r="I2503" s="27"/>
      <c r="J2503" s="27"/>
      <c r="K2503" s="27"/>
      <c r="L2503" s="27"/>
      <c r="M2503" s="28"/>
      <c r="N2503" s="28"/>
      <c r="O2503" s="27"/>
      <c r="P2503" s="27"/>
    </row>
    <row r="2504">
      <c r="A2504" s="33"/>
      <c r="B2504" s="34"/>
      <c r="C2504" s="34"/>
      <c r="D2504" s="34"/>
      <c r="E2504" s="27"/>
      <c r="F2504" s="27"/>
      <c r="G2504" s="27"/>
      <c r="H2504" s="27"/>
      <c r="I2504" s="27"/>
      <c r="J2504" s="27"/>
      <c r="K2504" s="27"/>
      <c r="L2504" s="27"/>
      <c r="M2504" s="28"/>
      <c r="N2504" s="28"/>
      <c r="O2504" s="27"/>
      <c r="P2504" s="27"/>
    </row>
    <row r="2505">
      <c r="A2505" s="33"/>
      <c r="B2505" s="34"/>
      <c r="C2505" s="34"/>
      <c r="D2505" s="34"/>
      <c r="E2505" s="27"/>
      <c r="F2505" s="27"/>
      <c r="G2505" s="27"/>
      <c r="H2505" s="27"/>
      <c r="I2505" s="27"/>
      <c r="J2505" s="27"/>
      <c r="K2505" s="27"/>
      <c r="L2505" s="27"/>
      <c r="M2505" s="28"/>
      <c r="N2505" s="28"/>
      <c r="O2505" s="27"/>
      <c r="P2505" s="27"/>
    </row>
    <row r="2506">
      <c r="A2506" s="33"/>
      <c r="B2506" s="34"/>
      <c r="C2506" s="34"/>
      <c r="D2506" s="34"/>
      <c r="E2506" s="27"/>
      <c r="F2506" s="27"/>
      <c r="G2506" s="27"/>
      <c r="H2506" s="27"/>
      <c r="I2506" s="27"/>
      <c r="J2506" s="27"/>
      <c r="K2506" s="27"/>
      <c r="L2506" s="27"/>
      <c r="M2506" s="28"/>
      <c r="N2506" s="28"/>
      <c r="O2506" s="27"/>
      <c r="P2506" s="27"/>
    </row>
    <row r="2507">
      <c r="A2507" s="33"/>
      <c r="B2507" s="34"/>
      <c r="C2507" s="34"/>
      <c r="D2507" s="34"/>
      <c r="E2507" s="27"/>
      <c r="F2507" s="27"/>
      <c r="G2507" s="27"/>
      <c r="H2507" s="27"/>
      <c r="I2507" s="27"/>
      <c r="J2507" s="27"/>
      <c r="K2507" s="27"/>
      <c r="L2507" s="27"/>
      <c r="M2507" s="28"/>
      <c r="N2507" s="28"/>
      <c r="O2507" s="27"/>
      <c r="P2507" s="27"/>
    </row>
    <row r="2508">
      <c r="A2508" s="33"/>
      <c r="B2508" s="34"/>
      <c r="C2508" s="34"/>
      <c r="D2508" s="34"/>
      <c r="E2508" s="27"/>
      <c r="F2508" s="27"/>
      <c r="G2508" s="27"/>
      <c r="H2508" s="27"/>
      <c r="I2508" s="27"/>
      <c r="J2508" s="27"/>
      <c r="K2508" s="27"/>
      <c r="L2508" s="27"/>
      <c r="M2508" s="28"/>
      <c r="N2508" s="28"/>
      <c r="O2508" s="27"/>
      <c r="P2508" s="27"/>
    </row>
    <row r="2509">
      <c r="A2509" s="33"/>
      <c r="B2509" s="34"/>
      <c r="C2509" s="34"/>
      <c r="D2509" s="34"/>
      <c r="E2509" s="27"/>
      <c r="F2509" s="27"/>
      <c r="G2509" s="27"/>
      <c r="H2509" s="27"/>
      <c r="I2509" s="27"/>
      <c r="J2509" s="27"/>
      <c r="K2509" s="27"/>
      <c r="L2509" s="27"/>
      <c r="M2509" s="28"/>
      <c r="N2509" s="28"/>
      <c r="O2509" s="27"/>
      <c r="P2509" s="27"/>
    </row>
    <row r="2510">
      <c r="A2510" s="33"/>
      <c r="B2510" s="34"/>
      <c r="C2510" s="34"/>
      <c r="D2510" s="34"/>
      <c r="E2510" s="27"/>
      <c r="F2510" s="27"/>
      <c r="G2510" s="27"/>
      <c r="H2510" s="27"/>
      <c r="I2510" s="27"/>
      <c r="J2510" s="27"/>
      <c r="K2510" s="27"/>
      <c r="L2510" s="27"/>
      <c r="M2510" s="28"/>
      <c r="N2510" s="28"/>
      <c r="O2510" s="27"/>
      <c r="P2510" s="27"/>
    </row>
    <row r="2511">
      <c r="A2511" s="33"/>
      <c r="B2511" s="34"/>
      <c r="C2511" s="34"/>
      <c r="D2511" s="34"/>
      <c r="E2511" s="27"/>
      <c r="F2511" s="27"/>
      <c r="G2511" s="27"/>
      <c r="H2511" s="27"/>
      <c r="I2511" s="27"/>
      <c r="J2511" s="27"/>
      <c r="K2511" s="27"/>
      <c r="L2511" s="27"/>
      <c r="M2511" s="28"/>
      <c r="N2511" s="28"/>
      <c r="O2511" s="27"/>
      <c r="P2511" s="27"/>
    </row>
    <row r="2512">
      <c r="A2512" s="33"/>
      <c r="B2512" s="34"/>
      <c r="C2512" s="34"/>
      <c r="D2512" s="34"/>
      <c r="E2512" s="27"/>
      <c r="F2512" s="27"/>
      <c r="G2512" s="27"/>
      <c r="H2512" s="27"/>
      <c r="I2512" s="27"/>
      <c r="J2512" s="27"/>
      <c r="K2512" s="27"/>
      <c r="L2512" s="27"/>
      <c r="M2512" s="28"/>
      <c r="N2512" s="28"/>
      <c r="O2512" s="27"/>
      <c r="P2512" s="27"/>
    </row>
    <row r="2513">
      <c r="A2513" s="33"/>
      <c r="B2513" s="34"/>
      <c r="C2513" s="34"/>
      <c r="D2513" s="34"/>
      <c r="E2513" s="27"/>
      <c r="F2513" s="27"/>
      <c r="G2513" s="27"/>
      <c r="H2513" s="27"/>
      <c r="I2513" s="27"/>
      <c r="J2513" s="27"/>
      <c r="K2513" s="27"/>
      <c r="L2513" s="27"/>
      <c r="M2513" s="28"/>
      <c r="N2513" s="28"/>
      <c r="O2513" s="27"/>
      <c r="P2513" s="27"/>
    </row>
    <row r="2514">
      <c r="A2514" s="33"/>
      <c r="B2514" s="34"/>
      <c r="C2514" s="34"/>
      <c r="D2514" s="34"/>
      <c r="E2514" s="27"/>
      <c r="F2514" s="27"/>
      <c r="G2514" s="27"/>
      <c r="H2514" s="27"/>
      <c r="I2514" s="27"/>
      <c r="J2514" s="27"/>
      <c r="K2514" s="27"/>
      <c r="L2514" s="27"/>
      <c r="M2514" s="28"/>
      <c r="N2514" s="28"/>
      <c r="O2514" s="27"/>
      <c r="P2514" s="27"/>
    </row>
    <row r="2515">
      <c r="A2515" s="33"/>
      <c r="B2515" s="34"/>
      <c r="C2515" s="34"/>
      <c r="D2515" s="34"/>
      <c r="E2515" s="27"/>
      <c r="F2515" s="27"/>
      <c r="G2515" s="27"/>
      <c r="H2515" s="27"/>
      <c r="I2515" s="27"/>
      <c r="J2515" s="27"/>
      <c r="K2515" s="27"/>
      <c r="L2515" s="27"/>
      <c r="M2515" s="28"/>
      <c r="N2515" s="28"/>
      <c r="O2515" s="27"/>
      <c r="P2515" s="27"/>
    </row>
    <row r="2516">
      <c r="A2516" s="33"/>
      <c r="B2516" s="34"/>
      <c r="C2516" s="34"/>
      <c r="D2516" s="34"/>
      <c r="E2516" s="27"/>
      <c r="F2516" s="27"/>
      <c r="G2516" s="27"/>
      <c r="H2516" s="27"/>
      <c r="I2516" s="27"/>
      <c r="J2516" s="27"/>
      <c r="K2516" s="27"/>
      <c r="L2516" s="27"/>
      <c r="M2516" s="28"/>
      <c r="N2516" s="28"/>
      <c r="O2516" s="27"/>
      <c r="P2516" s="27"/>
    </row>
    <row r="2517">
      <c r="A2517" s="33"/>
      <c r="B2517" s="34"/>
      <c r="C2517" s="34"/>
      <c r="D2517" s="34"/>
      <c r="E2517" s="27"/>
      <c r="F2517" s="27"/>
      <c r="G2517" s="27"/>
      <c r="H2517" s="27"/>
      <c r="I2517" s="27"/>
      <c r="J2517" s="27"/>
      <c r="K2517" s="27"/>
      <c r="L2517" s="27"/>
      <c r="M2517" s="28"/>
      <c r="N2517" s="28"/>
      <c r="O2517" s="27"/>
      <c r="P2517" s="27"/>
    </row>
    <row r="2518">
      <c r="A2518" s="33"/>
      <c r="B2518" s="34"/>
      <c r="C2518" s="34"/>
      <c r="D2518" s="34"/>
      <c r="E2518" s="27"/>
      <c r="F2518" s="27"/>
      <c r="G2518" s="27"/>
      <c r="H2518" s="27"/>
      <c r="I2518" s="27"/>
      <c r="J2518" s="27"/>
      <c r="K2518" s="27"/>
      <c r="L2518" s="27"/>
      <c r="M2518" s="28"/>
      <c r="N2518" s="28"/>
      <c r="O2518" s="27"/>
      <c r="P2518" s="27"/>
    </row>
    <row r="2519">
      <c r="A2519" s="33"/>
      <c r="B2519" s="34"/>
      <c r="C2519" s="34"/>
      <c r="D2519" s="34"/>
      <c r="E2519" s="27"/>
      <c r="F2519" s="27"/>
      <c r="G2519" s="27"/>
      <c r="H2519" s="27"/>
      <c r="I2519" s="27"/>
      <c r="J2519" s="27"/>
      <c r="K2519" s="27"/>
      <c r="L2519" s="27"/>
      <c r="M2519" s="28"/>
      <c r="N2519" s="28"/>
      <c r="O2519" s="27"/>
      <c r="P2519" s="27"/>
    </row>
    <row r="2520">
      <c r="A2520" s="33"/>
      <c r="B2520" s="34"/>
      <c r="C2520" s="34"/>
      <c r="D2520" s="34"/>
      <c r="E2520" s="27"/>
      <c r="F2520" s="27"/>
      <c r="G2520" s="27"/>
      <c r="H2520" s="27"/>
      <c r="I2520" s="27"/>
      <c r="J2520" s="27"/>
      <c r="K2520" s="27"/>
      <c r="L2520" s="27"/>
      <c r="M2520" s="28"/>
      <c r="N2520" s="28"/>
      <c r="O2520" s="27"/>
      <c r="P2520" s="27"/>
    </row>
    <row r="2521">
      <c r="A2521" s="33"/>
      <c r="B2521" s="34"/>
      <c r="C2521" s="34"/>
      <c r="D2521" s="34"/>
      <c r="E2521" s="27"/>
      <c r="F2521" s="27"/>
      <c r="G2521" s="27"/>
      <c r="H2521" s="27"/>
      <c r="I2521" s="27"/>
      <c r="J2521" s="27"/>
      <c r="K2521" s="27"/>
      <c r="L2521" s="27"/>
      <c r="M2521" s="28"/>
      <c r="N2521" s="28"/>
      <c r="O2521" s="27"/>
      <c r="P2521" s="27"/>
    </row>
    <row r="2522">
      <c r="A2522" s="33"/>
      <c r="B2522" s="34"/>
      <c r="C2522" s="34"/>
      <c r="D2522" s="34"/>
      <c r="E2522" s="27"/>
      <c r="F2522" s="27"/>
      <c r="G2522" s="27"/>
      <c r="H2522" s="27"/>
      <c r="I2522" s="27"/>
      <c r="J2522" s="27"/>
      <c r="K2522" s="27"/>
      <c r="L2522" s="27"/>
      <c r="M2522" s="28"/>
      <c r="N2522" s="28"/>
      <c r="O2522" s="27"/>
      <c r="P2522" s="27"/>
    </row>
    <row r="2523">
      <c r="A2523" s="33"/>
      <c r="B2523" s="34"/>
      <c r="C2523" s="34"/>
      <c r="D2523" s="34"/>
      <c r="E2523" s="27"/>
      <c r="F2523" s="27"/>
      <c r="G2523" s="27"/>
      <c r="H2523" s="27"/>
      <c r="I2523" s="27"/>
      <c r="J2523" s="27"/>
      <c r="K2523" s="27"/>
      <c r="L2523" s="27"/>
      <c r="M2523" s="28"/>
      <c r="N2523" s="28"/>
      <c r="O2523" s="27"/>
      <c r="P2523" s="27"/>
    </row>
    <row r="2524">
      <c r="A2524" s="33"/>
      <c r="B2524" s="34"/>
      <c r="C2524" s="34"/>
      <c r="D2524" s="34"/>
      <c r="E2524" s="27"/>
      <c r="F2524" s="27"/>
      <c r="G2524" s="27"/>
      <c r="H2524" s="27"/>
      <c r="I2524" s="27"/>
      <c r="J2524" s="27"/>
      <c r="K2524" s="27"/>
      <c r="L2524" s="27"/>
      <c r="M2524" s="28"/>
      <c r="N2524" s="28"/>
      <c r="O2524" s="27"/>
      <c r="P2524" s="27"/>
    </row>
    <row r="2525">
      <c r="A2525" s="33"/>
      <c r="B2525" s="34"/>
      <c r="C2525" s="34"/>
      <c r="D2525" s="34"/>
      <c r="E2525" s="27"/>
      <c r="F2525" s="27"/>
      <c r="G2525" s="27"/>
      <c r="H2525" s="27"/>
      <c r="I2525" s="27"/>
      <c r="J2525" s="27"/>
      <c r="K2525" s="27"/>
      <c r="L2525" s="27"/>
      <c r="M2525" s="28"/>
      <c r="N2525" s="28"/>
      <c r="O2525" s="27"/>
      <c r="P2525" s="27"/>
    </row>
    <row r="2526">
      <c r="A2526" s="33"/>
      <c r="B2526" s="34"/>
      <c r="C2526" s="34"/>
      <c r="D2526" s="34"/>
      <c r="E2526" s="27"/>
      <c r="F2526" s="27"/>
      <c r="G2526" s="27"/>
      <c r="H2526" s="27"/>
      <c r="I2526" s="27"/>
      <c r="J2526" s="27"/>
      <c r="K2526" s="27"/>
      <c r="L2526" s="27"/>
      <c r="M2526" s="28"/>
      <c r="N2526" s="28"/>
      <c r="O2526" s="27"/>
      <c r="P2526" s="27"/>
    </row>
    <row r="2527">
      <c r="A2527" s="33"/>
      <c r="B2527" s="34"/>
      <c r="C2527" s="34"/>
      <c r="D2527" s="34"/>
      <c r="E2527" s="27"/>
      <c r="F2527" s="27"/>
      <c r="G2527" s="27"/>
      <c r="H2527" s="27"/>
      <c r="I2527" s="27"/>
      <c r="J2527" s="27"/>
      <c r="K2527" s="27"/>
      <c r="L2527" s="27"/>
      <c r="M2527" s="28"/>
      <c r="N2527" s="28"/>
      <c r="O2527" s="27"/>
      <c r="P2527" s="27"/>
    </row>
    <row r="2528">
      <c r="A2528" s="33"/>
      <c r="B2528" s="34"/>
      <c r="C2528" s="34"/>
      <c r="D2528" s="34"/>
      <c r="E2528" s="27"/>
      <c r="F2528" s="27"/>
      <c r="G2528" s="27"/>
      <c r="H2528" s="27"/>
      <c r="I2528" s="27"/>
      <c r="J2528" s="27"/>
      <c r="K2528" s="27"/>
      <c r="L2528" s="27"/>
      <c r="M2528" s="28"/>
      <c r="N2528" s="28"/>
      <c r="O2528" s="27"/>
      <c r="P2528" s="27"/>
    </row>
    <row r="2529">
      <c r="A2529" s="33"/>
      <c r="B2529" s="34"/>
      <c r="C2529" s="34"/>
      <c r="D2529" s="34"/>
      <c r="E2529" s="27"/>
      <c r="F2529" s="27"/>
      <c r="G2529" s="27"/>
      <c r="H2529" s="27"/>
      <c r="I2529" s="27"/>
      <c r="J2529" s="27"/>
      <c r="K2529" s="27"/>
      <c r="L2529" s="27"/>
      <c r="M2529" s="28"/>
      <c r="N2529" s="28"/>
      <c r="O2529" s="27"/>
      <c r="P2529" s="27"/>
    </row>
    <row r="2530">
      <c r="A2530" s="33"/>
      <c r="B2530" s="34"/>
      <c r="C2530" s="34"/>
      <c r="D2530" s="34"/>
      <c r="E2530" s="27"/>
      <c r="F2530" s="27"/>
      <c r="G2530" s="27"/>
      <c r="H2530" s="27"/>
      <c r="I2530" s="27"/>
      <c r="J2530" s="27"/>
      <c r="K2530" s="27"/>
      <c r="L2530" s="27"/>
      <c r="M2530" s="28"/>
      <c r="N2530" s="28"/>
      <c r="O2530" s="27"/>
      <c r="P2530" s="27"/>
    </row>
    <row r="2531">
      <c r="A2531" s="33"/>
      <c r="B2531" s="34"/>
      <c r="C2531" s="34"/>
      <c r="D2531" s="34"/>
      <c r="E2531" s="27"/>
      <c r="F2531" s="27"/>
      <c r="G2531" s="27"/>
      <c r="H2531" s="27"/>
      <c r="I2531" s="27"/>
      <c r="J2531" s="27"/>
      <c r="K2531" s="27"/>
      <c r="L2531" s="27"/>
      <c r="M2531" s="28"/>
      <c r="N2531" s="28"/>
      <c r="O2531" s="27"/>
      <c r="P2531" s="27"/>
    </row>
    <row r="2532">
      <c r="A2532" s="33"/>
      <c r="B2532" s="34"/>
      <c r="C2532" s="34"/>
      <c r="D2532" s="34"/>
      <c r="E2532" s="27"/>
      <c r="F2532" s="27"/>
      <c r="G2532" s="27"/>
      <c r="H2532" s="27"/>
      <c r="I2532" s="27"/>
      <c r="J2532" s="27"/>
      <c r="K2532" s="27"/>
      <c r="L2532" s="27"/>
      <c r="M2532" s="28"/>
      <c r="N2532" s="28"/>
      <c r="O2532" s="27"/>
      <c r="P2532" s="27"/>
    </row>
    <row r="2533">
      <c r="A2533" s="33"/>
      <c r="B2533" s="34"/>
      <c r="C2533" s="34"/>
      <c r="D2533" s="34"/>
      <c r="E2533" s="27"/>
      <c r="F2533" s="27"/>
      <c r="G2533" s="27"/>
      <c r="H2533" s="27"/>
      <c r="I2533" s="27"/>
      <c r="J2533" s="27"/>
      <c r="K2533" s="27"/>
      <c r="L2533" s="27"/>
      <c r="M2533" s="28"/>
      <c r="N2533" s="28"/>
      <c r="O2533" s="27"/>
      <c r="P2533" s="27"/>
    </row>
    <row r="2534">
      <c r="A2534" s="33"/>
      <c r="B2534" s="34"/>
      <c r="C2534" s="34"/>
      <c r="D2534" s="34"/>
      <c r="E2534" s="27"/>
      <c r="F2534" s="27"/>
      <c r="G2534" s="27"/>
      <c r="H2534" s="27"/>
      <c r="I2534" s="27"/>
      <c r="J2534" s="27"/>
      <c r="K2534" s="27"/>
      <c r="L2534" s="27"/>
      <c r="M2534" s="28"/>
      <c r="N2534" s="28"/>
      <c r="O2534" s="27"/>
      <c r="P2534" s="27"/>
    </row>
    <row r="2535">
      <c r="A2535" s="33"/>
      <c r="B2535" s="34"/>
      <c r="C2535" s="34"/>
      <c r="D2535" s="34"/>
      <c r="E2535" s="27"/>
      <c r="F2535" s="27"/>
      <c r="G2535" s="27"/>
      <c r="H2535" s="27"/>
      <c r="I2535" s="27"/>
      <c r="J2535" s="27"/>
      <c r="K2535" s="27"/>
      <c r="L2535" s="27"/>
      <c r="M2535" s="28"/>
      <c r="N2535" s="28"/>
      <c r="O2535" s="27"/>
      <c r="P2535" s="27"/>
    </row>
    <row r="2536">
      <c r="A2536" s="33"/>
      <c r="B2536" s="34"/>
      <c r="C2536" s="34"/>
      <c r="D2536" s="34"/>
      <c r="E2536" s="27"/>
      <c r="F2536" s="27"/>
      <c r="G2536" s="27"/>
      <c r="H2536" s="27"/>
      <c r="I2536" s="27"/>
      <c r="J2536" s="27"/>
      <c r="K2536" s="27"/>
      <c r="L2536" s="27"/>
      <c r="M2536" s="28"/>
      <c r="N2536" s="28"/>
      <c r="O2536" s="27"/>
      <c r="P2536" s="27"/>
    </row>
    <row r="2537">
      <c r="A2537" s="33"/>
      <c r="B2537" s="34"/>
      <c r="C2537" s="34"/>
      <c r="D2537" s="34"/>
      <c r="E2537" s="27"/>
      <c r="F2537" s="27"/>
      <c r="G2537" s="27"/>
      <c r="H2537" s="27"/>
      <c r="I2537" s="27"/>
      <c r="J2537" s="27"/>
      <c r="K2537" s="27"/>
      <c r="L2537" s="27"/>
      <c r="M2537" s="28"/>
      <c r="N2537" s="28"/>
      <c r="O2537" s="27"/>
      <c r="P2537" s="27"/>
    </row>
    <row r="2538">
      <c r="A2538" s="33"/>
      <c r="B2538" s="34"/>
      <c r="C2538" s="34"/>
      <c r="D2538" s="34"/>
      <c r="E2538" s="27"/>
      <c r="F2538" s="27"/>
      <c r="G2538" s="27"/>
      <c r="H2538" s="27"/>
      <c r="I2538" s="27"/>
      <c r="J2538" s="27"/>
      <c r="K2538" s="27"/>
      <c r="L2538" s="27"/>
      <c r="M2538" s="28"/>
      <c r="N2538" s="28"/>
      <c r="O2538" s="27"/>
      <c r="P2538" s="27"/>
    </row>
    <row r="2539">
      <c r="A2539" s="33"/>
      <c r="B2539" s="34"/>
      <c r="C2539" s="34"/>
      <c r="D2539" s="34"/>
      <c r="E2539" s="27"/>
      <c r="F2539" s="27"/>
      <c r="G2539" s="27"/>
      <c r="H2539" s="27"/>
      <c r="I2539" s="27"/>
      <c r="J2539" s="27"/>
      <c r="K2539" s="27"/>
      <c r="L2539" s="27"/>
      <c r="M2539" s="28"/>
      <c r="N2539" s="28"/>
      <c r="O2539" s="27"/>
      <c r="P2539" s="27"/>
    </row>
    <row r="2540">
      <c r="A2540" s="33"/>
      <c r="B2540" s="34"/>
      <c r="C2540" s="34"/>
      <c r="D2540" s="34"/>
      <c r="E2540" s="27"/>
      <c r="F2540" s="27"/>
      <c r="G2540" s="27"/>
      <c r="H2540" s="27"/>
      <c r="I2540" s="27"/>
      <c r="J2540" s="27"/>
      <c r="K2540" s="27"/>
      <c r="L2540" s="27"/>
      <c r="M2540" s="28"/>
      <c r="N2540" s="28"/>
      <c r="O2540" s="27"/>
      <c r="P2540" s="27"/>
    </row>
    <row r="2541">
      <c r="A2541" s="33"/>
      <c r="B2541" s="34"/>
      <c r="C2541" s="34"/>
      <c r="D2541" s="34"/>
      <c r="E2541" s="27"/>
      <c r="F2541" s="27"/>
      <c r="G2541" s="27"/>
      <c r="H2541" s="27"/>
      <c r="I2541" s="27"/>
      <c r="J2541" s="27"/>
      <c r="K2541" s="27"/>
      <c r="L2541" s="27"/>
      <c r="M2541" s="28"/>
      <c r="N2541" s="28"/>
      <c r="O2541" s="27"/>
      <c r="P2541" s="27"/>
    </row>
    <row r="2542">
      <c r="A2542" s="33"/>
      <c r="B2542" s="34"/>
      <c r="C2542" s="34"/>
      <c r="D2542" s="34"/>
      <c r="E2542" s="27"/>
      <c r="F2542" s="27"/>
      <c r="G2542" s="27"/>
      <c r="H2542" s="27"/>
      <c r="I2542" s="27"/>
      <c r="J2542" s="27"/>
      <c r="K2542" s="27"/>
      <c r="L2542" s="27"/>
      <c r="M2542" s="28"/>
      <c r="N2542" s="28"/>
      <c r="O2542" s="27"/>
      <c r="P2542" s="27"/>
    </row>
    <row r="2543">
      <c r="A2543" s="33"/>
      <c r="B2543" s="34"/>
      <c r="C2543" s="34"/>
      <c r="D2543" s="34"/>
      <c r="E2543" s="27"/>
      <c r="F2543" s="27"/>
      <c r="G2543" s="27"/>
      <c r="H2543" s="27"/>
      <c r="I2543" s="27"/>
      <c r="J2543" s="27"/>
      <c r="K2543" s="27"/>
      <c r="L2543" s="27"/>
      <c r="M2543" s="28"/>
      <c r="N2543" s="28"/>
      <c r="O2543" s="27"/>
      <c r="P2543" s="27"/>
    </row>
    <row r="2544">
      <c r="A2544" s="33"/>
      <c r="B2544" s="34"/>
      <c r="C2544" s="34"/>
      <c r="D2544" s="34"/>
      <c r="E2544" s="27"/>
      <c r="F2544" s="27"/>
      <c r="G2544" s="27"/>
      <c r="H2544" s="27"/>
      <c r="I2544" s="27"/>
      <c r="J2544" s="27"/>
      <c r="K2544" s="27"/>
      <c r="L2544" s="27"/>
      <c r="M2544" s="28"/>
      <c r="N2544" s="28"/>
      <c r="O2544" s="27"/>
      <c r="P2544" s="27"/>
    </row>
    <row r="2545">
      <c r="A2545" s="33"/>
      <c r="B2545" s="34"/>
      <c r="C2545" s="34"/>
      <c r="D2545" s="34"/>
      <c r="E2545" s="27"/>
      <c r="F2545" s="27"/>
      <c r="G2545" s="27"/>
      <c r="H2545" s="27"/>
      <c r="I2545" s="27"/>
      <c r="J2545" s="27"/>
      <c r="K2545" s="27"/>
      <c r="L2545" s="27"/>
      <c r="M2545" s="28"/>
      <c r="N2545" s="28"/>
      <c r="O2545" s="27"/>
      <c r="P2545" s="27"/>
    </row>
    <row r="2546">
      <c r="A2546" s="33"/>
      <c r="B2546" s="34"/>
      <c r="C2546" s="34"/>
      <c r="D2546" s="34"/>
      <c r="E2546" s="27"/>
      <c r="F2546" s="27"/>
      <c r="G2546" s="27"/>
      <c r="H2546" s="27"/>
      <c r="I2546" s="27"/>
      <c r="J2546" s="27"/>
      <c r="K2546" s="27"/>
      <c r="L2546" s="27"/>
      <c r="M2546" s="28"/>
      <c r="N2546" s="28"/>
      <c r="O2546" s="27"/>
      <c r="P2546" s="27"/>
    </row>
    <row r="2547">
      <c r="A2547" s="33"/>
      <c r="B2547" s="34"/>
      <c r="C2547" s="34"/>
      <c r="D2547" s="34"/>
      <c r="E2547" s="27"/>
      <c r="F2547" s="27"/>
      <c r="G2547" s="27"/>
      <c r="H2547" s="27"/>
      <c r="I2547" s="27"/>
      <c r="J2547" s="27"/>
      <c r="K2547" s="27"/>
      <c r="L2547" s="27"/>
      <c r="M2547" s="28"/>
      <c r="N2547" s="28"/>
      <c r="O2547" s="27"/>
      <c r="P2547" s="27"/>
    </row>
    <row r="2548">
      <c r="A2548" s="33"/>
      <c r="B2548" s="34"/>
      <c r="C2548" s="34"/>
      <c r="D2548" s="34"/>
      <c r="E2548" s="27"/>
      <c r="F2548" s="27"/>
      <c r="G2548" s="27"/>
      <c r="H2548" s="27"/>
      <c r="I2548" s="27"/>
      <c r="J2548" s="27"/>
      <c r="K2548" s="27"/>
      <c r="L2548" s="27"/>
      <c r="M2548" s="28"/>
      <c r="N2548" s="28"/>
      <c r="O2548" s="27"/>
      <c r="P2548" s="27"/>
    </row>
    <row r="2549">
      <c r="A2549" s="33"/>
      <c r="B2549" s="34"/>
      <c r="C2549" s="34"/>
      <c r="D2549" s="34"/>
      <c r="E2549" s="27"/>
      <c r="F2549" s="27"/>
      <c r="G2549" s="27"/>
      <c r="H2549" s="27"/>
      <c r="I2549" s="27"/>
      <c r="J2549" s="27"/>
      <c r="K2549" s="27"/>
      <c r="L2549" s="27"/>
      <c r="M2549" s="28"/>
      <c r="N2549" s="28"/>
      <c r="O2549" s="27"/>
      <c r="P2549" s="27"/>
    </row>
    <row r="2550">
      <c r="A2550" s="33"/>
      <c r="B2550" s="34"/>
      <c r="C2550" s="34"/>
      <c r="D2550" s="34"/>
      <c r="E2550" s="27"/>
      <c r="F2550" s="27"/>
      <c r="G2550" s="27"/>
      <c r="H2550" s="27"/>
      <c r="I2550" s="27"/>
      <c r="J2550" s="27"/>
      <c r="K2550" s="27"/>
      <c r="L2550" s="27"/>
      <c r="M2550" s="28"/>
      <c r="N2550" s="28"/>
      <c r="O2550" s="27"/>
      <c r="P2550" s="27"/>
    </row>
    <row r="2551">
      <c r="A2551" s="33"/>
      <c r="B2551" s="34"/>
      <c r="C2551" s="34"/>
      <c r="D2551" s="34"/>
      <c r="E2551" s="27"/>
      <c r="F2551" s="27"/>
      <c r="G2551" s="27"/>
      <c r="H2551" s="27"/>
      <c r="I2551" s="27"/>
      <c r="J2551" s="27"/>
      <c r="K2551" s="27"/>
      <c r="L2551" s="27"/>
      <c r="M2551" s="28"/>
      <c r="N2551" s="28"/>
      <c r="O2551" s="27"/>
      <c r="P2551" s="27"/>
    </row>
    <row r="2552">
      <c r="A2552" s="33"/>
      <c r="B2552" s="34"/>
      <c r="C2552" s="34"/>
      <c r="D2552" s="34"/>
      <c r="E2552" s="27"/>
      <c r="F2552" s="27"/>
      <c r="G2552" s="27"/>
      <c r="H2552" s="27"/>
      <c r="I2552" s="27"/>
      <c r="J2552" s="27"/>
      <c r="K2552" s="27"/>
      <c r="L2552" s="27"/>
      <c r="M2552" s="28"/>
      <c r="N2552" s="28"/>
      <c r="O2552" s="27"/>
      <c r="P2552" s="27"/>
    </row>
    <row r="2553">
      <c r="A2553" s="33"/>
      <c r="B2553" s="34"/>
      <c r="C2553" s="34"/>
      <c r="D2553" s="34"/>
      <c r="E2553" s="27"/>
      <c r="F2553" s="27"/>
      <c r="G2553" s="27"/>
      <c r="H2553" s="27"/>
      <c r="I2553" s="27"/>
      <c r="J2553" s="27"/>
      <c r="K2553" s="27"/>
      <c r="L2553" s="27"/>
      <c r="M2553" s="28"/>
      <c r="N2553" s="28"/>
      <c r="O2553" s="27"/>
      <c r="P2553" s="27"/>
    </row>
    <row r="2554">
      <c r="A2554" s="33"/>
      <c r="B2554" s="34"/>
      <c r="C2554" s="34"/>
      <c r="D2554" s="34"/>
      <c r="E2554" s="27"/>
      <c r="F2554" s="27"/>
      <c r="G2554" s="27"/>
      <c r="H2554" s="27"/>
      <c r="I2554" s="27"/>
      <c r="J2554" s="27"/>
      <c r="K2554" s="27"/>
      <c r="L2554" s="27"/>
      <c r="M2554" s="28"/>
      <c r="N2554" s="28"/>
      <c r="O2554" s="27"/>
      <c r="P2554" s="27"/>
    </row>
    <row r="2555">
      <c r="A2555" s="33"/>
      <c r="B2555" s="34"/>
      <c r="C2555" s="34"/>
      <c r="D2555" s="34"/>
      <c r="E2555" s="27"/>
      <c r="F2555" s="27"/>
      <c r="G2555" s="27"/>
      <c r="H2555" s="27"/>
      <c r="I2555" s="27"/>
      <c r="J2555" s="27"/>
      <c r="K2555" s="27"/>
      <c r="L2555" s="27"/>
      <c r="M2555" s="28"/>
      <c r="N2555" s="28"/>
      <c r="O2555" s="27"/>
      <c r="P2555" s="27"/>
    </row>
    <row r="2556">
      <c r="A2556" s="33"/>
      <c r="B2556" s="34"/>
      <c r="C2556" s="34"/>
      <c r="D2556" s="34"/>
      <c r="E2556" s="27"/>
      <c r="F2556" s="27"/>
      <c r="G2556" s="27"/>
      <c r="H2556" s="27"/>
      <c r="I2556" s="27"/>
      <c r="J2556" s="27"/>
      <c r="K2556" s="27"/>
      <c r="L2556" s="27"/>
      <c r="M2556" s="28"/>
      <c r="N2556" s="28"/>
      <c r="O2556" s="27"/>
      <c r="P2556" s="27"/>
    </row>
    <row r="2557">
      <c r="A2557" s="33"/>
      <c r="B2557" s="34"/>
      <c r="C2557" s="34"/>
      <c r="D2557" s="34"/>
      <c r="E2557" s="27"/>
      <c r="F2557" s="27"/>
      <c r="G2557" s="27"/>
      <c r="H2557" s="27"/>
      <c r="I2557" s="27"/>
      <c r="J2557" s="27"/>
      <c r="K2557" s="27"/>
      <c r="L2557" s="27"/>
      <c r="M2557" s="28"/>
      <c r="N2557" s="28"/>
      <c r="O2557" s="27"/>
      <c r="P2557" s="27"/>
    </row>
    <row r="2558">
      <c r="A2558" s="33"/>
      <c r="B2558" s="34"/>
      <c r="C2558" s="34"/>
      <c r="D2558" s="34"/>
      <c r="E2558" s="27"/>
      <c r="F2558" s="27"/>
      <c r="G2558" s="27"/>
      <c r="H2558" s="27"/>
      <c r="I2558" s="27"/>
      <c r="J2558" s="27"/>
      <c r="K2558" s="27"/>
      <c r="L2558" s="27"/>
      <c r="M2558" s="28"/>
      <c r="N2558" s="28"/>
      <c r="O2558" s="27"/>
      <c r="P2558" s="27"/>
    </row>
    <row r="2559">
      <c r="A2559" s="33"/>
      <c r="B2559" s="34"/>
      <c r="C2559" s="34"/>
      <c r="D2559" s="34"/>
      <c r="E2559" s="27"/>
      <c r="F2559" s="27"/>
      <c r="G2559" s="27"/>
      <c r="H2559" s="27"/>
      <c r="I2559" s="27"/>
      <c r="J2559" s="27"/>
      <c r="K2559" s="27"/>
      <c r="L2559" s="27"/>
      <c r="M2559" s="28"/>
      <c r="N2559" s="28"/>
      <c r="O2559" s="27"/>
      <c r="P2559" s="27"/>
    </row>
    <row r="2560">
      <c r="A2560" s="33"/>
      <c r="B2560" s="34"/>
      <c r="C2560" s="34"/>
      <c r="D2560" s="34"/>
      <c r="E2560" s="27"/>
      <c r="F2560" s="27"/>
      <c r="G2560" s="27"/>
      <c r="H2560" s="27"/>
      <c r="I2560" s="27"/>
      <c r="J2560" s="27"/>
      <c r="K2560" s="27"/>
      <c r="L2560" s="27"/>
      <c r="M2560" s="28"/>
      <c r="N2560" s="28"/>
      <c r="O2560" s="27"/>
      <c r="P2560" s="27"/>
    </row>
    <row r="2561">
      <c r="A2561" s="33"/>
      <c r="B2561" s="34"/>
      <c r="C2561" s="34"/>
      <c r="D2561" s="34"/>
      <c r="E2561" s="27"/>
      <c r="F2561" s="27"/>
      <c r="G2561" s="27"/>
      <c r="H2561" s="27"/>
      <c r="I2561" s="27"/>
      <c r="J2561" s="27"/>
      <c r="K2561" s="27"/>
      <c r="L2561" s="27"/>
      <c r="M2561" s="28"/>
      <c r="N2561" s="28"/>
      <c r="O2561" s="27"/>
      <c r="P2561" s="27"/>
    </row>
    <row r="2562">
      <c r="A2562" s="33"/>
      <c r="B2562" s="34"/>
      <c r="C2562" s="34"/>
      <c r="D2562" s="34"/>
      <c r="E2562" s="27"/>
      <c r="F2562" s="27"/>
      <c r="G2562" s="27"/>
      <c r="H2562" s="27"/>
      <c r="I2562" s="27"/>
      <c r="J2562" s="27"/>
      <c r="K2562" s="27"/>
      <c r="L2562" s="27"/>
      <c r="M2562" s="28"/>
      <c r="N2562" s="28"/>
      <c r="O2562" s="27"/>
      <c r="P2562" s="27"/>
    </row>
    <row r="2563">
      <c r="A2563" s="33"/>
      <c r="B2563" s="34"/>
      <c r="C2563" s="34"/>
      <c r="D2563" s="34"/>
      <c r="E2563" s="27"/>
      <c r="F2563" s="27"/>
      <c r="G2563" s="27"/>
      <c r="H2563" s="27"/>
      <c r="I2563" s="27"/>
      <c r="J2563" s="27"/>
      <c r="K2563" s="27"/>
      <c r="L2563" s="27"/>
      <c r="M2563" s="28"/>
      <c r="N2563" s="28"/>
      <c r="O2563" s="27"/>
      <c r="P2563" s="27"/>
    </row>
    <row r="2564">
      <c r="A2564" s="33"/>
      <c r="B2564" s="34"/>
      <c r="C2564" s="34"/>
      <c r="D2564" s="34"/>
      <c r="E2564" s="27"/>
      <c r="F2564" s="27"/>
      <c r="G2564" s="27"/>
      <c r="H2564" s="27"/>
      <c r="I2564" s="27"/>
      <c r="J2564" s="27"/>
      <c r="K2564" s="27"/>
      <c r="L2564" s="27"/>
      <c r="M2564" s="28"/>
      <c r="N2564" s="28"/>
      <c r="O2564" s="27"/>
      <c r="P2564" s="27"/>
    </row>
    <row r="2565">
      <c r="A2565" s="33"/>
      <c r="B2565" s="34"/>
      <c r="C2565" s="34"/>
      <c r="D2565" s="34"/>
      <c r="E2565" s="27"/>
      <c r="F2565" s="27"/>
      <c r="G2565" s="27"/>
      <c r="H2565" s="27"/>
      <c r="I2565" s="27"/>
      <c r="J2565" s="27"/>
      <c r="K2565" s="27"/>
      <c r="L2565" s="27"/>
      <c r="M2565" s="28"/>
      <c r="N2565" s="28"/>
      <c r="O2565" s="27"/>
      <c r="P2565" s="27"/>
    </row>
    <row r="2566">
      <c r="A2566" s="33"/>
      <c r="B2566" s="34"/>
      <c r="C2566" s="34"/>
      <c r="D2566" s="34"/>
      <c r="E2566" s="27"/>
      <c r="F2566" s="27"/>
      <c r="G2566" s="27"/>
      <c r="H2566" s="27"/>
      <c r="I2566" s="27"/>
      <c r="J2566" s="27"/>
      <c r="K2566" s="27"/>
      <c r="L2566" s="27"/>
      <c r="M2566" s="28"/>
      <c r="N2566" s="28"/>
      <c r="O2566" s="27"/>
      <c r="P2566" s="27"/>
    </row>
    <row r="2567">
      <c r="A2567" s="33"/>
      <c r="B2567" s="34"/>
      <c r="C2567" s="34"/>
      <c r="D2567" s="34"/>
      <c r="E2567" s="27"/>
      <c r="F2567" s="27"/>
      <c r="G2567" s="27"/>
      <c r="H2567" s="27"/>
      <c r="I2567" s="27"/>
      <c r="J2567" s="27"/>
      <c r="K2567" s="27"/>
      <c r="L2567" s="27"/>
      <c r="M2567" s="28"/>
      <c r="N2567" s="28"/>
      <c r="O2567" s="27"/>
      <c r="P2567" s="27"/>
    </row>
    <row r="2568">
      <c r="A2568" s="33"/>
      <c r="B2568" s="34"/>
      <c r="C2568" s="34"/>
      <c r="D2568" s="34"/>
      <c r="E2568" s="27"/>
      <c r="F2568" s="27"/>
      <c r="G2568" s="27"/>
      <c r="H2568" s="27"/>
      <c r="I2568" s="27"/>
      <c r="J2568" s="27"/>
      <c r="K2568" s="27"/>
      <c r="L2568" s="27"/>
      <c r="M2568" s="28"/>
      <c r="N2568" s="28"/>
      <c r="O2568" s="27"/>
      <c r="P2568" s="27"/>
    </row>
    <row r="2569">
      <c r="A2569" s="33"/>
      <c r="B2569" s="34"/>
      <c r="C2569" s="34"/>
      <c r="D2569" s="34"/>
      <c r="E2569" s="27"/>
      <c r="F2569" s="27"/>
      <c r="G2569" s="27"/>
      <c r="H2569" s="27"/>
      <c r="I2569" s="27"/>
      <c r="J2569" s="27"/>
      <c r="K2569" s="27"/>
      <c r="L2569" s="27"/>
      <c r="M2569" s="28"/>
      <c r="N2569" s="28"/>
      <c r="O2569" s="27"/>
      <c r="P2569" s="27"/>
    </row>
    <row r="2570">
      <c r="A2570" s="33"/>
      <c r="B2570" s="34"/>
      <c r="C2570" s="34"/>
      <c r="D2570" s="34"/>
      <c r="E2570" s="27"/>
      <c r="F2570" s="27"/>
      <c r="G2570" s="27"/>
      <c r="H2570" s="27"/>
      <c r="I2570" s="27"/>
      <c r="J2570" s="27"/>
      <c r="K2570" s="27"/>
      <c r="L2570" s="27"/>
      <c r="M2570" s="28"/>
      <c r="N2570" s="28"/>
      <c r="O2570" s="27"/>
      <c r="P2570" s="27"/>
    </row>
    <row r="2571">
      <c r="A2571" s="33"/>
      <c r="B2571" s="34"/>
      <c r="C2571" s="34"/>
      <c r="D2571" s="34"/>
      <c r="E2571" s="27"/>
      <c r="F2571" s="27"/>
      <c r="G2571" s="27"/>
      <c r="H2571" s="27"/>
      <c r="I2571" s="27"/>
      <c r="J2571" s="27"/>
      <c r="K2571" s="27"/>
      <c r="L2571" s="27"/>
      <c r="M2571" s="28"/>
      <c r="N2571" s="28"/>
      <c r="O2571" s="27"/>
      <c r="P2571" s="27"/>
    </row>
    <row r="2572">
      <c r="A2572" s="33"/>
      <c r="B2572" s="34"/>
      <c r="C2572" s="34"/>
      <c r="D2572" s="34"/>
      <c r="E2572" s="27"/>
      <c r="F2572" s="27"/>
      <c r="G2572" s="27"/>
      <c r="H2572" s="27"/>
      <c r="I2572" s="27"/>
      <c r="J2572" s="27"/>
      <c r="K2572" s="27"/>
      <c r="L2572" s="27"/>
      <c r="M2572" s="28"/>
      <c r="N2572" s="28"/>
      <c r="O2572" s="27"/>
      <c r="P2572" s="27"/>
    </row>
    <row r="2573">
      <c r="A2573" s="33"/>
      <c r="B2573" s="34"/>
      <c r="C2573" s="34"/>
      <c r="D2573" s="34"/>
      <c r="E2573" s="27"/>
      <c r="F2573" s="27"/>
      <c r="G2573" s="27"/>
      <c r="H2573" s="27"/>
      <c r="I2573" s="27"/>
      <c r="J2573" s="27"/>
      <c r="K2573" s="27"/>
      <c r="L2573" s="27"/>
      <c r="M2573" s="28"/>
      <c r="N2573" s="28"/>
      <c r="O2573" s="27"/>
      <c r="P2573" s="27"/>
    </row>
    <row r="2574">
      <c r="A2574" s="33"/>
      <c r="B2574" s="34"/>
      <c r="C2574" s="34"/>
      <c r="D2574" s="34"/>
      <c r="E2574" s="27"/>
      <c r="F2574" s="27"/>
      <c r="G2574" s="27"/>
      <c r="H2574" s="27"/>
      <c r="I2574" s="27"/>
      <c r="J2574" s="27"/>
      <c r="K2574" s="27"/>
      <c r="L2574" s="27"/>
      <c r="M2574" s="28"/>
      <c r="N2574" s="28"/>
      <c r="O2574" s="27"/>
      <c r="P2574" s="27"/>
    </row>
    <row r="2575">
      <c r="A2575" s="33"/>
      <c r="B2575" s="34"/>
      <c r="C2575" s="34"/>
      <c r="D2575" s="34"/>
      <c r="E2575" s="27"/>
      <c r="F2575" s="27"/>
      <c r="G2575" s="27"/>
      <c r="H2575" s="27"/>
      <c r="I2575" s="27"/>
      <c r="J2575" s="27"/>
      <c r="K2575" s="27"/>
      <c r="L2575" s="27"/>
      <c r="M2575" s="28"/>
      <c r="N2575" s="28"/>
      <c r="O2575" s="27"/>
      <c r="P2575" s="27"/>
    </row>
    <row r="2576">
      <c r="A2576" s="33"/>
      <c r="B2576" s="34"/>
      <c r="C2576" s="34"/>
      <c r="D2576" s="34"/>
      <c r="E2576" s="27"/>
      <c r="F2576" s="27"/>
      <c r="G2576" s="27"/>
      <c r="H2576" s="27"/>
      <c r="I2576" s="27"/>
      <c r="J2576" s="27"/>
      <c r="K2576" s="27"/>
      <c r="L2576" s="27"/>
      <c r="M2576" s="28"/>
      <c r="N2576" s="28"/>
      <c r="O2576" s="27"/>
      <c r="P2576" s="27"/>
    </row>
    <row r="2577">
      <c r="A2577" s="33"/>
      <c r="B2577" s="34"/>
      <c r="C2577" s="34"/>
      <c r="D2577" s="34"/>
      <c r="E2577" s="27"/>
      <c r="F2577" s="27"/>
      <c r="G2577" s="27"/>
      <c r="H2577" s="27"/>
      <c r="I2577" s="27"/>
      <c r="J2577" s="27"/>
      <c r="K2577" s="27"/>
      <c r="L2577" s="27"/>
      <c r="M2577" s="28"/>
      <c r="N2577" s="28"/>
      <c r="O2577" s="27"/>
      <c r="P2577" s="27"/>
    </row>
    <row r="2578">
      <c r="A2578" s="33"/>
      <c r="B2578" s="34"/>
      <c r="C2578" s="34"/>
      <c r="D2578" s="34"/>
      <c r="E2578" s="27"/>
      <c r="F2578" s="27"/>
      <c r="G2578" s="27"/>
      <c r="H2578" s="27"/>
      <c r="I2578" s="27"/>
      <c r="J2578" s="27"/>
      <c r="K2578" s="27"/>
      <c r="L2578" s="27"/>
      <c r="M2578" s="28"/>
      <c r="N2578" s="28"/>
      <c r="O2578" s="27"/>
      <c r="P2578" s="27"/>
    </row>
    <row r="2579">
      <c r="A2579" s="33"/>
      <c r="B2579" s="34"/>
      <c r="C2579" s="34"/>
      <c r="D2579" s="34"/>
      <c r="E2579" s="27"/>
      <c r="F2579" s="27"/>
      <c r="G2579" s="27"/>
      <c r="H2579" s="27"/>
      <c r="I2579" s="27"/>
      <c r="J2579" s="27"/>
      <c r="K2579" s="27"/>
      <c r="L2579" s="27"/>
      <c r="M2579" s="28"/>
      <c r="N2579" s="28"/>
      <c r="O2579" s="27"/>
      <c r="P2579" s="27"/>
    </row>
    <row r="2580">
      <c r="A2580" s="33"/>
      <c r="B2580" s="34"/>
      <c r="C2580" s="34"/>
      <c r="D2580" s="34"/>
      <c r="E2580" s="27"/>
      <c r="F2580" s="27"/>
      <c r="G2580" s="27"/>
      <c r="H2580" s="27"/>
      <c r="I2580" s="27"/>
      <c r="J2580" s="27"/>
      <c r="K2580" s="27"/>
      <c r="L2580" s="27"/>
      <c r="M2580" s="28"/>
      <c r="N2580" s="28"/>
      <c r="O2580" s="27"/>
      <c r="P2580" s="27"/>
    </row>
    <row r="2581">
      <c r="A2581" s="33"/>
      <c r="B2581" s="34"/>
      <c r="C2581" s="34"/>
      <c r="D2581" s="34"/>
      <c r="E2581" s="27"/>
      <c r="F2581" s="27"/>
      <c r="G2581" s="27"/>
      <c r="H2581" s="27"/>
      <c r="I2581" s="27"/>
      <c r="J2581" s="27"/>
      <c r="K2581" s="27"/>
      <c r="L2581" s="27"/>
      <c r="M2581" s="28"/>
      <c r="N2581" s="28"/>
      <c r="O2581" s="27"/>
      <c r="P2581" s="27"/>
    </row>
    <row r="2582">
      <c r="A2582" s="33"/>
      <c r="B2582" s="34"/>
      <c r="C2582" s="34"/>
      <c r="D2582" s="34"/>
      <c r="E2582" s="27"/>
      <c r="F2582" s="27"/>
      <c r="G2582" s="27"/>
      <c r="H2582" s="27"/>
      <c r="I2582" s="27"/>
      <c r="J2582" s="27"/>
      <c r="K2582" s="27"/>
      <c r="L2582" s="27"/>
      <c r="M2582" s="28"/>
      <c r="N2582" s="28"/>
      <c r="O2582" s="27"/>
      <c r="P2582" s="27"/>
    </row>
    <row r="2583">
      <c r="A2583" s="33"/>
      <c r="B2583" s="34"/>
      <c r="C2583" s="34"/>
      <c r="D2583" s="34"/>
      <c r="E2583" s="27"/>
      <c r="F2583" s="27"/>
      <c r="G2583" s="27"/>
      <c r="H2583" s="27"/>
      <c r="I2583" s="27"/>
      <c r="J2583" s="27"/>
      <c r="K2583" s="27"/>
      <c r="L2583" s="27"/>
      <c r="M2583" s="28"/>
      <c r="N2583" s="28"/>
      <c r="O2583" s="27"/>
      <c r="P2583" s="27"/>
    </row>
    <row r="2584">
      <c r="A2584" s="33"/>
      <c r="B2584" s="34"/>
      <c r="C2584" s="34"/>
      <c r="D2584" s="34"/>
      <c r="E2584" s="27"/>
      <c r="F2584" s="27"/>
      <c r="G2584" s="27"/>
      <c r="H2584" s="27"/>
      <c r="I2584" s="27"/>
      <c r="J2584" s="27"/>
      <c r="K2584" s="27"/>
      <c r="L2584" s="27"/>
      <c r="M2584" s="28"/>
      <c r="N2584" s="28"/>
      <c r="O2584" s="27"/>
      <c r="P2584" s="27"/>
    </row>
    <row r="2585">
      <c r="A2585" s="33"/>
      <c r="B2585" s="34"/>
      <c r="C2585" s="34"/>
      <c r="D2585" s="34"/>
      <c r="E2585" s="27"/>
      <c r="F2585" s="27"/>
      <c r="G2585" s="27"/>
      <c r="H2585" s="27"/>
      <c r="I2585" s="27"/>
      <c r="J2585" s="27"/>
      <c r="K2585" s="27"/>
      <c r="L2585" s="27"/>
      <c r="M2585" s="28"/>
      <c r="N2585" s="28"/>
      <c r="O2585" s="27"/>
      <c r="P2585" s="27"/>
    </row>
    <row r="2586">
      <c r="A2586" s="33"/>
      <c r="B2586" s="34"/>
      <c r="C2586" s="34"/>
      <c r="D2586" s="34"/>
      <c r="E2586" s="27"/>
      <c r="F2586" s="27"/>
      <c r="G2586" s="27"/>
      <c r="H2586" s="27"/>
      <c r="I2586" s="27"/>
      <c r="J2586" s="27"/>
      <c r="K2586" s="27"/>
      <c r="L2586" s="27"/>
      <c r="M2586" s="28"/>
      <c r="N2586" s="28"/>
      <c r="O2586" s="27"/>
      <c r="P2586" s="27"/>
    </row>
    <row r="2587">
      <c r="A2587" s="33"/>
      <c r="B2587" s="34"/>
      <c r="C2587" s="34"/>
      <c r="D2587" s="34"/>
      <c r="E2587" s="27"/>
      <c r="F2587" s="27"/>
      <c r="G2587" s="27"/>
      <c r="H2587" s="27"/>
      <c r="I2587" s="27"/>
      <c r="J2587" s="27"/>
      <c r="K2587" s="27"/>
      <c r="L2587" s="27"/>
      <c r="M2587" s="28"/>
      <c r="N2587" s="28"/>
      <c r="O2587" s="27"/>
      <c r="P2587" s="27"/>
    </row>
    <row r="2588">
      <c r="A2588" s="33"/>
      <c r="B2588" s="34"/>
      <c r="C2588" s="34"/>
      <c r="D2588" s="34"/>
      <c r="E2588" s="27"/>
      <c r="F2588" s="27"/>
      <c r="G2588" s="27"/>
      <c r="H2588" s="27"/>
      <c r="I2588" s="27"/>
      <c r="J2588" s="27"/>
      <c r="K2588" s="27"/>
      <c r="L2588" s="27"/>
      <c r="M2588" s="28"/>
      <c r="N2588" s="28"/>
      <c r="O2588" s="27"/>
      <c r="P2588" s="27"/>
    </row>
    <row r="2589">
      <c r="A2589" s="33"/>
      <c r="B2589" s="34"/>
      <c r="C2589" s="34"/>
      <c r="D2589" s="34"/>
      <c r="E2589" s="27"/>
      <c r="F2589" s="27"/>
      <c r="G2589" s="27"/>
      <c r="H2589" s="27"/>
      <c r="I2589" s="27"/>
      <c r="J2589" s="27"/>
      <c r="K2589" s="27"/>
      <c r="L2589" s="27"/>
      <c r="M2589" s="28"/>
      <c r="N2589" s="28"/>
      <c r="O2589" s="27"/>
      <c r="P2589" s="27"/>
    </row>
    <row r="2590">
      <c r="A2590" s="33"/>
      <c r="B2590" s="34"/>
      <c r="C2590" s="34"/>
      <c r="D2590" s="34"/>
      <c r="E2590" s="27"/>
      <c r="F2590" s="27"/>
      <c r="G2590" s="27"/>
      <c r="H2590" s="27"/>
      <c r="I2590" s="27"/>
      <c r="J2590" s="27"/>
      <c r="K2590" s="27"/>
      <c r="L2590" s="27"/>
      <c r="M2590" s="28"/>
      <c r="N2590" s="28"/>
      <c r="O2590" s="27"/>
      <c r="P2590" s="27"/>
    </row>
    <row r="2591">
      <c r="A2591" s="33"/>
      <c r="B2591" s="34"/>
      <c r="C2591" s="34"/>
      <c r="D2591" s="34"/>
      <c r="E2591" s="27"/>
      <c r="F2591" s="27"/>
      <c r="G2591" s="27"/>
      <c r="H2591" s="27"/>
      <c r="I2591" s="27"/>
      <c r="J2591" s="27"/>
      <c r="K2591" s="27"/>
      <c r="L2591" s="27"/>
      <c r="M2591" s="28"/>
      <c r="N2591" s="28"/>
      <c r="O2591" s="27"/>
      <c r="P2591" s="27"/>
    </row>
    <row r="2592">
      <c r="A2592" s="33"/>
      <c r="B2592" s="34"/>
      <c r="C2592" s="34"/>
      <c r="D2592" s="34"/>
      <c r="E2592" s="27"/>
      <c r="F2592" s="27"/>
      <c r="G2592" s="27"/>
      <c r="H2592" s="27"/>
      <c r="I2592" s="27"/>
      <c r="J2592" s="27"/>
      <c r="K2592" s="27"/>
      <c r="L2592" s="27"/>
      <c r="M2592" s="28"/>
      <c r="N2592" s="28"/>
      <c r="O2592" s="27"/>
      <c r="P2592" s="27"/>
    </row>
    <row r="2593">
      <c r="A2593" s="33"/>
      <c r="B2593" s="34"/>
      <c r="C2593" s="34"/>
      <c r="D2593" s="34"/>
      <c r="E2593" s="27"/>
      <c r="F2593" s="27"/>
      <c r="G2593" s="27"/>
      <c r="H2593" s="27"/>
      <c r="I2593" s="27"/>
      <c r="J2593" s="27"/>
      <c r="K2593" s="27"/>
      <c r="L2593" s="27"/>
      <c r="M2593" s="28"/>
      <c r="N2593" s="28"/>
      <c r="O2593" s="27"/>
      <c r="P2593" s="27"/>
    </row>
    <row r="2594">
      <c r="A2594" s="33"/>
      <c r="B2594" s="34"/>
      <c r="C2594" s="34"/>
      <c r="D2594" s="34"/>
      <c r="E2594" s="27"/>
      <c r="F2594" s="27"/>
      <c r="G2594" s="27"/>
      <c r="H2594" s="27"/>
      <c r="I2594" s="27"/>
      <c r="J2594" s="27"/>
      <c r="K2594" s="27"/>
      <c r="L2594" s="27"/>
      <c r="M2594" s="28"/>
      <c r="N2594" s="28"/>
      <c r="O2594" s="27"/>
      <c r="P2594" s="27"/>
    </row>
    <row r="2595">
      <c r="A2595" s="33"/>
      <c r="B2595" s="34"/>
      <c r="C2595" s="34"/>
      <c r="D2595" s="34"/>
      <c r="E2595" s="27"/>
      <c r="F2595" s="27"/>
      <c r="G2595" s="27"/>
      <c r="H2595" s="27"/>
      <c r="I2595" s="27"/>
      <c r="J2595" s="27"/>
      <c r="K2595" s="27"/>
      <c r="L2595" s="27"/>
      <c r="M2595" s="28"/>
      <c r="N2595" s="28"/>
      <c r="O2595" s="27"/>
      <c r="P2595" s="27"/>
    </row>
    <row r="2596">
      <c r="A2596" s="33"/>
      <c r="B2596" s="34"/>
      <c r="C2596" s="34"/>
      <c r="D2596" s="34"/>
      <c r="E2596" s="27"/>
      <c r="F2596" s="27"/>
      <c r="G2596" s="27"/>
      <c r="H2596" s="27"/>
      <c r="I2596" s="27"/>
      <c r="J2596" s="27"/>
      <c r="K2596" s="27"/>
      <c r="L2596" s="27"/>
      <c r="M2596" s="28"/>
      <c r="N2596" s="28"/>
      <c r="O2596" s="27"/>
      <c r="P2596" s="27"/>
    </row>
    <row r="2597">
      <c r="A2597" s="33"/>
      <c r="B2597" s="34"/>
      <c r="C2597" s="34"/>
      <c r="D2597" s="34"/>
      <c r="E2597" s="27"/>
      <c r="F2597" s="27"/>
      <c r="G2597" s="27"/>
      <c r="H2597" s="27"/>
      <c r="I2597" s="27"/>
      <c r="J2597" s="27"/>
      <c r="K2597" s="27"/>
      <c r="L2597" s="27"/>
      <c r="M2597" s="28"/>
      <c r="N2597" s="28"/>
      <c r="O2597" s="27"/>
      <c r="P2597" s="27"/>
    </row>
    <row r="2598">
      <c r="A2598" s="33"/>
      <c r="B2598" s="34"/>
      <c r="C2598" s="34"/>
      <c r="D2598" s="34"/>
      <c r="E2598" s="27"/>
      <c r="F2598" s="27"/>
      <c r="G2598" s="27"/>
      <c r="H2598" s="27"/>
      <c r="I2598" s="27"/>
      <c r="J2598" s="27"/>
      <c r="K2598" s="27"/>
      <c r="L2598" s="27"/>
      <c r="M2598" s="28"/>
      <c r="N2598" s="28"/>
      <c r="O2598" s="27"/>
      <c r="P2598" s="27"/>
    </row>
    <row r="2599">
      <c r="A2599" s="33"/>
      <c r="B2599" s="34"/>
      <c r="C2599" s="34"/>
      <c r="D2599" s="34"/>
      <c r="E2599" s="27"/>
      <c r="F2599" s="27"/>
      <c r="G2599" s="27"/>
      <c r="H2599" s="27"/>
      <c r="I2599" s="27"/>
      <c r="J2599" s="27"/>
      <c r="K2599" s="27"/>
      <c r="L2599" s="27"/>
      <c r="M2599" s="28"/>
      <c r="N2599" s="28"/>
      <c r="O2599" s="27"/>
      <c r="P2599" s="27"/>
    </row>
    <row r="2600">
      <c r="A2600" s="33"/>
      <c r="B2600" s="34"/>
      <c r="C2600" s="34"/>
      <c r="D2600" s="34"/>
      <c r="E2600" s="27"/>
      <c r="F2600" s="27"/>
      <c r="G2600" s="27"/>
      <c r="H2600" s="27"/>
      <c r="I2600" s="27"/>
      <c r="J2600" s="27"/>
      <c r="K2600" s="27"/>
      <c r="L2600" s="27"/>
      <c r="M2600" s="28"/>
      <c r="N2600" s="28"/>
      <c r="O2600" s="27"/>
      <c r="P2600" s="27"/>
    </row>
    <row r="2601">
      <c r="A2601" s="33"/>
      <c r="B2601" s="34"/>
      <c r="C2601" s="34"/>
      <c r="D2601" s="34"/>
      <c r="E2601" s="27"/>
      <c r="F2601" s="27"/>
      <c r="G2601" s="27"/>
      <c r="H2601" s="27"/>
      <c r="I2601" s="27"/>
      <c r="J2601" s="27"/>
      <c r="K2601" s="27"/>
      <c r="L2601" s="27"/>
      <c r="M2601" s="28"/>
      <c r="N2601" s="28"/>
      <c r="O2601" s="27"/>
      <c r="P2601" s="27"/>
    </row>
    <row r="2602">
      <c r="A2602" s="33"/>
      <c r="B2602" s="34"/>
      <c r="C2602" s="34"/>
      <c r="D2602" s="34"/>
      <c r="E2602" s="27"/>
      <c r="F2602" s="27"/>
      <c r="G2602" s="27"/>
      <c r="H2602" s="27"/>
      <c r="I2602" s="27"/>
      <c r="J2602" s="27"/>
      <c r="K2602" s="27"/>
      <c r="L2602" s="27"/>
      <c r="M2602" s="28"/>
      <c r="N2602" s="28"/>
      <c r="O2602" s="27"/>
      <c r="P2602" s="27"/>
    </row>
    <row r="2603">
      <c r="A2603" s="33"/>
      <c r="B2603" s="34"/>
      <c r="C2603" s="34"/>
      <c r="D2603" s="34"/>
      <c r="E2603" s="27"/>
      <c r="F2603" s="27"/>
      <c r="G2603" s="27"/>
      <c r="H2603" s="27"/>
      <c r="I2603" s="27"/>
      <c r="J2603" s="27"/>
      <c r="K2603" s="27"/>
      <c r="L2603" s="27"/>
      <c r="M2603" s="28"/>
      <c r="N2603" s="28"/>
      <c r="O2603" s="27"/>
      <c r="P2603" s="27"/>
    </row>
    <row r="2604">
      <c r="A2604" s="33"/>
      <c r="B2604" s="34"/>
      <c r="C2604" s="34"/>
      <c r="D2604" s="34"/>
      <c r="E2604" s="27"/>
      <c r="F2604" s="27"/>
      <c r="G2604" s="27"/>
      <c r="H2604" s="27"/>
      <c r="I2604" s="27"/>
      <c r="J2604" s="27"/>
      <c r="K2604" s="27"/>
      <c r="L2604" s="27"/>
      <c r="M2604" s="28"/>
      <c r="N2604" s="28"/>
      <c r="O2604" s="27"/>
      <c r="P2604" s="27"/>
    </row>
    <row r="2605">
      <c r="A2605" s="33"/>
      <c r="B2605" s="34"/>
      <c r="C2605" s="34"/>
      <c r="D2605" s="34"/>
      <c r="E2605" s="27"/>
      <c r="F2605" s="27"/>
      <c r="G2605" s="27"/>
      <c r="H2605" s="27"/>
      <c r="I2605" s="27"/>
      <c r="J2605" s="27"/>
      <c r="K2605" s="27"/>
      <c r="L2605" s="27"/>
      <c r="M2605" s="28"/>
      <c r="N2605" s="28"/>
      <c r="O2605" s="27"/>
      <c r="P2605" s="27"/>
    </row>
    <row r="2606">
      <c r="A2606" s="33"/>
      <c r="B2606" s="34"/>
      <c r="C2606" s="34"/>
      <c r="D2606" s="34"/>
      <c r="E2606" s="27"/>
      <c r="F2606" s="27"/>
      <c r="G2606" s="27"/>
      <c r="H2606" s="27"/>
      <c r="I2606" s="27"/>
      <c r="J2606" s="27"/>
      <c r="K2606" s="27"/>
      <c r="L2606" s="27"/>
      <c r="M2606" s="28"/>
      <c r="N2606" s="28"/>
      <c r="O2606" s="27"/>
      <c r="P2606" s="27"/>
    </row>
    <row r="2607">
      <c r="A2607" s="33"/>
      <c r="B2607" s="34"/>
      <c r="C2607" s="34"/>
      <c r="D2607" s="34"/>
      <c r="E2607" s="27"/>
      <c r="F2607" s="27"/>
      <c r="G2607" s="27"/>
      <c r="H2607" s="27"/>
      <c r="I2607" s="27"/>
      <c r="J2607" s="27"/>
      <c r="K2607" s="27"/>
      <c r="L2607" s="27"/>
      <c r="M2607" s="28"/>
      <c r="N2607" s="28"/>
      <c r="O2607" s="27"/>
      <c r="P2607" s="27"/>
    </row>
    <row r="2608">
      <c r="A2608" s="33"/>
      <c r="B2608" s="34"/>
      <c r="C2608" s="34"/>
      <c r="D2608" s="34"/>
      <c r="E2608" s="27"/>
      <c r="F2608" s="27"/>
      <c r="G2608" s="27"/>
      <c r="H2608" s="27"/>
      <c r="I2608" s="27"/>
      <c r="J2608" s="27"/>
      <c r="K2608" s="27"/>
      <c r="L2608" s="27"/>
      <c r="M2608" s="28"/>
      <c r="N2608" s="28"/>
      <c r="O2608" s="27"/>
      <c r="P2608" s="27"/>
    </row>
    <row r="2609">
      <c r="A2609" s="33"/>
      <c r="B2609" s="34"/>
      <c r="C2609" s="34"/>
      <c r="D2609" s="34"/>
      <c r="E2609" s="27"/>
      <c r="F2609" s="27"/>
      <c r="G2609" s="27"/>
      <c r="H2609" s="27"/>
      <c r="I2609" s="27"/>
      <c r="J2609" s="27"/>
      <c r="K2609" s="27"/>
      <c r="L2609" s="27"/>
      <c r="M2609" s="28"/>
      <c r="N2609" s="28"/>
      <c r="O2609" s="27"/>
      <c r="P2609" s="27"/>
    </row>
    <row r="2610">
      <c r="A2610" s="33"/>
      <c r="B2610" s="34"/>
      <c r="C2610" s="34"/>
      <c r="D2610" s="34"/>
      <c r="E2610" s="27"/>
      <c r="F2610" s="27"/>
      <c r="G2610" s="27"/>
      <c r="H2610" s="27"/>
      <c r="I2610" s="27"/>
      <c r="J2610" s="27"/>
      <c r="K2610" s="27"/>
      <c r="L2610" s="27"/>
      <c r="M2610" s="28"/>
      <c r="N2610" s="28"/>
      <c r="O2610" s="27"/>
      <c r="P2610" s="27"/>
    </row>
    <row r="2611">
      <c r="A2611" s="33"/>
      <c r="B2611" s="34"/>
      <c r="C2611" s="34"/>
      <c r="D2611" s="34"/>
      <c r="E2611" s="27"/>
      <c r="F2611" s="27"/>
      <c r="G2611" s="27"/>
      <c r="H2611" s="27"/>
      <c r="I2611" s="27"/>
      <c r="J2611" s="27"/>
      <c r="K2611" s="27"/>
      <c r="L2611" s="27"/>
      <c r="M2611" s="28"/>
      <c r="N2611" s="28"/>
      <c r="O2611" s="27"/>
      <c r="P2611" s="27"/>
    </row>
    <row r="2612">
      <c r="A2612" s="33"/>
      <c r="B2612" s="34"/>
      <c r="C2612" s="34"/>
      <c r="D2612" s="34"/>
      <c r="E2612" s="27"/>
      <c r="F2612" s="27"/>
      <c r="G2612" s="27"/>
      <c r="H2612" s="27"/>
      <c r="I2612" s="27"/>
      <c r="J2612" s="27"/>
      <c r="K2612" s="27"/>
      <c r="L2612" s="27"/>
      <c r="M2612" s="28"/>
      <c r="N2612" s="28"/>
      <c r="O2612" s="27"/>
      <c r="P2612" s="27"/>
    </row>
    <row r="2613">
      <c r="A2613" s="33"/>
      <c r="B2613" s="34"/>
      <c r="C2613" s="34"/>
      <c r="D2613" s="34"/>
      <c r="E2613" s="27"/>
      <c r="F2613" s="27"/>
      <c r="G2613" s="27"/>
      <c r="H2613" s="27"/>
      <c r="I2613" s="27"/>
      <c r="J2613" s="27"/>
      <c r="K2613" s="27"/>
      <c r="L2613" s="27"/>
      <c r="M2613" s="28"/>
      <c r="N2613" s="28"/>
      <c r="O2613" s="27"/>
      <c r="P2613" s="27"/>
    </row>
    <row r="2614">
      <c r="A2614" s="33"/>
      <c r="B2614" s="34"/>
      <c r="C2614" s="34"/>
      <c r="D2614" s="34"/>
      <c r="E2614" s="27"/>
      <c r="F2614" s="27"/>
      <c r="G2614" s="27"/>
      <c r="H2614" s="27"/>
      <c r="I2614" s="27"/>
      <c r="J2614" s="27"/>
      <c r="K2614" s="27"/>
      <c r="L2614" s="27"/>
      <c r="M2614" s="28"/>
      <c r="N2614" s="28"/>
      <c r="O2614" s="27"/>
      <c r="P2614" s="27"/>
    </row>
    <row r="2615">
      <c r="A2615" s="33"/>
      <c r="B2615" s="34"/>
      <c r="C2615" s="34"/>
      <c r="D2615" s="34"/>
      <c r="E2615" s="27"/>
      <c r="F2615" s="27"/>
      <c r="G2615" s="27"/>
      <c r="H2615" s="27"/>
      <c r="I2615" s="27"/>
      <c r="J2615" s="27"/>
      <c r="K2615" s="27"/>
      <c r="L2615" s="27"/>
      <c r="M2615" s="28"/>
      <c r="N2615" s="28"/>
      <c r="O2615" s="27"/>
      <c r="P2615" s="27"/>
    </row>
    <row r="2616">
      <c r="A2616" s="33"/>
      <c r="B2616" s="34"/>
      <c r="C2616" s="34"/>
      <c r="D2616" s="34"/>
      <c r="E2616" s="27"/>
      <c r="F2616" s="27"/>
      <c r="G2616" s="27"/>
      <c r="H2616" s="27"/>
      <c r="I2616" s="27"/>
      <c r="J2616" s="27"/>
      <c r="K2616" s="27"/>
      <c r="L2616" s="27"/>
      <c r="M2616" s="28"/>
      <c r="N2616" s="28"/>
      <c r="O2616" s="27"/>
      <c r="P2616" s="27"/>
    </row>
    <row r="2617">
      <c r="A2617" s="33"/>
      <c r="B2617" s="34"/>
      <c r="C2617" s="34"/>
      <c r="D2617" s="34"/>
      <c r="E2617" s="27"/>
      <c r="F2617" s="27"/>
      <c r="G2617" s="27"/>
      <c r="H2617" s="27"/>
      <c r="I2617" s="27"/>
      <c r="J2617" s="27"/>
      <c r="K2617" s="27"/>
      <c r="L2617" s="27"/>
      <c r="M2617" s="28"/>
      <c r="N2617" s="28"/>
      <c r="O2617" s="27"/>
      <c r="P2617" s="27"/>
    </row>
    <row r="2618">
      <c r="A2618" s="33"/>
      <c r="B2618" s="34"/>
      <c r="C2618" s="34"/>
      <c r="D2618" s="34"/>
      <c r="E2618" s="27"/>
      <c r="F2618" s="27"/>
      <c r="G2618" s="27"/>
      <c r="H2618" s="27"/>
      <c r="I2618" s="27"/>
      <c r="J2618" s="27"/>
      <c r="K2618" s="27"/>
      <c r="L2618" s="27"/>
      <c r="M2618" s="28"/>
      <c r="N2618" s="28"/>
      <c r="O2618" s="27"/>
      <c r="P2618" s="27"/>
    </row>
    <row r="2619">
      <c r="A2619" s="33"/>
      <c r="B2619" s="34"/>
      <c r="C2619" s="34"/>
      <c r="D2619" s="34"/>
      <c r="E2619" s="27"/>
      <c r="F2619" s="27"/>
      <c r="G2619" s="27"/>
      <c r="H2619" s="27"/>
      <c r="I2619" s="27"/>
      <c r="J2619" s="27"/>
      <c r="K2619" s="27"/>
      <c r="L2619" s="27"/>
      <c r="M2619" s="28"/>
      <c r="N2619" s="28"/>
      <c r="O2619" s="27"/>
      <c r="P2619" s="27"/>
    </row>
    <row r="2620">
      <c r="A2620" s="33"/>
      <c r="B2620" s="34"/>
      <c r="C2620" s="34"/>
      <c r="D2620" s="34"/>
      <c r="E2620" s="27"/>
      <c r="F2620" s="27"/>
      <c r="G2620" s="27"/>
      <c r="H2620" s="27"/>
      <c r="I2620" s="27"/>
      <c r="J2620" s="27"/>
      <c r="K2620" s="27"/>
      <c r="L2620" s="27"/>
      <c r="M2620" s="28"/>
      <c r="N2620" s="28"/>
      <c r="O2620" s="27"/>
      <c r="P2620" s="27"/>
    </row>
    <row r="2621">
      <c r="A2621" s="33"/>
      <c r="B2621" s="34"/>
      <c r="C2621" s="34"/>
      <c r="D2621" s="34"/>
      <c r="E2621" s="27"/>
      <c r="F2621" s="27"/>
      <c r="G2621" s="27"/>
      <c r="H2621" s="27"/>
      <c r="I2621" s="27"/>
      <c r="J2621" s="27"/>
      <c r="K2621" s="27"/>
      <c r="L2621" s="27"/>
      <c r="M2621" s="28"/>
      <c r="N2621" s="28"/>
      <c r="O2621" s="27"/>
      <c r="P2621" s="27"/>
    </row>
    <row r="2622">
      <c r="A2622" s="33"/>
      <c r="B2622" s="34"/>
      <c r="C2622" s="34"/>
      <c r="D2622" s="34"/>
      <c r="E2622" s="27"/>
      <c r="F2622" s="27"/>
      <c r="G2622" s="27"/>
      <c r="H2622" s="27"/>
      <c r="I2622" s="27"/>
      <c r="J2622" s="27"/>
      <c r="K2622" s="27"/>
      <c r="L2622" s="27"/>
      <c r="M2622" s="28"/>
      <c r="N2622" s="28"/>
      <c r="O2622" s="27"/>
      <c r="P2622" s="27"/>
    </row>
    <row r="2623">
      <c r="A2623" s="33"/>
      <c r="B2623" s="34"/>
      <c r="C2623" s="34"/>
      <c r="D2623" s="34"/>
      <c r="E2623" s="27"/>
      <c r="F2623" s="27"/>
      <c r="G2623" s="27"/>
      <c r="H2623" s="27"/>
      <c r="I2623" s="27"/>
      <c r="J2623" s="27"/>
      <c r="K2623" s="27"/>
      <c r="L2623" s="27"/>
      <c r="M2623" s="28"/>
      <c r="N2623" s="28"/>
      <c r="O2623" s="27"/>
      <c r="P2623" s="27"/>
    </row>
    <row r="2624">
      <c r="A2624" s="33"/>
      <c r="B2624" s="34"/>
      <c r="C2624" s="34"/>
      <c r="D2624" s="34"/>
      <c r="E2624" s="27"/>
      <c r="F2624" s="27"/>
      <c r="G2624" s="27"/>
      <c r="H2624" s="27"/>
      <c r="I2624" s="27"/>
      <c r="J2624" s="27"/>
      <c r="K2624" s="27"/>
      <c r="L2624" s="27"/>
      <c r="M2624" s="28"/>
      <c r="N2624" s="28"/>
      <c r="O2624" s="27"/>
      <c r="P2624" s="27"/>
    </row>
    <row r="2625">
      <c r="A2625" s="33"/>
      <c r="B2625" s="34"/>
      <c r="C2625" s="34"/>
      <c r="D2625" s="34"/>
      <c r="E2625" s="27"/>
      <c r="F2625" s="27"/>
      <c r="G2625" s="27"/>
      <c r="H2625" s="27"/>
      <c r="I2625" s="27"/>
      <c r="J2625" s="27"/>
      <c r="K2625" s="27"/>
      <c r="L2625" s="27"/>
      <c r="M2625" s="28"/>
      <c r="N2625" s="28"/>
      <c r="O2625" s="27"/>
      <c r="P2625" s="27"/>
    </row>
    <row r="2626">
      <c r="A2626" s="33"/>
      <c r="B2626" s="34"/>
      <c r="C2626" s="34"/>
      <c r="D2626" s="34"/>
      <c r="E2626" s="27"/>
      <c r="F2626" s="27"/>
      <c r="G2626" s="27"/>
      <c r="H2626" s="27"/>
      <c r="I2626" s="27"/>
      <c r="J2626" s="27"/>
      <c r="K2626" s="27"/>
      <c r="L2626" s="27"/>
      <c r="M2626" s="28"/>
      <c r="N2626" s="28"/>
      <c r="O2626" s="27"/>
      <c r="P2626" s="27"/>
    </row>
    <row r="2627">
      <c r="A2627" s="33"/>
      <c r="B2627" s="34"/>
      <c r="C2627" s="34"/>
      <c r="D2627" s="34"/>
      <c r="E2627" s="27"/>
      <c r="F2627" s="27"/>
      <c r="G2627" s="27"/>
      <c r="H2627" s="27"/>
      <c r="I2627" s="27"/>
      <c r="J2627" s="27"/>
      <c r="K2627" s="27"/>
      <c r="L2627" s="27"/>
      <c r="M2627" s="28"/>
      <c r="N2627" s="28"/>
      <c r="O2627" s="27"/>
      <c r="P2627" s="27"/>
    </row>
    <row r="2628">
      <c r="A2628" s="33"/>
      <c r="B2628" s="34"/>
      <c r="C2628" s="34"/>
      <c r="D2628" s="34"/>
      <c r="E2628" s="27"/>
      <c r="F2628" s="27"/>
      <c r="G2628" s="27"/>
      <c r="H2628" s="27"/>
      <c r="I2628" s="27"/>
      <c r="J2628" s="27"/>
      <c r="K2628" s="27"/>
      <c r="L2628" s="27"/>
      <c r="M2628" s="28"/>
      <c r="N2628" s="28"/>
      <c r="O2628" s="27"/>
      <c r="P2628" s="27"/>
    </row>
    <row r="2629">
      <c r="A2629" s="33"/>
      <c r="B2629" s="34"/>
      <c r="C2629" s="34"/>
      <c r="D2629" s="34"/>
      <c r="E2629" s="27"/>
      <c r="F2629" s="27"/>
      <c r="G2629" s="27"/>
      <c r="H2629" s="27"/>
      <c r="I2629" s="27"/>
      <c r="J2629" s="27"/>
      <c r="K2629" s="27"/>
      <c r="L2629" s="27"/>
      <c r="M2629" s="28"/>
      <c r="N2629" s="28"/>
      <c r="O2629" s="27"/>
      <c r="P2629" s="27"/>
    </row>
    <row r="2630">
      <c r="A2630" s="33"/>
      <c r="B2630" s="34"/>
      <c r="C2630" s="34"/>
      <c r="D2630" s="34"/>
      <c r="E2630" s="27"/>
      <c r="F2630" s="27"/>
      <c r="G2630" s="27"/>
      <c r="H2630" s="27"/>
      <c r="I2630" s="27"/>
      <c r="J2630" s="27"/>
      <c r="K2630" s="27"/>
      <c r="L2630" s="27"/>
      <c r="M2630" s="28"/>
      <c r="N2630" s="28"/>
      <c r="O2630" s="27"/>
      <c r="P2630" s="27"/>
    </row>
    <row r="2631">
      <c r="A2631" s="33"/>
      <c r="B2631" s="34"/>
      <c r="C2631" s="34"/>
      <c r="D2631" s="34"/>
      <c r="E2631" s="27"/>
      <c r="F2631" s="27"/>
      <c r="G2631" s="27"/>
      <c r="H2631" s="27"/>
      <c r="I2631" s="27"/>
      <c r="J2631" s="27"/>
      <c r="K2631" s="27"/>
      <c r="L2631" s="27"/>
      <c r="M2631" s="28"/>
      <c r="N2631" s="28"/>
      <c r="O2631" s="27"/>
      <c r="P2631" s="27"/>
    </row>
    <row r="2632">
      <c r="A2632" s="33"/>
      <c r="B2632" s="34"/>
      <c r="C2632" s="34"/>
      <c r="D2632" s="34"/>
      <c r="E2632" s="27"/>
      <c r="F2632" s="27"/>
      <c r="G2632" s="27"/>
      <c r="H2632" s="27"/>
      <c r="I2632" s="27"/>
      <c r="J2632" s="27"/>
      <c r="K2632" s="27"/>
      <c r="L2632" s="27"/>
      <c r="M2632" s="28"/>
      <c r="N2632" s="28"/>
      <c r="O2632" s="27"/>
      <c r="P2632" s="27"/>
    </row>
    <row r="2633">
      <c r="A2633" s="33"/>
      <c r="B2633" s="34"/>
      <c r="C2633" s="34"/>
      <c r="D2633" s="34"/>
      <c r="E2633" s="27"/>
      <c r="F2633" s="27"/>
      <c r="G2633" s="27"/>
      <c r="H2633" s="27"/>
      <c r="I2633" s="27"/>
      <c r="J2633" s="27"/>
      <c r="K2633" s="27"/>
      <c r="L2633" s="27"/>
      <c r="M2633" s="28"/>
      <c r="N2633" s="28"/>
      <c r="O2633" s="27"/>
      <c r="P2633" s="27"/>
    </row>
    <row r="2634">
      <c r="A2634" s="33"/>
      <c r="B2634" s="34"/>
      <c r="C2634" s="34"/>
      <c r="D2634" s="34"/>
      <c r="E2634" s="27"/>
      <c r="F2634" s="27"/>
      <c r="G2634" s="27"/>
      <c r="H2634" s="27"/>
      <c r="I2634" s="27"/>
      <c r="J2634" s="27"/>
      <c r="K2634" s="27"/>
      <c r="L2634" s="27"/>
      <c r="M2634" s="28"/>
      <c r="N2634" s="28"/>
      <c r="O2634" s="27"/>
      <c r="P2634" s="27"/>
    </row>
    <row r="2635">
      <c r="A2635" s="33"/>
      <c r="B2635" s="34"/>
      <c r="C2635" s="34"/>
      <c r="D2635" s="34"/>
      <c r="E2635" s="27"/>
      <c r="F2635" s="27"/>
      <c r="G2635" s="27"/>
      <c r="H2635" s="27"/>
      <c r="I2635" s="27"/>
      <c r="J2635" s="27"/>
      <c r="K2635" s="27"/>
      <c r="L2635" s="27"/>
      <c r="M2635" s="28"/>
      <c r="N2635" s="28"/>
      <c r="O2635" s="27"/>
      <c r="P2635" s="27"/>
    </row>
    <row r="2636">
      <c r="A2636" s="33"/>
      <c r="B2636" s="34"/>
      <c r="C2636" s="34"/>
      <c r="D2636" s="34"/>
      <c r="E2636" s="27"/>
      <c r="F2636" s="27"/>
      <c r="G2636" s="27"/>
      <c r="H2636" s="27"/>
      <c r="I2636" s="27"/>
      <c r="J2636" s="27"/>
      <c r="K2636" s="27"/>
      <c r="L2636" s="27"/>
      <c r="M2636" s="28"/>
      <c r="N2636" s="28"/>
      <c r="O2636" s="27"/>
      <c r="P2636" s="27"/>
    </row>
    <row r="2637">
      <c r="A2637" s="33"/>
      <c r="B2637" s="34"/>
      <c r="C2637" s="34"/>
      <c r="D2637" s="34"/>
      <c r="E2637" s="27"/>
      <c r="F2637" s="27"/>
      <c r="G2637" s="27"/>
      <c r="H2637" s="27"/>
      <c r="I2637" s="27"/>
      <c r="J2637" s="27"/>
      <c r="K2637" s="27"/>
      <c r="L2637" s="27"/>
      <c r="M2637" s="28"/>
      <c r="N2637" s="28"/>
      <c r="O2637" s="27"/>
      <c r="P2637" s="27"/>
    </row>
    <row r="2638">
      <c r="A2638" s="33"/>
      <c r="B2638" s="34"/>
      <c r="C2638" s="34"/>
      <c r="D2638" s="34"/>
      <c r="E2638" s="27"/>
      <c r="F2638" s="27"/>
      <c r="G2638" s="27"/>
      <c r="H2638" s="27"/>
      <c r="I2638" s="27"/>
      <c r="J2638" s="27"/>
      <c r="K2638" s="27"/>
      <c r="L2638" s="27"/>
      <c r="M2638" s="28"/>
      <c r="N2638" s="28"/>
      <c r="O2638" s="27"/>
      <c r="P2638" s="27"/>
    </row>
    <row r="2639">
      <c r="A2639" s="33"/>
      <c r="B2639" s="34"/>
      <c r="C2639" s="34"/>
      <c r="D2639" s="34"/>
      <c r="E2639" s="27"/>
      <c r="F2639" s="27"/>
      <c r="G2639" s="27"/>
      <c r="H2639" s="27"/>
      <c r="I2639" s="27"/>
      <c r="J2639" s="27"/>
      <c r="K2639" s="27"/>
      <c r="L2639" s="27"/>
      <c r="M2639" s="28"/>
      <c r="N2639" s="28"/>
      <c r="O2639" s="27"/>
      <c r="P2639" s="27"/>
    </row>
    <row r="2640">
      <c r="A2640" s="33"/>
      <c r="B2640" s="34"/>
      <c r="C2640" s="34"/>
      <c r="D2640" s="34"/>
      <c r="E2640" s="27"/>
      <c r="F2640" s="27"/>
      <c r="G2640" s="27"/>
      <c r="H2640" s="27"/>
      <c r="I2640" s="27"/>
      <c r="J2640" s="27"/>
      <c r="K2640" s="27"/>
      <c r="L2640" s="27"/>
      <c r="M2640" s="28"/>
      <c r="N2640" s="28"/>
      <c r="O2640" s="27"/>
      <c r="P2640" s="27"/>
    </row>
    <row r="2641">
      <c r="A2641" s="33"/>
      <c r="B2641" s="34"/>
      <c r="C2641" s="34"/>
      <c r="D2641" s="34"/>
      <c r="E2641" s="27"/>
      <c r="F2641" s="27"/>
      <c r="G2641" s="27"/>
      <c r="H2641" s="27"/>
      <c r="I2641" s="27"/>
      <c r="J2641" s="27"/>
      <c r="K2641" s="27"/>
      <c r="L2641" s="27"/>
      <c r="M2641" s="28"/>
      <c r="N2641" s="28"/>
      <c r="O2641" s="27"/>
      <c r="P2641" s="27"/>
    </row>
    <row r="2642">
      <c r="A2642" s="33"/>
      <c r="B2642" s="34"/>
      <c r="C2642" s="34"/>
      <c r="D2642" s="34"/>
      <c r="E2642" s="27"/>
      <c r="F2642" s="27"/>
      <c r="G2642" s="27"/>
      <c r="H2642" s="27"/>
      <c r="I2642" s="27"/>
      <c r="J2642" s="27"/>
      <c r="K2642" s="27"/>
      <c r="L2642" s="27"/>
      <c r="M2642" s="28"/>
      <c r="N2642" s="28"/>
      <c r="O2642" s="27"/>
      <c r="P2642" s="27"/>
    </row>
    <row r="2643">
      <c r="A2643" s="33"/>
      <c r="B2643" s="34"/>
      <c r="C2643" s="34"/>
      <c r="D2643" s="34"/>
      <c r="E2643" s="27"/>
      <c r="F2643" s="27"/>
      <c r="G2643" s="27"/>
      <c r="H2643" s="27"/>
      <c r="I2643" s="27"/>
      <c r="J2643" s="27"/>
      <c r="K2643" s="27"/>
      <c r="L2643" s="27"/>
      <c r="M2643" s="28"/>
      <c r="N2643" s="28"/>
      <c r="O2643" s="27"/>
      <c r="P2643" s="27"/>
    </row>
    <row r="2644">
      <c r="A2644" s="33"/>
      <c r="B2644" s="34"/>
      <c r="C2644" s="34"/>
      <c r="D2644" s="34"/>
      <c r="E2644" s="27"/>
      <c r="F2644" s="27"/>
      <c r="G2644" s="27"/>
      <c r="H2644" s="27"/>
      <c r="I2644" s="27"/>
      <c r="J2644" s="27"/>
      <c r="K2644" s="27"/>
      <c r="L2644" s="27"/>
      <c r="M2644" s="28"/>
      <c r="N2644" s="28"/>
      <c r="O2644" s="27"/>
      <c r="P2644" s="27"/>
    </row>
    <row r="2645">
      <c r="A2645" s="33"/>
      <c r="B2645" s="34"/>
      <c r="C2645" s="34"/>
      <c r="D2645" s="34"/>
      <c r="E2645" s="27"/>
      <c r="F2645" s="27"/>
      <c r="G2645" s="27"/>
      <c r="H2645" s="27"/>
      <c r="I2645" s="27"/>
      <c r="J2645" s="27"/>
      <c r="K2645" s="27"/>
      <c r="L2645" s="27"/>
      <c r="M2645" s="28"/>
      <c r="N2645" s="28"/>
      <c r="O2645" s="27"/>
      <c r="P2645" s="27"/>
    </row>
    <row r="2646">
      <c r="A2646" s="33"/>
      <c r="B2646" s="34"/>
      <c r="C2646" s="34"/>
      <c r="D2646" s="34"/>
      <c r="E2646" s="27"/>
      <c r="F2646" s="27"/>
      <c r="G2646" s="27"/>
      <c r="H2646" s="27"/>
      <c r="I2646" s="27"/>
      <c r="J2646" s="27"/>
      <c r="K2646" s="27"/>
      <c r="L2646" s="27"/>
      <c r="M2646" s="28"/>
      <c r="N2646" s="28"/>
      <c r="O2646" s="27"/>
      <c r="P2646" s="27"/>
    </row>
    <row r="2647">
      <c r="A2647" s="33"/>
      <c r="B2647" s="34"/>
      <c r="C2647" s="34"/>
      <c r="D2647" s="34"/>
      <c r="E2647" s="27"/>
      <c r="F2647" s="27"/>
      <c r="G2647" s="27"/>
      <c r="H2647" s="27"/>
      <c r="I2647" s="27"/>
      <c r="J2647" s="27"/>
      <c r="K2647" s="27"/>
      <c r="L2647" s="27"/>
      <c r="M2647" s="28"/>
      <c r="N2647" s="28"/>
      <c r="O2647" s="27"/>
      <c r="P2647" s="27"/>
    </row>
    <row r="2648">
      <c r="A2648" s="33"/>
      <c r="B2648" s="34"/>
      <c r="C2648" s="34"/>
      <c r="D2648" s="34"/>
      <c r="E2648" s="27"/>
      <c r="F2648" s="27"/>
      <c r="G2648" s="27"/>
      <c r="H2648" s="27"/>
      <c r="I2648" s="27"/>
      <c r="J2648" s="27"/>
      <c r="K2648" s="27"/>
      <c r="L2648" s="27"/>
      <c r="M2648" s="28"/>
      <c r="N2648" s="28"/>
      <c r="O2648" s="27"/>
      <c r="P2648" s="27"/>
    </row>
    <row r="2649">
      <c r="A2649" s="33"/>
      <c r="B2649" s="34"/>
      <c r="C2649" s="34"/>
      <c r="D2649" s="34"/>
      <c r="E2649" s="27"/>
      <c r="F2649" s="27"/>
      <c r="G2649" s="27"/>
      <c r="H2649" s="27"/>
      <c r="I2649" s="27"/>
      <c r="J2649" s="27"/>
      <c r="K2649" s="27"/>
      <c r="L2649" s="27"/>
      <c r="M2649" s="28"/>
      <c r="N2649" s="28"/>
      <c r="O2649" s="27"/>
      <c r="P2649" s="27"/>
    </row>
    <row r="2650">
      <c r="A2650" s="33"/>
      <c r="B2650" s="34"/>
      <c r="C2650" s="34"/>
      <c r="D2650" s="34"/>
      <c r="E2650" s="27"/>
      <c r="F2650" s="27"/>
      <c r="G2650" s="27"/>
      <c r="H2650" s="27"/>
      <c r="I2650" s="27"/>
      <c r="J2650" s="27"/>
      <c r="K2650" s="27"/>
      <c r="L2650" s="27"/>
      <c r="M2650" s="28"/>
      <c r="N2650" s="28"/>
      <c r="O2650" s="27"/>
      <c r="P2650" s="27"/>
    </row>
    <row r="2651">
      <c r="A2651" s="33"/>
      <c r="B2651" s="34"/>
      <c r="C2651" s="34"/>
      <c r="D2651" s="34"/>
      <c r="E2651" s="27"/>
      <c r="F2651" s="27"/>
      <c r="G2651" s="27"/>
      <c r="H2651" s="27"/>
      <c r="I2651" s="27"/>
      <c r="J2651" s="27"/>
      <c r="K2651" s="27"/>
      <c r="L2651" s="27"/>
      <c r="M2651" s="28"/>
      <c r="N2651" s="28"/>
      <c r="O2651" s="27"/>
      <c r="P2651" s="27"/>
    </row>
    <row r="2652">
      <c r="A2652" s="33"/>
      <c r="B2652" s="34"/>
      <c r="C2652" s="34"/>
      <c r="D2652" s="34"/>
      <c r="E2652" s="27"/>
      <c r="F2652" s="27"/>
      <c r="G2652" s="27"/>
      <c r="H2652" s="27"/>
      <c r="I2652" s="27"/>
      <c r="J2652" s="27"/>
      <c r="K2652" s="27"/>
      <c r="L2652" s="27"/>
      <c r="M2652" s="28"/>
      <c r="N2652" s="28"/>
      <c r="O2652" s="27"/>
      <c r="P2652" s="27"/>
    </row>
    <row r="2653">
      <c r="A2653" s="33"/>
      <c r="B2653" s="34"/>
      <c r="C2653" s="34"/>
      <c r="D2653" s="34"/>
      <c r="E2653" s="27"/>
      <c r="F2653" s="27"/>
      <c r="G2653" s="27"/>
      <c r="H2653" s="27"/>
      <c r="I2653" s="27"/>
      <c r="J2653" s="27"/>
      <c r="K2653" s="27"/>
      <c r="L2653" s="27"/>
      <c r="M2653" s="28"/>
      <c r="N2653" s="28"/>
      <c r="O2653" s="27"/>
      <c r="P2653" s="27"/>
    </row>
    <row r="2654">
      <c r="A2654" s="33"/>
      <c r="B2654" s="34"/>
      <c r="C2654" s="34"/>
      <c r="D2654" s="34"/>
      <c r="E2654" s="27"/>
      <c r="F2654" s="27"/>
      <c r="G2654" s="27"/>
      <c r="H2654" s="27"/>
      <c r="I2654" s="27"/>
      <c r="J2654" s="27"/>
      <c r="K2654" s="27"/>
      <c r="L2654" s="27"/>
      <c r="M2654" s="28"/>
      <c r="N2654" s="28"/>
      <c r="O2654" s="27"/>
      <c r="P2654" s="27"/>
    </row>
    <row r="2655">
      <c r="A2655" s="33"/>
      <c r="B2655" s="34"/>
      <c r="C2655" s="34"/>
      <c r="D2655" s="34"/>
      <c r="E2655" s="27"/>
      <c r="F2655" s="27"/>
      <c r="G2655" s="27"/>
      <c r="H2655" s="27"/>
      <c r="I2655" s="27"/>
      <c r="J2655" s="27"/>
      <c r="K2655" s="27"/>
      <c r="L2655" s="27"/>
      <c r="M2655" s="28"/>
      <c r="N2655" s="28"/>
      <c r="O2655" s="27"/>
      <c r="P2655" s="27"/>
    </row>
    <row r="2656">
      <c r="A2656" s="33"/>
      <c r="B2656" s="34"/>
      <c r="C2656" s="34"/>
      <c r="D2656" s="34"/>
      <c r="E2656" s="27"/>
      <c r="F2656" s="27"/>
      <c r="G2656" s="27"/>
      <c r="H2656" s="27"/>
      <c r="I2656" s="27"/>
      <c r="J2656" s="27"/>
      <c r="K2656" s="27"/>
      <c r="L2656" s="27"/>
      <c r="M2656" s="28"/>
      <c r="N2656" s="28"/>
      <c r="O2656" s="27"/>
      <c r="P2656" s="27"/>
    </row>
    <row r="2657">
      <c r="A2657" s="33"/>
      <c r="B2657" s="34"/>
      <c r="C2657" s="34"/>
      <c r="D2657" s="34"/>
      <c r="E2657" s="27"/>
      <c r="F2657" s="27"/>
      <c r="G2657" s="27"/>
      <c r="H2657" s="27"/>
      <c r="I2657" s="27"/>
      <c r="J2657" s="27"/>
      <c r="K2657" s="27"/>
      <c r="L2657" s="27"/>
      <c r="M2657" s="28"/>
      <c r="N2657" s="28"/>
      <c r="O2657" s="27"/>
      <c r="P2657" s="27"/>
    </row>
    <row r="2658">
      <c r="A2658" s="33"/>
      <c r="B2658" s="34"/>
      <c r="C2658" s="34"/>
      <c r="D2658" s="34"/>
      <c r="E2658" s="27"/>
      <c r="F2658" s="27"/>
      <c r="G2658" s="27"/>
      <c r="H2658" s="27"/>
      <c r="I2658" s="27"/>
      <c r="J2658" s="27"/>
      <c r="K2658" s="27"/>
      <c r="L2658" s="27"/>
      <c r="M2658" s="28"/>
      <c r="N2658" s="28"/>
      <c r="O2658" s="27"/>
      <c r="P2658" s="27"/>
    </row>
    <row r="2659">
      <c r="A2659" s="33"/>
      <c r="B2659" s="34"/>
      <c r="C2659" s="34"/>
      <c r="D2659" s="34"/>
      <c r="E2659" s="27"/>
      <c r="F2659" s="27"/>
      <c r="G2659" s="27"/>
      <c r="H2659" s="27"/>
      <c r="I2659" s="27"/>
      <c r="J2659" s="27"/>
      <c r="K2659" s="27"/>
      <c r="L2659" s="27"/>
      <c r="M2659" s="28"/>
      <c r="N2659" s="28"/>
      <c r="O2659" s="27"/>
      <c r="P2659" s="27"/>
    </row>
    <row r="2660">
      <c r="A2660" s="33"/>
      <c r="B2660" s="34"/>
      <c r="C2660" s="34"/>
      <c r="D2660" s="34"/>
      <c r="E2660" s="27"/>
      <c r="F2660" s="27"/>
      <c r="G2660" s="27"/>
      <c r="H2660" s="27"/>
      <c r="I2660" s="27"/>
      <c r="J2660" s="27"/>
      <c r="K2660" s="27"/>
      <c r="L2660" s="27"/>
      <c r="M2660" s="28"/>
      <c r="N2660" s="28"/>
      <c r="O2660" s="27"/>
      <c r="P2660" s="27"/>
    </row>
    <row r="2661">
      <c r="A2661" s="33"/>
      <c r="B2661" s="34"/>
      <c r="C2661" s="34"/>
      <c r="D2661" s="34"/>
      <c r="E2661" s="27"/>
      <c r="F2661" s="27"/>
      <c r="G2661" s="27"/>
      <c r="H2661" s="27"/>
      <c r="I2661" s="27"/>
      <c r="J2661" s="27"/>
      <c r="K2661" s="27"/>
      <c r="L2661" s="27"/>
      <c r="M2661" s="28"/>
      <c r="N2661" s="28"/>
      <c r="O2661" s="27"/>
      <c r="P2661" s="27"/>
    </row>
  </sheetData>
  <mergeCells count="2">
    <mergeCell ref="G1:O1"/>
    <mergeCell ref="A1:F1"/>
  </mergeCells>
  <hyperlinks>
    <hyperlink r:id="rId1" ref="B3"/>
    <hyperlink r:id="rId2" ref="E3"/>
    <hyperlink r:id="rId3" ref="O3"/>
    <hyperlink r:id="rId4" ref="B4"/>
    <hyperlink r:id="rId5" ref="E4"/>
    <hyperlink r:id="rId6" ref="O4"/>
    <hyperlink r:id="rId7" ref="B5"/>
    <hyperlink r:id="rId8" ref="E5"/>
    <hyperlink r:id="rId9" ref="O5"/>
    <hyperlink r:id="rId10" ref="B6"/>
    <hyperlink r:id="rId11" ref="E6"/>
    <hyperlink r:id="rId12" ref="O6"/>
    <hyperlink r:id="rId13" ref="B7"/>
    <hyperlink r:id="rId14" ref="E7"/>
    <hyperlink r:id="rId15" ref="O7"/>
    <hyperlink r:id="rId16" ref="B8"/>
    <hyperlink r:id="rId17" ref="E8"/>
    <hyperlink r:id="rId18" ref="O8"/>
    <hyperlink r:id="rId19" ref="B9"/>
    <hyperlink r:id="rId20" ref="E9"/>
    <hyperlink r:id="rId21" ref="O9"/>
    <hyperlink r:id="rId22" ref="B10"/>
    <hyperlink r:id="rId23" ref="E10"/>
    <hyperlink r:id="rId24" ref="O10"/>
    <hyperlink r:id="rId25" ref="B11"/>
    <hyperlink r:id="rId26" ref="E11"/>
    <hyperlink r:id="rId27" ref="O11"/>
    <hyperlink r:id="rId28" ref="B12"/>
    <hyperlink r:id="rId29" ref="E12"/>
    <hyperlink r:id="rId30" ref="O12"/>
    <hyperlink r:id="rId31" ref="B13"/>
    <hyperlink r:id="rId32" ref="E13"/>
    <hyperlink r:id="rId33" ref="O13"/>
    <hyperlink r:id="rId34" ref="B14"/>
    <hyperlink r:id="rId35" ref="E14"/>
    <hyperlink r:id="rId36" ref="O14"/>
    <hyperlink r:id="rId37" ref="B15"/>
    <hyperlink r:id="rId38" ref="E15"/>
    <hyperlink r:id="rId39" ref="O15"/>
    <hyperlink r:id="rId40" ref="B16"/>
    <hyperlink r:id="rId41" ref="E16"/>
    <hyperlink r:id="rId42" ref="O16"/>
    <hyperlink r:id="rId43" ref="B17"/>
    <hyperlink r:id="rId44" ref="E17"/>
    <hyperlink r:id="rId45" ref="O17"/>
    <hyperlink r:id="rId46" ref="B18"/>
    <hyperlink r:id="rId47" ref="E18"/>
    <hyperlink r:id="rId48" ref="O18"/>
    <hyperlink r:id="rId49" ref="B19"/>
    <hyperlink r:id="rId50" ref="E19"/>
    <hyperlink r:id="rId51" ref="O19"/>
    <hyperlink r:id="rId52" ref="B20"/>
    <hyperlink r:id="rId53" ref="E20"/>
    <hyperlink r:id="rId54" ref="O20"/>
    <hyperlink r:id="rId55" ref="B21"/>
    <hyperlink r:id="rId56" ref="E21"/>
    <hyperlink r:id="rId57" ref="O21"/>
    <hyperlink r:id="rId58" ref="B22"/>
    <hyperlink r:id="rId59" ref="E22"/>
    <hyperlink r:id="rId60" ref="O22"/>
    <hyperlink r:id="rId61" ref="B23"/>
    <hyperlink r:id="rId62" ref="E23"/>
    <hyperlink r:id="rId63" ref="O23"/>
    <hyperlink r:id="rId64" ref="B24"/>
    <hyperlink r:id="rId65" ref="E24"/>
    <hyperlink r:id="rId66" ref="O24"/>
    <hyperlink r:id="rId67" ref="B25"/>
    <hyperlink r:id="rId68" ref="E25"/>
    <hyperlink r:id="rId69" ref="O25"/>
    <hyperlink r:id="rId70" ref="B26"/>
    <hyperlink r:id="rId71" ref="E26"/>
    <hyperlink r:id="rId72" ref="O26"/>
    <hyperlink r:id="rId73" ref="B27"/>
    <hyperlink r:id="rId74" ref="E27"/>
    <hyperlink r:id="rId75" ref="O27"/>
    <hyperlink r:id="rId76" ref="B28"/>
    <hyperlink r:id="rId77" ref="E28"/>
    <hyperlink r:id="rId78" ref="O28"/>
    <hyperlink r:id="rId79" ref="B29"/>
    <hyperlink r:id="rId80" ref="E29"/>
    <hyperlink r:id="rId81" ref="O29"/>
    <hyperlink r:id="rId82" ref="B30"/>
    <hyperlink r:id="rId83" ref="E30"/>
    <hyperlink r:id="rId84" ref="O30"/>
    <hyperlink r:id="rId85" ref="B31"/>
    <hyperlink r:id="rId86" ref="E31"/>
    <hyperlink r:id="rId87" ref="O31"/>
    <hyperlink r:id="rId88" ref="B32"/>
    <hyperlink r:id="rId89" ref="E32"/>
    <hyperlink r:id="rId90" ref="O32"/>
    <hyperlink r:id="rId91" ref="B33"/>
    <hyperlink r:id="rId92" ref="E33"/>
    <hyperlink r:id="rId93" ref="O33"/>
    <hyperlink r:id="rId94" ref="B34"/>
    <hyperlink r:id="rId95" ref="E34"/>
    <hyperlink r:id="rId96" ref="O34"/>
    <hyperlink r:id="rId97" ref="B35"/>
    <hyperlink r:id="rId98" ref="E35"/>
    <hyperlink r:id="rId99" ref="O35"/>
    <hyperlink r:id="rId100" ref="B36"/>
    <hyperlink r:id="rId101" ref="E36"/>
    <hyperlink r:id="rId102" ref="O36"/>
    <hyperlink r:id="rId103" ref="B37"/>
    <hyperlink r:id="rId104" ref="E37"/>
    <hyperlink r:id="rId105" ref="O37"/>
    <hyperlink r:id="rId106" ref="B38"/>
    <hyperlink r:id="rId107" ref="E38"/>
    <hyperlink r:id="rId108" ref="O38"/>
    <hyperlink r:id="rId109" ref="B39"/>
    <hyperlink r:id="rId110" ref="E39"/>
    <hyperlink r:id="rId111" ref="O39"/>
    <hyperlink r:id="rId112" ref="B40"/>
    <hyperlink r:id="rId113" ref="E40"/>
    <hyperlink r:id="rId114" ref="O40"/>
    <hyperlink r:id="rId115" ref="B41"/>
    <hyperlink r:id="rId116" ref="E41"/>
    <hyperlink r:id="rId117" ref="O41"/>
    <hyperlink r:id="rId118" ref="B42"/>
    <hyperlink r:id="rId119" ref="E42"/>
    <hyperlink r:id="rId120" ref="O42"/>
    <hyperlink r:id="rId121" ref="B43"/>
    <hyperlink r:id="rId122" ref="E43"/>
    <hyperlink r:id="rId123" ref="O43"/>
    <hyperlink r:id="rId124" ref="B44"/>
    <hyperlink r:id="rId125" ref="E44"/>
    <hyperlink r:id="rId126" ref="O44"/>
    <hyperlink r:id="rId127" ref="B45"/>
    <hyperlink r:id="rId128" ref="E45"/>
    <hyperlink r:id="rId129" ref="O45"/>
    <hyperlink r:id="rId130" ref="B46"/>
    <hyperlink r:id="rId131" ref="E46"/>
    <hyperlink r:id="rId132" ref="O46"/>
    <hyperlink r:id="rId133" ref="B47"/>
    <hyperlink r:id="rId134" ref="E47"/>
    <hyperlink r:id="rId135" ref="O47"/>
    <hyperlink r:id="rId136" ref="B48"/>
    <hyperlink r:id="rId137" ref="E48"/>
    <hyperlink r:id="rId138" ref="O48"/>
    <hyperlink r:id="rId139" ref="B49"/>
    <hyperlink r:id="rId140" ref="E49"/>
    <hyperlink r:id="rId141" ref="O49"/>
    <hyperlink r:id="rId142" ref="B50"/>
    <hyperlink r:id="rId143" ref="E50"/>
    <hyperlink r:id="rId144" ref="O50"/>
    <hyperlink r:id="rId145" ref="B51"/>
    <hyperlink r:id="rId146" ref="E51"/>
    <hyperlink r:id="rId147" ref="O51"/>
    <hyperlink r:id="rId148" ref="B52"/>
    <hyperlink r:id="rId149" ref="E52"/>
    <hyperlink r:id="rId150" ref="O52"/>
    <hyperlink r:id="rId151" ref="B53"/>
    <hyperlink r:id="rId152" ref="E53"/>
    <hyperlink r:id="rId153" ref="O53"/>
    <hyperlink r:id="rId154" ref="B54"/>
    <hyperlink r:id="rId155" ref="E54"/>
    <hyperlink r:id="rId156" ref="O54"/>
    <hyperlink r:id="rId157" ref="B55"/>
    <hyperlink r:id="rId158" ref="E55"/>
    <hyperlink r:id="rId159" ref="O55"/>
    <hyperlink r:id="rId160" ref="B56"/>
    <hyperlink r:id="rId161" ref="E56"/>
    <hyperlink r:id="rId162" ref="O56"/>
    <hyperlink r:id="rId163" ref="B57"/>
    <hyperlink r:id="rId164" ref="E57"/>
    <hyperlink r:id="rId165" ref="O57"/>
    <hyperlink r:id="rId166" ref="B58"/>
    <hyperlink r:id="rId167" ref="E58"/>
    <hyperlink r:id="rId168" ref="O58"/>
    <hyperlink r:id="rId169" ref="B59"/>
    <hyperlink r:id="rId170" ref="E59"/>
    <hyperlink r:id="rId171" ref="O59"/>
    <hyperlink r:id="rId172" ref="B60"/>
    <hyperlink r:id="rId173" ref="E60"/>
    <hyperlink r:id="rId174" ref="O60"/>
    <hyperlink r:id="rId175" ref="B61"/>
    <hyperlink r:id="rId176" ref="E61"/>
    <hyperlink r:id="rId177" ref="O61"/>
    <hyperlink r:id="rId178" ref="B62"/>
    <hyperlink r:id="rId179" ref="E62"/>
    <hyperlink r:id="rId180" ref="O62"/>
    <hyperlink r:id="rId181" ref="B63"/>
    <hyperlink r:id="rId182" ref="E63"/>
    <hyperlink r:id="rId183" ref="O63"/>
    <hyperlink r:id="rId184" ref="B64"/>
    <hyperlink r:id="rId185" ref="E64"/>
    <hyperlink r:id="rId186" ref="O64"/>
    <hyperlink r:id="rId187" ref="B65"/>
    <hyperlink r:id="rId188" ref="E65"/>
    <hyperlink r:id="rId189" ref="O65"/>
    <hyperlink r:id="rId190" ref="B66"/>
    <hyperlink r:id="rId191" ref="E66"/>
    <hyperlink r:id="rId192" ref="O66"/>
    <hyperlink r:id="rId193" ref="B67"/>
    <hyperlink r:id="rId194" ref="E67"/>
    <hyperlink r:id="rId195" ref="O67"/>
    <hyperlink r:id="rId196" ref="B68"/>
    <hyperlink r:id="rId197" ref="E68"/>
    <hyperlink r:id="rId198" ref="O68"/>
    <hyperlink r:id="rId199" ref="B69"/>
    <hyperlink r:id="rId200" ref="E69"/>
    <hyperlink r:id="rId201" ref="O69"/>
    <hyperlink r:id="rId202" ref="B70"/>
    <hyperlink r:id="rId203" ref="E70"/>
    <hyperlink r:id="rId204" ref="O70"/>
    <hyperlink r:id="rId205" ref="B71"/>
    <hyperlink r:id="rId206" ref="E71"/>
    <hyperlink r:id="rId207" ref="O71"/>
    <hyperlink r:id="rId208" ref="B72"/>
    <hyperlink r:id="rId209" ref="E72"/>
    <hyperlink r:id="rId210" ref="O72"/>
    <hyperlink r:id="rId211" ref="B73"/>
    <hyperlink r:id="rId212" ref="E73"/>
    <hyperlink r:id="rId213" ref="O73"/>
    <hyperlink r:id="rId214" ref="B74"/>
    <hyperlink r:id="rId215" ref="E74"/>
    <hyperlink r:id="rId216" ref="O74"/>
    <hyperlink r:id="rId217" ref="B75"/>
    <hyperlink r:id="rId218" ref="E75"/>
    <hyperlink r:id="rId219" ref="O75"/>
    <hyperlink r:id="rId220" ref="B76"/>
    <hyperlink r:id="rId221" ref="E76"/>
    <hyperlink r:id="rId222" ref="O76"/>
    <hyperlink r:id="rId223" ref="B77"/>
    <hyperlink r:id="rId224" ref="E77"/>
    <hyperlink r:id="rId225" ref="O77"/>
    <hyperlink r:id="rId226" ref="B78"/>
    <hyperlink r:id="rId227" ref="E78"/>
    <hyperlink r:id="rId228" ref="O78"/>
    <hyperlink r:id="rId229" ref="B79"/>
    <hyperlink r:id="rId230" ref="E79"/>
    <hyperlink r:id="rId231" ref="O79"/>
    <hyperlink r:id="rId232" ref="B80"/>
    <hyperlink r:id="rId233" ref="E80"/>
    <hyperlink r:id="rId234" ref="O80"/>
    <hyperlink r:id="rId235" ref="B81"/>
    <hyperlink r:id="rId236" ref="E81"/>
    <hyperlink r:id="rId237" ref="O81"/>
    <hyperlink r:id="rId238" ref="B82"/>
    <hyperlink r:id="rId239" ref="E82"/>
    <hyperlink r:id="rId240" ref="O82"/>
    <hyperlink r:id="rId241" ref="B83"/>
    <hyperlink r:id="rId242" ref="E83"/>
    <hyperlink r:id="rId243" ref="O83"/>
    <hyperlink r:id="rId244" ref="B84"/>
    <hyperlink r:id="rId245" ref="E84"/>
    <hyperlink r:id="rId246" ref="O84"/>
    <hyperlink r:id="rId247" ref="B85"/>
    <hyperlink r:id="rId248" ref="E85"/>
    <hyperlink r:id="rId249" ref="O85"/>
    <hyperlink r:id="rId250" ref="B86"/>
    <hyperlink r:id="rId251" ref="E86"/>
    <hyperlink r:id="rId252" ref="O86"/>
    <hyperlink r:id="rId253" ref="B87"/>
    <hyperlink r:id="rId254" ref="E87"/>
    <hyperlink r:id="rId255" ref="O87"/>
    <hyperlink r:id="rId256" ref="B88"/>
    <hyperlink r:id="rId257" ref="E88"/>
    <hyperlink r:id="rId258" ref="O88"/>
    <hyperlink r:id="rId259" ref="B89"/>
    <hyperlink r:id="rId260" ref="E89"/>
    <hyperlink r:id="rId261" ref="O89"/>
    <hyperlink r:id="rId262" ref="B90"/>
    <hyperlink r:id="rId263" ref="E90"/>
    <hyperlink r:id="rId264" ref="O90"/>
    <hyperlink r:id="rId265" ref="B91"/>
    <hyperlink r:id="rId266" ref="E91"/>
    <hyperlink r:id="rId267" ref="O91"/>
    <hyperlink r:id="rId268" ref="B92"/>
    <hyperlink r:id="rId269" ref="E92"/>
    <hyperlink r:id="rId270" ref="O92"/>
    <hyperlink r:id="rId271" ref="B93"/>
    <hyperlink r:id="rId272" ref="E93"/>
    <hyperlink r:id="rId273" ref="O93"/>
    <hyperlink r:id="rId274" ref="B94"/>
    <hyperlink r:id="rId275" ref="E94"/>
    <hyperlink r:id="rId276" ref="O94"/>
    <hyperlink r:id="rId277" ref="B95"/>
    <hyperlink r:id="rId278" ref="E95"/>
    <hyperlink r:id="rId279" ref="O95"/>
    <hyperlink r:id="rId280" ref="B96"/>
    <hyperlink r:id="rId281" ref="E96"/>
    <hyperlink r:id="rId282" ref="O96"/>
    <hyperlink r:id="rId283" ref="B97"/>
    <hyperlink r:id="rId284" ref="E97"/>
    <hyperlink r:id="rId285" ref="O97"/>
    <hyperlink r:id="rId286" ref="B98"/>
    <hyperlink r:id="rId287" ref="E98"/>
    <hyperlink r:id="rId288" ref="O98"/>
    <hyperlink r:id="rId289" ref="B99"/>
    <hyperlink r:id="rId290" ref="E99"/>
    <hyperlink r:id="rId291" ref="O99"/>
    <hyperlink r:id="rId292" ref="B100"/>
    <hyperlink r:id="rId293" ref="E100"/>
    <hyperlink r:id="rId294" ref="O100"/>
    <hyperlink r:id="rId295" ref="B101"/>
    <hyperlink r:id="rId296" ref="E101"/>
    <hyperlink r:id="rId297" ref="O101"/>
    <hyperlink r:id="rId298" ref="B102"/>
    <hyperlink r:id="rId299" ref="E102"/>
    <hyperlink r:id="rId300" ref="O102"/>
    <hyperlink r:id="rId301" ref="B103"/>
    <hyperlink r:id="rId302" ref="E103"/>
    <hyperlink r:id="rId303" ref="O103"/>
    <hyperlink r:id="rId304" ref="B104"/>
    <hyperlink r:id="rId305" ref="E104"/>
    <hyperlink r:id="rId306" ref="O104"/>
    <hyperlink r:id="rId307" ref="B105"/>
    <hyperlink r:id="rId308" ref="E105"/>
    <hyperlink r:id="rId309" ref="O105"/>
    <hyperlink r:id="rId310" ref="B106"/>
    <hyperlink r:id="rId311" ref="E106"/>
    <hyperlink r:id="rId312" ref="O106"/>
    <hyperlink r:id="rId313" ref="B107"/>
    <hyperlink r:id="rId314" ref="E107"/>
    <hyperlink r:id="rId315" ref="O107"/>
    <hyperlink r:id="rId316" ref="B108"/>
    <hyperlink r:id="rId317" ref="E108"/>
    <hyperlink r:id="rId318" ref="O108"/>
    <hyperlink r:id="rId319" ref="B109"/>
    <hyperlink r:id="rId320" ref="E109"/>
    <hyperlink r:id="rId321" ref="O109"/>
    <hyperlink r:id="rId322" ref="B110"/>
    <hyperlink r:id="rId323" ref="E110"/>
    <hyperlink r:id="rId324" ref="O110"/>
    <hyperlink r:id="rId325" ref="B111"/>
    <hyperlink r:id="rId326" ref="E111"/>
    <hyperlink r:id="rId327" ref="O111"/>
    <hyperlink r:id="rId328" ref="B112"/>
    <hyperlink r:id="rId329" ref="E112"/>
    <hyperlink r:id="rId330" ref="O112"/>
    <hyperlink r:id="rId331" ref="B113"/>
    <hyperlink r:id="rId332" ref="E113"/>
    <hyperlink r:id="rId333" ref="O113"/>
    <hyperlink r:id="rId334" ref="B114"/>
    <hyperlink r:id="rId335" ref="E114"/>
    <hyperlink r:id="rId336" ref="O114"/>
    <hyperlink r:id="rId337" ref="B115"/>
    <hyperlink r:id="rId338" ref="E115"/>
    <hyperlink r:id="rId339" ref="O115"/>
    <hyperlink r:id="rId340" ref="B116"/>
    <hyperlink r:id="rId341" ref="E116"/>
    <hyperlink r:id="rId342" ref="O116"/>
    <hyperlink r:id="rId343" ref="B117"/>
    <hyperlink r:id="rId344" ref="E117"/>
    <hyperlink r:id="rId345" ref="O117"/>
    <hyperlink r:id="rId346" ref="B118"/>
    <hyperlink r:id="rId347" ref="E118"/>
    <hyperlink r:id="rId348" ref="O118"/>
    <hyperlink r:id="rId349" ref="B119"/>
    <hyperlink r:id="rId350" ref="E119"/>
    <hyperlink r:id="rId351" ref="O119"/>
    <hyperlink r:id="rId352" ref="B120"/>
    <hyperlink r:id="rId353" ref="E120"/>
    <hyperlink r:id="rId354" ref="O120"/>
    <hyperlink r:id="rId355" ref="B121"/>
    <hyperlink r:id="rId356" ref="E121"/>
    <hyperlink r:id="rId357" ref="O121"/>
    <hyperlink r:id="rId358" ref="B122"/>
    <hyperlink r:id="rId359" ref="E122"/>
    <hyperlink r:id="rId360" ref="O122"/>
    <hyperlink r:id="rId361" ref="B123"/>
    <hyperlink r:id="rId362" ref="E123"/>
    <hyperlink r:id="rId363" ref="O123"/>
    <hyperlink r:id="rId364" ref="B124"/>
    <hyperlink r:id="rId365" ref="E124"/>
    <hyperlink r:id="rId366" ref="O124"/>
    <hyperlink r:id="rId367" ref="B125"/>
    <hyperlink r:id="rId368" ref="E125"/>
    <hyperlink r:id="rId369" ref="O125"/>
    <hyperlink r:id="rId370" ref="B126"/>
    <hyperlink r:id="rId371" ref="E126"/>
    <hyperlink r:id="rId372" ref="O126"/>
    <hyperlink r:id="rId373" ref="B127"/>
    <hyperlink r:id="rId374" ref="E127"/>
    <hyperlink r:id="rId375" ref="O127"/>
    <hyperlink r:id="rId376" ref="B128"/>
    <hyperlink r:id="rId377" ref="E128"/>
    <hyperlink r:id="rId378" ref="O128"/>
    <hyperlink r:id="rId379" ref="B129"/>
    <hyperlink r:id="rId380" ref="E129"/>
    <hyperlink r:id="rId381" ref="O129"/>
    <hyperlink r:id="rId382" ref="B130"/>
    <hyperlink r:id="rId383" ref="E130"/>
    <hyperlink r:id="rId384" ref="O130"/>
    <hyperlink r:id="rId385" ref="B131"/>
    <hyperlink r:id="rId386" ref="E131"/>
    <hyperlink r:id="rId387" ref="O131"/>
    <hyperlink r:id="rId388" ref="B132"/>
    <hyperlink r:id="rId389" ref="E132"/>
    <hyperlink r:id="rId390" ref="O132"/>
    <hyperlink r:id="rId391" ref="B133"/>
    <hyperlink r:id="rId392" ref="E133"/>
    <hyperlink r:id="rId393" ref="O133"/>
    <hyperlink r:id="rId394" ref="B134"/>
    <hyperlink r:id="rId395" ref="E134"/>
    <hyperlink r:id="rId396" ref="O134"/>
    <hyperlink r:id="rId397" ref="B135"/>
    <hyperlink r:id="rId398" ref="E135"/>
    <hyperlink r:id="rId399" ref="O135"/>
    <hyperlink r:id="rId400" ref="B136"/>
    <hyperlink r:id="rId401" ref="E136"/>
    <hyperlink r:id="rId402" ref="O136"/>
    <hyperlink r:id="rId403" ref="B137"/>
    <hyperlink r:id="rId404" ref="E137"/>
    <hyperlink r:id="rId405" ref="O137"/>
    <hyperlink r:id="rId406" ref="B138"/>
    <hyperlink r:id="rId407" ref="E138"/>
    <hyperlink r:id="rId408" ref="O138"/>
    <hyperlink r:id="rId409" ref="B139"/>
    <hyperlink r:id="rId410" ref="E139"/>
    <hyperlink r:id="rId411" ref="O139"/>
    <hyperlink r:id="rId412" ref="B140"/>
    <hyperlink r:id="rId413" ref="E140"/>
    <hyperlink r:id="rId414" ref="O140"/>
    <hyperlink r:id="rId415" ref="B141"/>
    <hyperlink r:id="rId416" ref="E141"/>
    <hyperlink r:id="rId417" ref="O141"/>
    <hyperlink r:id="rId418" ref="B142"/>
    <hyperlink r:id="rId419" ref="E142"/>
    <hyperlink r:id="rId420" ref="O142"/>
    <hyperlink r:id="rId421" ref="B143"/>
    <hyperlink r:id="rId422" ref="E143"/>
    <hyperlink r:id="rId423" ref="O143"/>
    <hyperlink r:id="rId424" ref="B144"/>
    <hyperlink r:id="rId425" ref="E144"/>
    <hyperlink r:id="rId426" ref="O144"/>
    <hyperlink r:id="rId427" ref="B145"/>
    <hyperlink r:id="rId428" ref="E145"/>
    <hyperlink r:id="rId429" ref="O145"/>
    <hyperlink r:id="rId430" ref="B146"/>
    <hyperlink r:id="rId431" ref="E146"/>
    <hyperlink r:id="rId432" ref="O146"/>
    <hyperlink r:id="rId433" ref="B147"/>
    <hyperlink r:id="rId434" ref="E147"/>
    <hyperlink r:id="rId435" ref="O147"/>
    <hyperlink r:id="rId436" ref="B148"/>
    <hyperlink r:id="rId437" ref="E148"/>
    <hyperlink r:id="rId438" ref="O148"/>
    <hyperlink r:id="rId439" ref="B149"/>
    <hyperlink r:id="rId440" ref="E149"/>
    <hyperlink r:id="rId441" ref="O149"/>
    <hyperlink r:id="rId442" ref="B150"/>
    <hyperlink r:id="rId443" ref="E150"/>
    <hyperlink r:id="rId444" ref="O150"/>
    <hyperlink r:id="rId445" ref="B151"/>
    <hyperlink r:id="rId446" ref="E151"/>
    <hyperlink r:id="rId447" ref="O151"/>
    <hyperlink r:id="rId448" ref="B152"/>
    <hyperlink r:id="rId449" ref="E152"/>
    <hyperlink r:id="rId450" ref="O152"/>
    <hyperlink r:id="rId451" ref="B153"/>
    <hyperlink r:id="rId452" ref="E153"/>
    <hyperlink r:id="rId453" ref="O153"/>
    <hyperlink r:id="rId454" ref="B154"/>
    <hyperlink r:id="rId455" ref="E154"/>
    <hyperlink r:id="rId456" ref="O154"/>
    <hyperlink r:id="rId457" ref="B155"/>
    <hyperlink r:id="rId458" ref="E155"/>
    <hyperlink r:id="rId459" ref="O155"/>
    <hyperlink r:id="rId460" ref="B156"/>
    <hyperlink r:id="rId461" ref="E156"/>
    <hyperlink r:id="rId462" ref="O156"/>
    <hyperlink r:id="rId463" ref="B157"/>
    <hyperlink r:id="rId464" ref="E157"/>
    <hyperlink r:id="rId465" ref="O157"/>
    <hyperlink r:id="rId466" ref="B158"/>
    <hyperlink r:id="rId467" ref="E158"/>
    <hyperlink r:id="rId468" ref="O158"/>
    <hyperlink r:id="rId469" ref="B159"/>
    <hyperlink r:id="rId470" ref="E159"/>
    <hyperlink r:id="rId471" ref="O159"/>
    <hyperlink r:id="rId472" ref="B160"/>
    <hyperlink r:id="rId473" ref="E160"/>
    <hyperlink r:id="rId474" ref="O160"/>
    <hyperlink r:id="rId475" ref="B161"/>
    <hyperlink r:id="rId476" ref="E161"/>
    <hyperlink r:id="rId477" ref="O161"/>
    <hyperlink r:id="rId478" ref="B162"/>
    <hyperlink r:id="rId479" ref="E162"/>
    <hyperlink r:id="rId480" ref="O162"/>
    <hyperlink r:id="rId481" ref="B163"/>
    <hyperlink r:id="rId482" ref="E163"/>
    <hyperlink r:id="rId483" ref="O163"/>
    <hyperlink r:id="rId484" ref="B164"/>
    <hyperlink r:id="rId485" ref="E164"/>
    <hyperlink r:id="rId486" ref="O164"/>
    <hyperlink r:id="rId487" ref="B165"/>
    <hyperlink r:id="rId488" ref="E165"/>
    <hyperlink r:id="rId489" ref="O165"/>
    <hyperlink r:id="rId490" ref="B166"/>
    <hyperlink r:id="rId491" ref="E166"/>
    <hyperlink r:id="rId492" ref="O166"/>
    <hyperlink r:id="rId493" ref="B167"/>
    <hyperlink r:id="rId494" ref="E167"/>
    <hyperlink r:id="rId495" ref="O167"/>
    <hyperlink r:id="rId496" ref="B168"/>
    <hyperlink r:id="rId497" ref="E168"/>
    <hyperlink r:id="rId498" ref="O168"/>
    <hyperlink r:id="rId499" ref="B169"/>
    <hyperlink r:id="rId500" ref="E169"/>
    <hyperlink r:id="rId501" ref="O169"/>
    <hyperlink r:id="rId502" ref="B170"/>
    <hyperlink r:id="rId503" ref="E170"/>
    <hyperlink r:id="rId504" ref="O170"/>
    <hyperlink r:id="rId505" ref="B171"/>
    <hyperlink r:id="rId506" ref="E171"/>
    <hyperlink r:id="rId507" ref="O171"/>
    <hyperlink r:id="rId508" ref="B172"/>
    <hyperlink r:id="rId509" ref="E172"/>
    <hyperlink r:id="rId510" ref="O172"/>
    <hyperlink r:id="rId511" ref="B173"/>
    <hyperlink r:id="rId512" ref="E173"/>
    <hyperlink r:id="rId513" ref="O173"/>
    <hyperlink r:id="rId514" ref="B174"/>
    <hyperlink r:id="rId515" ref="E174"/>
    <hyperlink r:id="rId516" ref="O174"/>
    <hyperlink r:id="rId517" ref="B175"/>
    <hyperlink r:id="rId518" ref="E175"/>
    <hyperlink r:id="rId519" ref="O175"/>
    <hyperlink r:id="rId520" ref="B176"/>
    <hyperlink r:id="rId521" ref="E176"/>
    <hyperlink r:id="rId522" ref="O176"/>
    <hyperlink r:id="rId523" ref="B177"/>
    <hyperlink r:id="rId524" ref="E177"/>
    <hyperlink r:id="rId525" ref="O177"/>
    <hyperlink r:id="rId526" ref="B178"/>
    <hyperlink r:id="rId527" ref="E178"/>
    <hyperlink r:id="rId528" ref="O178"/>
    <hyperlink r:id="rId529" ref="B179"/>
    <hyperlink r:id="rId530" ref="E179"/>
    <hyperlink r:id="rId531" ref="O179"/>
    <hyperlink r:id="rId532" ref="B180"/>
    <hyperlink r:id="rId533" ref="E180"/>
    <hyperlink r:id="rId534" ref="O180"/>
    <hyperlink r:id="rId535" ref="B181"/>
    <hyperlink r:id="rId536" ref="E181"/>
    <hyperlink r:id="rId537" ref="O181"/>
    <hyperlink r:id="rId538" ref="B182"/>
    <hyperlink r:id="rId539" ref="E182"/>
    <hyperlink r:id="rId540" ref="O182"/>
    <hyperlink r:id="rId541" ref="B183"/>
    <hyperlink r:id="rId542" ref="E183"/>
    <hyperlink r:id="rId543" ref="O183"/>
    <hyperlink r:id="rId544" ref="B184"/>
    <hyperlink r:id="rId545" ref="E184"/>
    <hyperlink r:id="rId546" ref="O184"/>
    <hyperlink r:id="rId547" ref="B185"/>
    <hyperlink r:id="rId548" ref="E185"/>
    <hyperlink r:id="rId549" ref="O185"/>
    <hyperlink r:id="rId550" ref="B186"/>
    <hyperlink r:id="rId551" ref="E186"/>
    <hyperlink r:id="rId552" ref="O186"/>
    <hyperlink r:id="rId553" ref="B187"/>
    <hyperlink r:id="rId554" ref="E187"/>
    <hyperlink r:id="rId555" ref="O187"/>
    <hyperlink r:id="rId556" ref="B188"/>
    <hyperlink r:id="rId557" ref="E188"/>
    <hyperlink r:id="rId558" ref="O188"/>
    <hyperlink r:id="rId559" ref="B189"/>
    <hyperlink r:id="rId560" ref="E189"/>
    <hyperlink r:id="rId561" ref="O189"/>
    <hyperlink r:id="rId562" ref="B190"/>
    <hyperlink r:id="rId563" ref="E190"/>
    <hyperlink r:id="rId564" ref="O190"/>
    <hyperlink r:id="rId565" ref="B191"/>
    <hyperlink r:id="rId566" ref="E191"/>
    <hyperlink r:id="rId567" ref="O191"/>
    <hyperlink r:id="rId568" ref="B192"/>
    <hyperlink r:id="rId569" ref="E192"/>
    <hyperlink r:id="rId570" ref="O192"/>
    <hyperlink r:id="rId571" ref="B193"/>
    <hyperlink r:id="rId572" ref="E193"/>
    <hyperlink r:id="rId573" ref="O193"/>
    <hyperlink r:id="rId574" ref="B194"/>
    <hyperlink r:id="rId575" ref="E194"/>
    <hyperlink r:id="rId576" ref="O194"/>
    <hyperlink r:id="rId577" ref="B195"/>
    <hyperlink r:id="rId578" ref="E195"/>
    <hyperlink r:id="rId579" ref="O195"/>
    <hyperlink r:id="rId580" ref="B196"/>
    <hyperlink r:id="rId581" ref="E196"/>
    <hyperlink r:id="rId582" ref="O196"/>
    <hyperlink r:id="rId583" ref="B197"/>
    <hyperlink r:id="rId584" ref="E197"/>
    <hyperlink r:id="rId585" ref="O197"/>
    <hyperlink r:id="rId586" ref="B198"/>
    <hyperlink r:id="rId587" ref="E198"/>
    <hyperlink r:id="rId588" ref="O198"/>
    <hyperlink r:id="rId589" ref="B199"/>
    <hyperlink r:id="rId590" ref="E199"/>
    <hyperlink r:id="rId591" ref="O199"/>
    <hyperlink r:id="rId592" ref="B200"/>
    <hyperlink r:id="rId593" ref="E200"/>
    <hyperlink r:id="rId594" ref="O200"/>
    <hyperlink r:id="rId595" ref="B201"/>
    <hyperlink r:id="rId596" ref="E201"/>
    <hyperlink r:id="rId597" ref="O201"/>
    <hyperlink r:id="rId598" ref="B202"/>
    <hyperlink r:id="rId599" ref="E202"/>
    <hyperlink r:id="rId600" ref="O202"/>
    <hyperlink r:id="rId601" ref="B203"/>
    <hyperlink r:id="rId602" ref="E203"/>
    <hyperlink r:id="rId603" ref="O203"/>
    <hyperlink r:id="rId604" ref="B204"/>
    <hyperlink r:id="rId605" ref="E204"/>
    <hyperlink r:id="rId606" ref="O204"/>
    <hyperlink r:id="rId607" ref="B205"/>
    <hyperlink r:id="rId608" ref="E205"/>
    <hyperlink r:id="rId609" ref="O205"/>
    <hyperlink r:id="rId610" ref="B206"/>
    <hyperlink r:id="rId611" ref="E206"/>
    <hyperlink r:id="rId612" ref="O206"/>
    <hyperlink r:id="rId613" ref="B207"/>
    <hyperlink r:id="rId614" ref="E207"/>
    <hyperlink r:id="rId615" ref="O207"/>
    <hyperlink r:id="rId616" ref="B208"/>
    <hyperlink r:id="rId617" ref="E208"/>
    <hyperlink r:id="rId618" ref="O208"/>
    <hyperlink r:id="rId619" ref="B209"/>
    <hyperlink r:id="rId620" ref="E209"/>
    <hyperlink r:id="rId621" ref="O209"/>
    <hyperlink r:id="rId622" ref="B210"/>
    <hyperlink r:id="rId623" ref="E210"/>
    <hyperlink r:id="rId624" ref="O210"/>
    <hyperlink r:id="rId625" ref="B211"/>
    <hyperlink r:id="rId626" ref="E211"/>
    <hyperlink r:id="rId627" ref="O211"/>
    <hyperlink r:id="rId628" ref="B212"/>
    <hyperlink r:id="rId629" ref="E212"/>
    <hyperlink r:id="rId630" ref="O212"/>
    <hyperlink r:id="rId631" ref="B213"/>
    <hyperlink r:id="rId632" ref="E213"/>
    <hyperlink r:id="rId633" ref="O213"/>
    <hyperlink r:id="rId634" ref="B214"/>
    <hyperlink r:id="rId635" ref="E214"/>
    <hyperlink r:id="rId636" ref="O214"/>
    <hyperlink r:id="rId637" ref="B215"/>
    <hyperlink r:id="rId638" ref="E215"/>
    <hyperlink r:id="rId639" ref="O215"/>
    <hyperlink r:id="rId640" ref="B216"/>
    <hyperlink r:id="rId641" ref="E216"/>
    <hyperlink r:id="rId642" ref="O216"/>
    <hyperlink r:id="rId643" ref="B217"/>
    <hyperlink r:id="rId644" ref="E217"/>
    <hyperlink r:id="rId645" ref="O217"/>
    <hyperlink r:id="rId646" ref="B218"/>
    <hyperlink r:id="rId647" ref="E218"/>
    <hyperlink r:id="rId648" ref="O218"/>
    <hyperlink r:id="rId649" ref="B219"/>
    <hyperlink r:id="rId650" ref="E219"/>
    <hyperlink r:id="rId651" ref="O219"/>
    <hyperlink r:id="rId652" ref="B220"/>
    <hyperlink r:id="rId653" ref="E220"/>
    <hyperlink r:id="rId654" ref="O220"/>
    <hyperlink r:id="rId655" ref="B221"/>
    <hyperlink r:id="rId656" ref="E221"/>
    <hyperlink r:id="rId657" ref="O221"/>
    <hyperlink r:id="rId658" ref="B222"/>
    <hyperlink r:id="rId659" ref="E222"/>
    <hyperlink r:id="rId660" ref="O222"/>
    <hyperlink r:id="rId661" ref="B223"/>
    <hyperlink r:id="rId662" ref="E223"/>
    <hyperlink r:id="rId663" ref="O223"/>
    <hyperlink r:id="rId664" ref="B224"/>
    <hyperlink r:id="rId665" ref="E224"/>
    <hyperlink r:id="rId666" ref="O224"/>
    <hyperlink r:id="rId667" ref="B225"/>
    <hyperlink r:id="rId668" ref="E225"/>
    <hyperlink r:id="rId669" ref="O225"/>
    <hyperlink r:id="rId670" ref="B226"/>
    <hyperlink r:id="rId671" ref="E226"/>
    <hyperlink r:id="rId672" ref="O226"/>
    <hyperlink r:id="rId673" ref="B227"/>
    <hyperlink r:id="rId674" ref="E227"/>
    <hyperlink r:id="rId675" ref="O227"/>
    <hyperlink r:id="rId676" ref="B228"/>
    <hyperlink r:id="rId677" ref="E228"/>
    <hyperlink r:id="rId678" ref="O228"/>
    <hyperlink r:id="rId679" ref="B229"/>
    <hyperlink r:id="rId680" ref="E229"/>
    <hyperlink r:id="rId681" ref="O229"/>
    <hyperlink r:id="rId682" ref="B230"/>
    <hyperlink r:id="rId683" ref="E230"/>
    <hyperlink r:id="rId684" ref="O230"/>
    <hyperlink r:id="rId685" ref="B231"/>
    <hyperlink r:id="rId686" ref="E231"/>
    <hyperlink r:id="rId687" ref="O231"/>
    <hyperlink r:id="rId688" ref="B232"/>
    <hyperlink r:id="rId689" ref="E232"/>
    <hyperlink r:id="rId690" ref="O232"/>
    <hyperlink r:id="rId691" ref="B233"/>
    <hyperlink r:id="rId692" ref="E233"/>
    <hyperlink r:id="rId693" ref="O233"/>
    <hyperlink r:id="rId694" ref="B234"/>
    <hyperlink r:id="rId695" ref="E234"/>
    <hyperlink r:id="rId696" ref="O234"/>
    <hyperlink r:id="rId697" ref="B235"/>
    <hyperlink r:id="rId698" ref="E235"/>
    <hyperlink r:id="rId699" ref="O235"/>
    <hyperlink r:id="rId700" ref="B236"/>
    <hyperlink r:id="rId701" ref="E236"/>
    <hyperlink r:id="rId702" ref="O236"/>
    <hyperlink r:id="rId703" ref="B237"/>
    <hyperlink r:id="rId704" ref="E237"/>
    <hyperlink r:id="rId705" ref="O237"/>
    <hyperlink r:id="rId706" ref="B238"/>
    <hyperlink r:id="rId707" ref="E238"/>
    <hyperlink r:id="rId708" ref="O238"/>
    <hyperlink r:id="rId709" ref="B239"/>
    <hyperlink r:id="rId710" ref="E239"/>
    <hyperlink r:id="rId711" ref="O239"/>
    <hyperlink r:id="rId712" ref="B240"/>
    <hyperlink r:id="rId713" ref="E240"/>
    <hyperlink r:id="rId714" ref="O240"/>
    <hyperlink r:id="rId715" ref="B241"/>
    <hyperlink r:id="rId716" ref="E241"/>
    <hyperlink r:id="rId717" ref="O241"/>
    <hyperlink r:id="rId718" ref="B242"/>
    <hyperlink r:id="rId719" ref="E242"/>
    <hyperlink r:id="rId720" ref="O242"/>
    <hyperlink r:id="rId721" ref="B243"/>
    <hyperlink r:id="rId722" ref="E243"/>
    <hyperlink r:id="rId723" ref="O243"/>
    <hyperlink r:id="rId724" ref="B244"/>
    <hyperlink r:id="rId725" ref="E244"/>
    <hyperlink r:id="rId726" ref="O244"/>
    <hyperlink r:id="rId727" ref="B245"/>
    <hyperlink r:id="rId728" ref="E245"/>
    <hyperlink r:id="rId729" ref="O245"/>
    <hyperlink r:id="rId730" ref="B246"/>
    <hyperlink r:id="rId731" ref="E246"/>
    <hyperlink r:id="rId732" ref="O246"/>
    <hyperlink r:id="rId733" ref="B247"/>
    <hyperlink r:id="rId734" ref="E247"/>
    <hyperlink r:id="rId735" ref="O247"/>
    <hyperlink r:id="rId736" ref="B248"/>
    <hyperlink r:id="rId737" ref="E248"/>
    <hyperlink r:id="rId738" ref="O248"/>
    <hyperlink r:id="rId739" ref="B249"/>
    <hyperlink r:id="rId740" ref="E249"/>
    <hyperlink r:id="rId741" ref="O249"/>
    <hyperlink r:id="rId742" ref="B250"/>
    <hyperlink r:id="rId743" ref="E250"/>
    <hyperlink r:id="rId744" ref="O250"/>
    <hyperlink r:id="rId745" ref="B251"/>
    <hyperlink r:id="rId746" ref="E251"/>
    <hyperlink r:id="rId747" ref="O251"/>
    <hyperlink r:id="rId748" ref="B252"/>
    <hyperlink r:id="rId749" ref="E252"/>
    <hyperlink r:id="rId750" ref="O252"/>
    <hyperlink r:id="rId751" ref="B253"/>
    <hyperlink r:id="rId752" ref="E253"/>
    <hyperlink r:id="rId753" ref="O253"/>
    <hyperlink r:id="rId754" ref="B254"/>
    <hyperlink r:id="rId755" ref="E254"/>
    <hyperlink r:id="rId756" ref="O254"/>
    <hyperlink r:id="rId757" ref="B255"/>
    <hyperlink r:id="rId758" ref="E255"/>
    <hyperlink r:id="rId759" ref="O255"/>
    <hyperlink r:id="rId760" ref="B256"/>
    <hyperlink r:id="rId761" ref="E256"/>
    <hyperlink r:id="rId762" ref="O256"/>
    <hyperlink r:id="rId763" ref="B257"/>
    <hyperlink r:id="rId764" ref="E257"/>
    <hyperlink r:id="rId765" ref="O257"/>
    <hyperlink r:id="rId766" ref="B258"/>
    <hyperlink r:id="rId767" ref="E258"/>
    <hyperlink r:id="rId768" ref="O258"/>
    <hyperlink r:id="rId769" ref="B259"/>
    <hyperlink r:id="rId770" ref="E259"/>
    <hyperlink r:id="rId771" ref="O259"/>
    <hyperlink r:id="rId772" ref="B260"/>
    <hyperlink r:id="rId773" ref="E260"/>
    <hyperlink r:id="rId774" ref="O260"/>
    <hyperlink r:id="rId775" ref="B261"/>
    <hyperlink r:id="rId776" ref="E261"/>
    <hyperlink r:id="rId777" ref="O261"/>
    <hyperlink r:id="rId778" ref="B262"/>
    <hyperlink r:id="rId779" ref="E262"/>
    <hyperlink r:id="rId780" ref="O262"/>
    <hyperlink r:id="rId781" ref="B263"/>
    <hyperlink r:id="rId782" ref="E263"/>
    <hyperlink r:id="rId783" ref="O263"/>
    <hyperlink r:id="rId784" ref="B264"/>
    <hyperlink r:id="rId785" ref="E264"/>
    <hyperlink r:id="rId786" ref="O264"/>
    <hyperlink r:id="rId787" ref="B265"/>
    <hyperlink r:id="rId788" ref="E265"/>
    <hyperlink r:id="rId789" ref="O265"/>
    <hyperlink r:id="rId790" ref="B266"/>
    <hyperlink r:id="rId791" ref="E266"/>
    <hyperlink r:id="rId792" ref="O266"/>
    <hyperlink r:id="rId793" ref="B267"/>
    <hyperlink r:id="rId794" ref="E267"/>
    <hyperlink r:id="rId795" ref="O267"/>
    <hyperlink r:id="rId796" ref="B268"/>
    <hyperlink r:id="rId797" ref="E268"/>
    <hyperlink r:id="rId798" ref="O268"/>
    <hyperlink r:id="rId799" ref="B269"/>
    <hyperlink r:id="rId800" ref="E269"/>
    <hyperlink r:id="rId801" ref="O269"/>
    <hyperlink r:id="rId802" ref="B270"/>
    <hyperlink r:id="rId803" ref="E270"/>
    <hyperlink r:id="rId804" ref="O270"/>
    <hyperlink r:id="rId805" ref="B271"/>
    <hyperlink r:id="rId806" ref="E271"/>
    <hyperlink r:id="rId807" ref="O271"/>
    <hyperlink r:id="rId808" ref="B272"/>
    <hyperlink r:id="rId809" ref="E272"/>
    <hyperlink r:id="rId810" ref="O272"/>
    <hyperlink r:id="rId811" ref="B273"/>
    <hyperlink r:id="rId812" ref="E273"/>
    <hyperlink r:id="rId813" ref="N273"/>
    <hyperlink r:id="rId814" ref="O273"/>
    <hyperlink r:id="rId815" ref="B274"/>
    <hyperlink r:id="rId816" ref="E274"/>
    <hyperlink r:id="rId817" ref="O274"/>
    <hyperlink r:id="rId818" ref="B275"/>
    <hyperlink r:id="rId819" ref="E275"/>
    <hyperlink r:id="rId820" ref="O275"/>
    <hyperlink r:id="rId821" ref="B276"/>
    <hyperlink r:id="rId822" ref="E276"/>
    <hyperlink r:id="rId823" ref="O276"/>
    <hyperlink r:id="rId824" ref="B277"/>
    <hyperlink r:id="rId825" ref="E277"/>
    <hyperlink r:id="rId826" ref="O277"/>
    <hyperlink r:id="rId827" ref="B278"/>
    <hyperlink r:id="rId828" ref="E278"/>
    <hyperlink r:id="rId829" ref="O278"/>
    <hyperlink r:id="rId830" ref="B279"/>
    <hyperlink r:id="rId831" ref="E279"/>
    <hyperlink r:id="rId832" ref="O279"/>
    <hyperlink r:id="rId833" ref="B280"/>
    <hyperlink r:id="rId834" ref="E280"/>
    <hyperlink r:id="rId835" ref="O280"/>
    <hyperlink r:id="rId836" ref="B281"/>
    <hyperlink r:id="rId837" ref="E281"/>
    <hyperlink r:id="rId838" ref="O281"/>
    <hyperlink r:id="rId839" ref="B282"/>
    <hyperlink r:id="rId840" ref="E282"/>
    <hyperlink r:id="rId841" ref="O282"/>
    <hyperlink r:id="rId842" ref="B283"/>
    <hyperlink r:id="rId843" ref="E283"/>
    <hyperlink r:id="rId844" ref="O283"/>
    <hyperlink r:id="rId845" ref="B284"/>
    <hyperlink r:id="rId846" ref="E284"/>
    <hyperlink r:id="rId847" ref="O284"/>
    <hyperlink r:id="rId848" ref="B285"/>
    <hyperlink r:id="rId849" ref="E285"/>
    <hyperlink r:id="rId850" ref="O285"/>
    <hyperlink r:id="rId851" ref="B286"/>
    <hyperlink r:id="rId852" ref="E286"/>
    <hyperlink r:id="rId853" ref="O286"/>
    <hyperlink r:id="rId854" ref="B287"/>
    <hyperlink r:id="rId855" ref="E287"/>
    <hyperlink r:id="rId856" ref="O287"/>
    <hyperlink r:id="rId857" ref="B288"/>
    <hyperlink r:id="rId858" ref="E288"/>
    <hyperlink r:id="rId859" ref="O288"/>
    <hyperlink r:id="rId860" ref="B289"/>
    <hyperlink r:id="rId861" ref="E289"/>
    <hyperlink r:id="rId862" ref="O289"/>
    <hyperlink r:id="rId863" ref="B290"/>
    <hyperlink r:id="rId864" ref="E290"/>
    <hyperlink r:id="rId865" ref="O290"/>
    <hyperlink r:id="rId866" ref="B291"/>
    <hyperlink r:id="rId867" ref="E291"/>
    <hyperlink r:id="rId868" ref="O291"/>
    <hyperlink r:id="rId869" ref="B292"/>
    <hyperlink r:id="rId870" ref="E292"/>
    <hyperlink r:id="rId871" ref="O292"/>
    <hyperlink r:id="rId872" ref="B293"/>
    <hyperlink r:id="rId873" ref="E293"/>
    <hyperlink r:id="rId874" ref="O293"/>
    <hyperlink r:id="rId875" ref="B294"/>
    <hyperlink r:id="rId876" ref="E294"/>
    <hyperlink r:id="rId877" ref="O294"/>
    <hyperlink r:id="rId878" ref="B295"/>
    <hyperlink r:id="rId879" ref="E295"/>
    <hyperlink r:id="rId880" ref="O295"/>
    <hyperlink r:id="rId881" ref="B296"/>
    <hyperlink r:id="rId882" ref="E296"/>
    <hyperlink r:id="rId883" ref="O296"/>
    <hyperlink r:id="rId884" ref="B297"/>
    <hyperlink r:id="rId885" ref="E297"/>
    <hyperlink r:id="rId886" ref="O297"/>
    <hyperlink r:id="rId887" ref="B298"/>
    <hyperlink r:id="rId888" ref="E298"/>
    <hyperlink r:id="rId889" ref="O298"/>
    <hyperlink r:id="rId890" ref="B299"/>
    <hyperlink r:id="rId891" ref="E299"/>
    <hyperlink r:id="rId892" ref="O299"/>
    <hyperlink r:id="rId893" ref="B300"/>
    <hyperlink r:id="rId894" ref="E300"/>
    <hyperlink r:id="rId895" ref="O300"/>
    <hyperlink r:id="rId896" ref="B301"/>
    <hyperlink r:id="rId897" ref="E301"/>
    <hyperlink r:id="rId898" ref="O301"/>
    <hyperlink r:id="rId899" ref="B302"/>
    <hyperlink r:id="rId900" ref="E302"/>
    <hyperlink r:id="rId901" ref="O302"/>
    <hyperlink r:id="rId902" ref="B303"/>
    <hyperlink r:id="rId903" ref="E303"/>
    <hyperlink r:id="rId904" ref="O303"/>
    <hyperlink r:id="rId905" ref="B304"/>
    <hyperlink r:id="rId906" ref="E304"/>
    <hyperlink r:id="rId907" ref="O304"/>
    <hyperlink r:id="rId908" ref="B305"/>
    <hyperlink r:id="rId909" ref="E305"/>
    <hyperlink r:id="rId910" ref="O305"/>
    <hyperlink r:id="rId911" ref="B306"/>
    <hyperlink r:id="rId912" ref="E306"/>
    <hyperlink r:id="rId913" ref="O306"/>
    <hyperlink r:id="rId914" ref="B307"/>
    <hyperlink r:id="rId915" ref="E307"/>
    <hyperlink r:id="rId916" ref="O307"/>
    <hyperlink r:id="rId917" ref="B308"/>
    <hyperlink r:id="rId918" ref="E308"/>
    <hyperlink r:id="rId919" ref="O308"/>
    <hyperlink r:id="rId920" ref="B309"/>
    <hyperlink r:id="rId921" ref="E309"/>
    <hyperlink r:id="rId922" ref="O309"/>
    <hyperlink r:id="rId923" ref="B310"/>
    <hyperlink r:id="rId924" ref="E310"/>
    <hyperlink r:id="rId925" ref="O310"/>
    <hyperlink r:id="rId926" ref="B311"/>
    <hyperlink r:id="rId927" ref="E311"/>
    <hyperlink r:id="rId928" ref="O311"/>
    <hyperlink r:id="rId929" ref="B312"/>
    <hyperlink r:id="rId930" ref="E312"/>
    <hyperlink r:id="rId931" ref="O312"/>
    <hyperlink r:id="rId932" ref="B313"/>
    <hyperlink r:id="rId933" ref="E313"/>
    <hyperlink r:id="rId934" ref="O313"/>
    <hyperlink r:id="rId935" ref="B314"/>
    <hyperlink r:id="rId936" ref="E314"/>
    <hyperlink r:id="rId937" ref="O314"/>
    <hyperlink r:id="rId938" ref="B315"/>
    <hyperlink r:id="rId939" ref="E315"/>
    <hyperlink r:id="rId940" ref="O315"/>
    <hyperlink r:id="rId941" ref="B316"/>
    <hyperlink r:id="rId942" ref="E316"/>
    <hyperlink r:id="rId943" ref="O316"/>
    <hyperlink r:id="rId944" ref="B317"/>
    <hyperlink r:id="rId945" ref="E317"/>
    <hyperlink r:id="rId946" ref="O317"/>
    <hyperlink r:id="rId947" ref="B318"/>
    <hyperlink r:id="rId948" ref="E318"/>
    <hyperlink r:id="rId949" ref="O318"/>
    <hyperlink r:id="rId950" ref="B319"/>
    <hyperlink r:id="rId951" ref="E319"/>
    <hyperlink r:id="rId952" ref="O319"/>
    <hyperlink r:id="rId953" ref="B320"/>
    <hyperlink r:id="rId954" ref="E320"/>
    <hyperlink r:id="rId955" ref="O320"/>
    <hyperlink r:id="rId956" ref="B321"/>
    <hyperlink r:id="rId957" ref="E321"/>
    <hyperlink r:id="rId958" ref="O321"/>
    <hyperlink r:id="rId959" ref="B322"/>
    <hyperlink r:id="rId960" ref="E322"/>
    <hyperlink r:id="rId961" ref="O322"/>
    <hyperlink r:id="rId962" ref="B323"/>
    <hyperlink r:id="rId963" ref="E323"/>
    <hyperlink r:id="rId964" ref="O323"/>
    <hyperlink r:id="rId965" ref="B324"/>
    <hyperlink r:id="rId966" ref="E324"/>
    <hyperlink r:id="rId967" ref="O324"/>
    <hyperlink r:id="rId968" ref="B325"/>
    <hyperlink r:id="rId969" ref="E325"/>
    <hyperlink r:id="rId970" ref="O325"/>
    <hyperlink r:id="rId971" ref="B326"/>
    <hyperlink r:id="rId972" ref="E326"/>
    <hyperlink r:id="rId973" ref="O326"/>
    <hyperlink r:id="rId974" ref="B327"/>
    <hyperlink r:id="rId975" ref="E327"/>
    <hyperlink r:id="rId976" ref="O327"/>
    <hyperlink r:id="rId977" ref="B328"/>
    <hyperlink r:id="rId978" ref="E328"/>
    <hyperlink r:id="rId979" ref="O328"/>
    <hyperlink r:id="rId980" ref="B329"/>
    <hyperlink r:id="rId981" ref="E329"/>
    <hyperlink r:id="rId982" ref="O329"/>
    <hyperlink r:id="rId983" ref="B330"/>
    <hyperlink r:id="rId984" ref="E330"/>
    <hyperlink r:id="rId985" ref="O330"/>
    <hyperlink r:id="rId986" ref="B331"/>
    <hyperlink r:id="rId987" ref="E331"/>
    <hyperlink r:id="rId988" ref="O331"/>
    <hyperlink r:id="rId989" ref="B332"/>
    <hyperlink r:id="rId990" ref="E332"/>
    <hyperlink r:id="rId991" ref="O332"/>
    <hyperlink r:id="rId992" ref="B333"/>
    <hyperlink r:id="rId993" ref="E333"/>
    <hyperlink r:id="rId994" ref="O333"/>
    <hyperlink r:id="rId995" ref="B334"/>
    <hyperlink r:id="rId996" ref="E334"/>
    <hyperlink r:id="rId997" ref="O334"/>
    <hyperlink r:id="rId998" ref="B335"/>
    <hyperlink r:id="rId999" ref="E335"/>
    <hyperlink r:id="rId1000" ref="O335"/>
    <hyperlink r:id="rId1001" ref="B336"/>
    <hyperlink r:id="rId1002" ref="E336"/>
    <hyperlink r:id="rId1003" ref="O336"/>
    <hyperlink r:id="rId1004" ref="B337"/>
    <hyperlink r:id="rId1005" ref="E337"/>
    <hyperlink r:id="rId1006" ref="O337"/>
    <hyperlink r:id="rId1007" ref="B338"/>
    <hyperlink r:id="rId1008" ref="E338"/>
    <hyperlink r:id="rId1009" ref="O338"/>
    <hyperlink r:id="rId1010" ref="B339"/>
    <hyperlink r:id="rId1011" ref="E339"/>
    <hyperlink r:id="rId1012" ref="O339"/>
    <hyperlink r:id="rId1013" ref="B340"/>
    <hyperlink r:id="rId1014" ref="E340"/>
    <hyperlink r:id="rId1015" ref="O340"/>
    <hyperlink r:id="rId1016" ref="B341"/>
    <hyperlink r:id="rId1017" ref="E341"/>
    <hyperlink r:id="rId1018" ref="O341"/>
    <hyperlink r:id="rId1019" ref="B342"/>
    <hyperlink r:id="rId1020" ref="E342"/>
    <hyperlink r:id="rId1021" ref="O342"/>
    <hyperlink r:id="rId1022" ref="B343"/>
    <hyperlink r:id="rId1023" ref="E343"/>
    <hyperlink r:id="rId1024" ref="O343"/>
    <hyperlink r:id="rId1025" ref="B344"/>
    <hyperlink r:id="rId1026" ref="E344"/>
    <hyperlink r:id="rId1027" ref="O344"/>
    <hyperlink r:id="rId1028" ref="B345"/>
    <hyperlink r:id="rId1029" ref="E345"/>
    <hyperlink r:id="rId1030" ref="O345"/>
    <hyperlink r:id="rId1031" ref="B346"/>
    <hyperlink r:id="rId1032" ref="E346"/>
    <hyperlink r:id="rId1033" ref="O346"/>
    <hyperlink r:id="rId1034" ref="B347"/>
    <hyperlink r:id="rId1035" ref="E347"/>
    <hyperlink r:id="rId1036" ref="O347"/>
    <hyperlink r:id="rId1037" ref="B348"/>
    <hyperlink r:id="rId1038" ref="E348"/>
    <hyperlink r:id="rId1039" ref="O348"/>
    <hyperlink r:id="rId1040" ref="B349"/>
    <hyperlink r:id="rId1041" ref="E349"/>
    <hyperlink r:id="rId1042" ref="O349"/>
    <hyperlink r:id="rId1043" ref="B350"/>
    <hyperlink r:id="rId1044" ref="E350"/>
    <hyperlink r:id="rId1045" ref="O350"/>
    <hyperlink r:id="rId1046" ref="B351"/>
    <hyperlink r:id="rId1047" ref="E351"/>
    <hyperlink r:id="rId1048" ref="O351"/>
    <hyperlink r:id="rId1049" ref="B352"/>
    <hyperlink r:id="rId1050" ref="E352"/>
    <hyperlink r:id="rId1051" ref="O352"/>
    <hyperlink r:id="rId1052" ref="B353"/>
    <hyperlink r:id="rId1053" ref="E353"/>
    <hyperlink r:id="rId1054" ref="O353"/>
    <hyperlink r:id="rId1055" ref="B354"/>
    <hyperlink r:id="rId1056" ref="E354"/>
    <hyperlink r:id="rId1057" ref="O354"/>
    <hyperlink r:id="rId1058" ref="B355"/>
    <hyperlink r:id="rId1059" ref="E355"/>
    <hyperlink r:id="rId1060" ref="O355"/>
    <hyperlink r:id="rId1061" ref="B356"/>
    <hyperlink r:id="rId1062" ref="E356"/>
    <hyperlink r:id="rId1063" ref="O356"/>
    <hyperlink r:id="rId1064" ref="B357"/>
    <hyperlink r:id="rId1065" ref="E357"/>
    <hyperlink r:id="rId1066" ref="O357"/>
    <hyperlink r:id="rId1067" ref="B358"/>
    <hyperlink r:id="rId1068" ref="E358"/>
    <hyperlink r:id="rId1069" ref="O358"/>
    <hyperlink r:id="rId1070" ref="B359"/>
    <hyperlink r:id="rId1071" ref="E359"/>
    <hyperlink r:id="rId1072" ref="O359"/>
    <hyperlink r:id="rId1073" ref="B360"/>
    <hyperlink r:id="rId1074" ref="E360"/>
    <hyperlink r:id="rId1075" ref="O360"/>
    <hyperlink r:id="rId1076" ref="B361"/>
    <hyperlink r:id="rId1077" ref="E361"/>
    <hyperlink r:id="rId1078" ref="O361"/>
    <hyperlink r:id="rId1079" ref="B362"/>
    <hyperlink r:id="rId1080" ref="E362"/>
    <hyperlink r:id="rId1081" ref="O362"/>
    <hyperlink r:id="rId1082" ref="B363"/>
    <hyperlink r:id="rId1083" ref="E363"/>
    <hyperlink r:id="rId1084" ref="O363"/>
    <hyperlink r:id="rId1085" ref="B364"/>
    <hyperlink r:id="rId1086" ref="E364"/>
    <hyperlink r:id="rId1087" ref="O364"/>
    <hyperlink r:id="rId1088" ref="B365"/>
    <hyperlink r:id="rId1089" ref="E365"/>
    <hyperlink r:id="rId1090" ref="O365"/>
    <hyperlink r:id="rId1091" ref="B366"/>
    <hyperlink r:id="rId1092" ref="E366"/>
    <hyperlink r:id="rId1093" ref="O366"/>
    <hyperlink r:id="rId1094" ref="B367"/>
    <hyperlink r:id="rId1095" ref="E367"/>
    <hyperlink r:id="rId1096" ref="O367"/>
    <hyperlink r:id="rId1097" ref="B368"/>
    <hyperlink r:id="rId1098" ref="E368"/>
    <hyperlink r:id="rId1099" ref="O368"/>
    <hyperlink r:id="rId1100" ref="B369"/>
    <hyperlink r:id="rId1101" ref="E369"/>
    <hyperlink r:id="rId1102" ref="O369"/>
    <hyperlink r:id="rId1103" ref="B370"/>
    <hyperlink r:id="rId1104" ref="E370"/>
    <hyperlink r:id="rId1105" ref="O370"/>
    <hyperlink r:id="rId1106" ref="B371"/>
    <hyperlink r:id="rId1107" ref="E371"/>
    <hyperlink r:id="rId1108" ref="O371"/>
    <hyperlink r:id="rId1109" ref="B372"/>
    <hyperlink r:id="rId1110" ref="E372"/>
    <hyperlink r:id="rId1111" ref="O372"/>
    <hyperlink r:id="rId1112" ref="B373"/>
    <hyperlink r:id="rId1113" ref="E373"/>
    <hyperlink r:id="rId1114" ref="O373"/>
    <hyperlink r:id="rId1115" ref="B374"/>
    <hyperlink r:id="rId1116" ref="E374"/>
    <hyperlink r:id="rId1117" ref="O374"/>
    <hyperlink r:id="rId1118" ref="B375"/>
    <hyperlink r:id="rId1119" ref="E375"/>
    <hyperlink r:id="rId1120" ref="O375"/>
    <hyperlink r:id="rId1121" ref="B376"/>
    <hyperlink r:id="rId1122" ref="E376"/>
    <hyperlink r:id="rId1123" ref="O376"/>
    <hyperlink r:id="rId1124" ref="B377"/>
    <hyperlink r:id="rId1125" ref="E377"/>
    <hyperlink r:id="rId1126" ref="O377"/>
    <hyperlink r:id="rId1127" ref="B378"/>
    <hyperlink r:id="rId1128" ref="E378"/>
    <hyperlink r:id="rId1129" ref="O378"/>
    <hyperlink r:id="rId1130" ref="B379"/>
    <hyperlink r:id="rId1131" ref="E379"/>
    <hyperlink r:id="rId1132" ref="O379"/>
    <hyperlink r:id="rId1133" ref="B380"/>
    <hyperlink r:id="rId1134" ref="E380"/>
    <hyperlink r:id="rId1135" ref="O380"/>
    <hyperlink r:id="rId1136" ref="B381"/>
    <hyperlink r:id="rId1137" ref="E381"/>
    <hyperlink r:id="rId1138" ref="O381"/>
    <hyperlink r:id="rId1139" ref="B382"/>
    <hyperlink r:id="rId1140" ref="E382"/>
    <hyperlink r:id="rId1141" ref="O382"/>
    <hyperlink r:id="rId1142" ref="B383"/>
    <hyperlink r:id="rId1143" ref="E383"/>
    <hyperlink r:id="rId1144" ref="O383"/>
    <hyperlink r:id="rId1145" ref="B384"/>
    <hyperlink r:id="rId1146" ref="E384"/>
    <hyperlink r:id="rId1147" ref="O384"/>
    <hyperlink r:id="rId1148" ref="B385"/>
    <hyperlink r:id="rId1149" ref="E385"/>
    <hyperlink r:id="rId1150" ref="O385"/>
    <hyperlink r:id="rId1151" ref="B386"/>
    <hyperlink r:id="rId1152" ref="E386"/>
    <hyperlink r:id="rId1153" ref="O386"/>
    <hyperlink r:id="rId1154" ref="B387"/>
    <hyperlink r:id="rId1155" ref="E387"/>
    <hyperlink r:id="rId1156" ref="O387"/>
    <hyperlink r:id="rId1157" ref="B388"/>
    <hyperlink r:id="rId1158" ref="E388"/>
    <hyperlink r:id="rId1159" ref="O388"/>
    <hyperlink r:id="rId1160" ref="B389"/>
    <hyperlink r:id="rId1161" ref="E389"/>
    <hyperlink r:id="rId1162" ref="O389"/>
    <hyperlink r:id="rId1163" ref="B390"/>
    <hyperlink r:id="rId1164" ref="E390"/>
    <hyperlink r:id="rId1165" ref="O390"/>
    <hyperlink r:id="rId1166" ref="B391"/>
    <hyperlink r:id="rId1167" ref="E391"/>
    <hyperlink r:id="rId1168" ref="O391"/>
    <hyperlink r:id="rId1169" ref="B392"/>
    <hyperlink r:id="rId1170" ref="E392"/>
    <hyperlink r:id="rId1171" ref="O392"/>
    <hyperlink r:id="rId1172" ref="B393"/>
    <hyperlink r:id="rId1173" ref="E393"/>
    <hyperlink r:id="rId1174" ref="O393"/>
    <hyperlink r:id="rId1175" ref="B394"/>
    <hyperlink r:id="rId1176" ref="E394"/>
    <hyperlink r:id="rId1177" ref="O394"/>
    <hyperlink r:id="rId1178" ref="B395"/>
    <hyperlink r:id="rId1179" ref="E395"/>
    <hyperlink r:id="rId1180" ref="O395"/>
    <hyperlink r:id="rId1181" ref="B396"/>
    <hyperlink r:id="rId1182" ref="E396"/>
    <hyperlink r:id="rId1183" ref="O396"/>
    <hyperlink r:id="rId1184" ref="B397"/>
    <hyperlink r:id="rId1185" ref="E397"/>
    <hyperlink r:id="rId1186" ref="O397"/>
    <hyperlink r:id="rId1187" ref="B398"/>
    <hyperlink r:id="rId1188" ref="E398"/>
    <hyperlink r:id="rId1189" ref="O398"/>
    <hyperlink r:id="rId1190" ref="B399"/>
    <hyperlink r:id="rId1191" ref="C399"/>
    <hyperlink r:id="rId1192" ref="E399"/>
    <hyperlink r:id="rId1193" ref="O399"/>
    <hyperlink r:id="rId1194" ref="B400"/>
    <hyperlink r:id="rId1195" ref="E400"/>
    <hyperlink r:id="rId1196" ref="O400"/>
    <hyperlink r:id="rId1197" ref="B401"/>
    <hyperlink r:id="rId1198" ref="E401"/>
    <hyperlink r:id="rId1199" ref="O401"/>
    <hyperlink r:id="rId1200" ref="B402"/>
    <hyperlink r:id="rId1201" ref="E402"/>
    <hyperlink r:id="rId1202" ref="O402"/>
    <hyperlink r:id="rId1203" ref="B403"/>
    <hyperlink r:id="rId1204" ref="E403"/>
    <hyperlink r:id="rId1205" ref="O403"/>
    <hyperlink r:id="rId1206" ref="B404"/>
    <hyperlink r:id="rId1207" ref="E404"/>
    <hyperlink r:id="rId1208" ref="O404"/>
    <hyperlink r:id="rId1209" ref="B405"/>
    <hyperlink r:id="rId1210" ref="E405"/>
    <hyperlink r:id="rId1211" ref="O405"/>
    <hyperlink r:id="rId1212" ref="B406"/>
    <hyperlink r:id="rId1213" ref="E406"/>
    <hyperlink r:id="rId1214" ref="O406"/>
    <hyperlink r:id="rId1215" ref="B407"/>
    <hyperlink r:id="rId1216" ref="E407"/>
    <hyperlink r:id="rId1217" ref="O407"/>
    <hyperlink r:id="rId1218" ref="B408"/>
    <hyperlink r:id="rId1219" ref="E408"/>
    <hyperlink r:id="rId1220" ref="O408"/>
    <hyperlink r:id="rId1221" ref="B409"/>
    <hyperlink r:id="rId1222" ref="E409"/>
    <hyperlink r:id="rId1223" ref="O409"/>
    <hyperlink r:id="rId1224" ref="B410"/>
    <hyperlink r:id="rId1225" ref="E410"/>
    <hyperlink r:id="rId1226" ref="O410"/>
    <hyperlink r:id="rId1227" ref="B411"/>
    <hyperlink r:id="rId1228" ref="E411"/>
    <hyperlink r:id="rId1229" ref="O411"/>
    <hyperlink r:id="rId1230" ref="B412"/>
    <hyperlink r:id="rId1231" ref="E412"/>
    <hyperlink r:id="rId1232" ref="O412"/>
    <hyperlink r:id="rId1233" ref="B413"/>
    <hyperlink r:id="rId1234" ref="E413"/>
    <hyperlink r:id="rId1235" ref="O413"/>
    <hyperlink r:id="rId1236" ref="B414"/>
    <hyperlink r:id="rId1237" ref="E414"/>
    <hyperlink r:id="rId1238" ref="O414"/>
    <hyperlink r:id="rId1239" ref="B415"/>
    <hyperlink r:id="rId1240" ref="E415"/>
    <hyperlink r:id="rId1241" ref="O415"/>
    <hyperlink r:id="rId1242" ref="B416"/>
    <hyperlink r:id="rId1243" ref="E416"/>
    <hyperlink r:id="rId1244" ref="O416"/>
    <hyperlink r:id="rId1245" ref="B417"/>
    <hyperlink r:id="rId1246" ref="E417"/>
    <hyperlink r:id="rId1247" ref="O417"/>
    <hyperlink r:id="rId1248" ref="B418"/>
    <hyperlink r:id="rId1249" ref="E418"/>
    <hyperlink r:id="rId1250" ref="O418"/>
    <hyperlink r:id="rId1251" ref="B419"/>
    <hyperlink r:id="rId1252" ref="E419"/>
    <hyperlink r:id="rId1253" ref="O419"/>
    <hyperlink r:id="rId1254" ref="B420"/>
    <hyperlink r:id="rId1255" ref="E420"/>
    <hyperlink r:id="rId1256" ref="O420"/>
    <hyperlink r:id="rId1257" ref="B421"/>
    <hyperlink r:id="rId1258" ref="E421"/>
    <hyperlink r:id="rId1259" ref="O421"/>
    <hyperlink r:id="rId1260" ref="B422"/>
    <hyperlink r:id="rId1261" ref="E422"/>
    <hyperlink r:id="rId1262" ref="O422"/>
    <hyperlink r:id="rId1263" ref="B423"/>
    <hyperlink r:id="rId1264" ref="E423"/>
    <hyperlink r:id="rId1265" ref="O423"/>
    <hyperlink r:id="rId1266" ref="B424"/>
    <hyperlink r:id="rId1267" ref="E424"/>
    <hyperlink r:id="rId1268" ref="O424"/>
    <hyperlink r:id="rId1269" ref="B425"/>
    <hyperlink r:id="rId1270" ref="E425"/>
    <hyperlink r:id="rId1271" ref="O425"/>
    <hyperlink r:id="rId1272" ref="B426"/>
    <hyperlink r:id="rId1273" ref="E426"/>
    <hyperlink r:id="rId1274" ref="O426"/>
    <hyperlink r:id="rId1275" ref="B427"/>
    <hyperlink r:id="rId1276" ref="E427"/>
    <hyperlink r:id="rId1277" ref="O427"/>
    <hyperlink r:id="rId1278" ref="B428"/>
    <hyperlink r:id="rId1279" ref="E428"/>
    <hyperlink r:id="rId1280" ref="O428"/>
    <hyperlink r:id="rId1281" ref="B429"/>
    <hyperlink r:id="rId1282" ref="E429"/>
    <hyperlink r:id="rId1283" ref="O429"/>
    <hyperlink r:id="rId1284" ref="B430"/>
    <hyperlink r:id="rId1285" ref="E430"/>
    <hyperlink r:id="rId1286" ref="O430"/>
    <hyperlink r:id="rId1287" ref="B431"/>
    <hyperlink r:id="rId1288" ref="E431"/>
    <hyperlink r:id="rId1289" ref="O431"/>
    <hyperlink r:id="rId1290" ref="B432"/>
    <hyperlink r:id="rId1291" ref="E432"/>
    <hyperlink r:id="rId1292" ref="O432"/>
    <hyperlink r:id="rId1293" ref="B433"/>
    <hyperlink r:id="rId1294" ref="E433"/>
    <hyperlink r:id="rId1295" ref="O433"/>
    <hyperlink r:id="rId1296" ref="B434"/>
    <hyperlink r:id="rId1297" ref="E434"/>
    <hyperlink r:id="rId1298" ref="O434"/>
    <hyperlink r:id="rId1299" ref="B435"/>
    <hyperlink r:id="rId1300" ref="E435"/>
    <hyperlink r:id="rId1301" ref="O435"/>
    <hyperlink r:id="rId1302" ref="B436"/>
    <hyperlink r:id="rId1303" ref="E436"/>
    <hyperlink r:id="rId1304" ref="O436"/>
    <hyperlink r:id="rId1305" ref="B437"/>
    <hyperlink r:id="rId1306" ref="E437"/>
    <hyperlink r:id="rId1307" ref="O437"/>
    <hyperlink r:id="rId1308" ref="B438"/>
    <hyperlink r:id="rId1309" ref="E438"/>
    <hyperlink r:id="rId1310" ref="O438"/>
    <hyperlink r:id="rId1311" ref="B439"/>
    <hyperlink r:id="rId1312" ref="E439"/>
    <hyperlink r:id="rId1313" ref="O439"/>
    <hyperlink r:id="rId1314" ref="B440"/>
    <hyperlink r:id="rId1315" ref="E440"/>
    <hyperlink r:id="rId1316" ref="O440"/>
    <hyperlink r:id="rId1317" ref="B441"/>
    <hyperlink r:id="rId1318" ref="E441"/>
    <hyperlink r:id="rId1319" ref="O441"/>
    <hyperlink r:id="rId1320" ref="B442"/>
    <hyperlink r:id="rId1321" ref="E442"/>
    <hyperlink r:id="rId1322" ref="O442"/>
    <hyperlink r:id="rId1323" ref="B443"/>
    <hyperlink r:id="rId1324" ref="E443"/>
    <hyperlink r:id="rId1325" ref="O443"/>
    <hyperlink r:id="rId1326" ref="B444"/>
    <hyperlink r:id="rId1327" ref="E444"/>
    <hyperlink r:id="rId1328" ref="O444"/>
    <hyperlink r:id="rId1329" ref="B445"/>
    <hyperlink r:id="rId1330" ref="E445"/>
    <hyperlink r:id="rId1331" ref="O445"/>
    <hyperlink r:id="rId1332" ref="B446"/>
    <hyperlink r:id="rId1333" ref="E446"/>
    <hyperlink r:id="rId1334" ref="O446"/>
    <hyperlink r:id="rId1335" ref="B447"/>
    <hyperlink r:id="rId1336" ref="E447"/>
    <hyperlink r:id="rId1337" ref="O447"/>
    <hyperlink r:id="rId1338" ref="B448"/>
    <hyperlink r:id="rId1339" ref="E448"/>
    <hyperlink r:id="rId1340" ref="O448"/>
    <hyperlink r:id="rId1341" ref="B449"/>
    <hyperlink r:id="rId1342" ref="E449"/>
    <hyperlink r:id="rId1343" ref="O449"/>
    <hyperlink r:id="rId1344" ref="B450"/>
    <hyperlink r:id="rId1345" ref="E450"/>
    <hyperlink r:id="rId1346" ref="O450"/>
    <hyperlink r:id="rId1347" ref="B451"/>
    <hyperlink r:id="rId1348" ref="E451"/>
    <hyperlink r:id="rId1349" ref="O451"/>
    <hyperlink r:id="rId1350" ref="B452"/>
    <hyperlink r:id="rId1351" ref="E452"/>
    <hyperlink r:id="rId1352" ref="O452"/>
    <hyperlink r:id="rId1353" ref="B453"/>
    <hyperlink r:id="rId1354" ref="E453"/>
    <hyperlink r:id="rId1355" ref="O453"/>
    <hyperlink r:id="rId1356" ref="B454"/>
    <hyperlink r:id="rId1357" ref="E454"/>
    <hyperlink r:id="rId1358" ref="O454"/>
    <hyperlink r:id="rId1359" ref="B455"/>
    <hyperlink r:id="rId1360" ref="E455"/>
    <hyperlink r:id="rId1361" ref="O455"/>
    <hyperlink r:id="rId1362" ref="B456"/>
    <hyperlink r:id="rId1363" ref="E456"/>
    <hyperlink r:id="rId1364" ref="O456"/>
    <hyperlink r:id="rId1365" ref="B457"/>
    <hyperlink r:id="rId1366" ref="E457"/>
    <hyperlink r:id="rId1367" ref="O457"/>
    <hyperlink r:id="rId1368" ref="B458"/>
    <hyperlink r:id="rId1369" ref="E458"/>
    <hyperlink r:id="rId1370" ref="M458"/>
    <hyperlink r:id="rId1371" ref="O458"/>
    <hyperlink r:id="rId1372" ref="B459"/>
    <hyperlink r:id="rId1373" ref="E459"/>
    <hyperlink r:id="rId1374" ref="O459"/>
    <hyperlink r:id="rId1375" ref="B460"/>
    <hyperlink r:id="rId1376" ref="E460"/>
    <hyperlink r:id="rId1377" ref="O460"/>
    <hyperlink r:id="rId1378" ref="B461"/>
    <hyperlink r:id="rId1379" ref="E461"/>
    <hyperlink r:id="rId1380" ref="O461"/>
    <hyperlink r:id="rId1381" ref="B462"/>
    <hyperlink r:id="rId1382" ref="E462"/>
    <hyperlink r:id="rId1383" ref="O462"/>
    <hyperlink r:id="rId1384" ref="B463"/>
    <hyperlink r:id="rId1385" ref="E463"/>
    <hyperlink r:id="rId1386" ref="O463"/>
    <hyperlink r:id="rId1387" ref="B464"/>
    <hyperlink r:id="rId1388" ref="E464"/>
    <hyperlink r:id="rId1389" ref="O464"/>
    <hyperlink r:id="rId1390" ref="B465"/>
    <hyperlink r:id="rId1391" ref="E465"/>
    <hyperlink r:id="rId1392" ref="O465"/>
    <hyperlink r:id="rId1393" ref="B466"/>
    <hyperlink r:id="rId1394" ref="E466"/>
    <hyperlink r:id="rId1395" ref="O466"/>
    <hyperlink r:id="rId1396" ref="B467"/>
    <hyperlink r:id="rId1397" ref="E467"/>
    <hyperlink r:id="rId1398" ref="O467"/>
    <hyperlink r:id="rId1399" ref="B468"/>
    <hyperlink r:id="rId1400" ref="E468"/>
    <hyperlink r:id="rId1401" ref="O468"/>
    <hyperlink r:id="rId1402" ref="B469"/>
    <hyperlink r:id="rId1403" ref="E469"/>
    <hyperlink r:id="rId1404" ref="O469"/>
    <hyperlink r:id="rId1405" ref="B470"/>
    <hyperlink r:id="rId1406" ref="E470"/>
    <hyperlink r:id="rId1407" ref="O470"/>
    <hyperlink r:id="rId1408" ref="B471"/>
    <hyperlink r:id="rId1409" ref="E471"/>
    <hyperlink r:id="rId1410" ref="O471"/>
    <hyperlink r:id="rId1411" ref="B472"/>
    <hyperlink r:id="rId1412" ref="E472"/>
    <hyperlink r:id="rId1413" ref="O472"/>
    <hyperlink r:id="rId1414" ref="B473"/>
    <hyperlink r:id="rId1415" ref="E473"/>
    <hyperlink r:id="rId1416" ref="O473"/>
    <hyperlink r:id="rId1417" ref="B474"/>
    <hyperlink r:id="rId1418" ref="E474"/>
    <hyperlink r:id="rId1419" ref="O474"/>
    <hyperlink r:id="rId1420" ref="B475"/>
    <hyperlink r:id="rId1421" ref="E475"/>
    <hyperlink r:id="rId1422" ref="O475"/>
    <hyperlink r:id="rId1423" ref="B476"/>
    <hyperlink r:id="rId1424" ref="E476"/>
    <hyperlink r:id="rId1425" ref="O476"/>
    <hyperlink r:id="rId1426" ref="B477"/>
    <hyperlink r:id="rId1427" ref="E477"/>
    <hyperlink r:id="rId1428" ref="O477"/>
    <hyperlink r:id="rId1429" ref="B478"/>
    <hyperlink r:id="rId1430" ref="E478"/>
    <hyperlink r:id="rId1431" ref="O478"/>
    <hyperlink r:id="rId1432" ref="B479"/>
    <hyperlink r:id="rId1433" ref="E479"/>
    <hyperlink r:id="rId1434" ref="O479"/>
    <hyperlink r:id="rId1435" ref="B480"/>
    <hyperlink r:id="rId1436" ref="E480"/>
    <hyperlink r:id="rId1437" ref="O480"/>
    <hyperlink r:id="rId1438" ref="B481"/>
    <hyperlink r:id="rId1439" ref="E481"/>
    <hyperlink r:id="rId1440" ref="O481"/>
    <hyperlink r:id="rId1441" ref="B482"/>
    <hyperlink r:id="rId1442" ref="E482"/>
    <hyperlink r:id="rId1443" ref="O482"/>
    <hyperlink r:id="rId1444" ref="B483"/>
    <hyperlink r:id="rId1445" ref="E483"/>
    <hyperlink r:id="rId1446" ref="O483"/>
    <hyperlink r:id="rId1447" ref="B484"/>
    <hyperlink r:id="rId1448" ref="E484"/>
    <hyperlink r:id="rId1449" ref="O484"/>
    <hyperlink r:id="rId1450" ref="B485"/>
    <hyperlink r:id="rId1451" ref="E485"/>
    <hyperlink r:id="rId1452" ref="O485"/>
    <hyperlink r:id="rId1453" ref="B486"/>
    <hyperlink r:id="rId1454" ref="E486"/>
    <hyperlink r:id="rId1455" ref="O486"/>
    <hyperlink r:id="rId1456" ref="B487"/>
    <hyperlink r:id="rId1457" ref="E487"/>
    <hyperlink r:id="rId1458" ref="O487"/>
    <hyperlink r:id="rId1459" ref="B488"/>
    <hyperlink r:id="rId1460" ref="E488"/>
    <hyperlink r:id="rId1461" ref="O488"/>
    <hyperlink r:id="rId1462" ref="B489"/>
    <hyperlink r:id="rId1463" ref="E489"/>
    <hyperlink r:id="rId1464" ref="O489"/>
    <hyperlink r:id="rId1465" ref="B490"/>
    <hyperlink r:id="rId1466" ref="E490"/>
    <hyperlink r:id="rId1467" ref="O490"/>
    <hyperlink r:id="rId1468" ref="B491"/>
    <hyperlink r:id="rId1469" ref="E491"/>
    <hyperlink r:id="rId1470" ref="O491"/>
    <hyperlink r:id="rId1471" ref="B492"/>
    <hyperlink r:id="rId1472" ref="E492"/>
    <hyperlink r:id="rId1473" ref="O492"/>
    <hyperlink r:id="rId1474" ref="B493"/>
    <hyperlink r:id="rId1475" ref="E493"/>
    <hyperlink r:id="rId1476" ref="O493"/>
    <hyperlink r:id="rId1477" ref="B494"/>
    <hyperlink r:id="rId1478" ref="E494"/>
    <hyperlink r:id="rId1479" ref="O494"/>
    <hyperlink r:id="rId1480" ref="B495"/>
    <hyperlink r:id="rId1481" ref="E495"/>
    <hyperlink r:id="rId1482" ref="O495"/>
    <hyperlink r:id="rId1483" ref="B496"/>
    <hyperlink r:id="rId1484" ref="E496"/>
    <hyperlink r:id="rId1485" ref="O496"/>
    <hyperlink r:id="rId1486" ref="B497"/>
    <hyperlink r:id="rId1487" ref="E497"/>
    <hyperlink r:id="rId1488" ref="O497"/>
    <hyperlink r:id="rId1489" ref="B498"/>
    <hyperlink r:id="rId1490" ref="C498"/>
    <hyperlink r:id="rId1491" ref="E498"/>
    <hyperlink r:id="rId1492" ref="O498"/>
    <hyperlink r:id="rId1493" ref="B499"/>
    <hyperlink r:id="rId1494" ref="E499"/>
    <hyperlink r:id="rId1495" ref="O499"/>
    <hyperlink r:id="rId1496" ref="B500"/>
    <hyperlink r:id="rId1497" ref="E500"/>
    <hyperlink r:id="rId1498" ref="O500"/>
    <hyperlink r:id="rId1499" ref="B501"/>
    <hyperlink r:id="rId1500" ref="E501"/>
    <hyperlink r:id="rId1501" ref="O501"/>
    <hyperlink r:id="rId1502" ref="B502"/>
    <hyperlink r:id="rId1503" ref="E502"/>
    <hyperlink r:id="rId1504" ref="O502"/>
    <hyperlink r:id="rId1505" ref="B503"/>
    <hyperlink r:id="rId1506" ref="E503"/>
    <hyperlink r:id="rId1507" ref="O503"/>
    <hyperlink r:id="rId1508" ref="B504"/>
    <hyperlink r:id="rId1509" ref="E504"/>
    <hyperlink r:id="rId1510" ref="O504"/>
    <hyperlink r:id="rId1511" ref="B505"/>
    <hyperlink r:id="rId1512" ref="E505"/>
    <hyperlink r:id="rId1513" ref="O505"/>
    <hyperlink r:id="rId1514" ref="B506"/>
    <hyperlink r:id="rId1515" ref="E506"/>
    <hyperlink r:id="rId1516" ref="O506"/>
    <hyperlink r:id="rId1517" ref="B507"/>
    <hyperlink r:id="rId1518" ref="E507"/>
    <hyperlink r:id="rId1519" ref="O507"/>
    <hyperlink r:id="rId1520" ref="B508"/>
    <hyperlink r:id="rId1521" ref="E508"/>
    <hyperlink r:id="rId1522" ref="O508"/>
    <hyperlink r:id="rId1523" ref="B509"/>
    <hyperlink r:id="rId1524" ref="E509"/>
    <hyperlink r:id="rId1525" ref="O509"/>
    <hyperlink r:id="rId1526" ref="B510"/>
    <hyperlink r:id="rId1527" ref="E510"/>
    <hyperlink r:id="rId1528" ref="O510"/>
    <hyperlink r:id="rId1529" ref="B511"/>
    <hyperlink r:id="rId1530" ref="E511"/>
    <hyperlink r:id="rId1531" ref="O511"/>
    <hyperlink r:id="rId1532" ref="B512"/>
    <hyperlink r:id="rId1533" ref="E512"/>
    <hyperlink r:id="rId1534" ref="O512"/>
    <hyperlink r:id="rId1535" ref="B513"/>
    <hyperlink r:id="rId1536" ref="E513"/>
    <hyperlink r:id="rId1537" ref="O513"/>
    <hyperlink r:id="rId1538" ref="B514"/>
    <hyperlink r:id="rId1539" ref="E514"/>
    <hyperlink r:id="rId1540" ref="O514"/>
    <hyperlink r:id="rId1541" ref="B515"/>
    <hyperlink r:id="rId1542" ref="E515"/>
    <hyperlink r:id="rId1543" ref="O515"/>
    <hyperlink r:id="rId1544" ref="B516"/>
    <hyperlink r:id="rId1545" ref="E516"/>
    <hyperlink r:id="rId1546" ref="O516"/>
    <hyperlink r:id="rId1547" ref="B517"/>
    <hyperlink r:id="rId1548" ref="E517"/>
    <hyperlink r:id="rId1549" ref="O517"/>
    <hyperlink r:id="rId1550" ref="B518"/>
    <hyperlink r:id="rId1551" ref="E518"/>
    <hyperlink r:id="rId1552" ref="O518"/>
    <hyperlink r:id="rId1553" ref="B519"/>
    <hyperlink r:id="rId1554" ref="E519"/>
    <hyperlink r:id="rId1555" ref="O519"/>
    <hyperlink r:id="rId1556" ref="B520"/>
    <hyperlink r:id="rId1557" ref="E520"/>
    <hyperlink r:id="rId1558" ref="O520"/>
    <hyperlink r:id="rId1559" ref="B521"/>
    <hyperlink r:id="rId1560" ref="E521"/>
    <hyperlink r:id="rId1561" ref="O521"/>
    <hyperlink r:id="rId1562" ref="B522"/>
    <hyperlink r:id="rId1563" ref="E522"/>
    <hyperlink r:id="rId1564" ref="O522"/>
    <hyperlink r:id="rId1565" ref="B523"/>
    <hyperlink r:id="rId1566" ref="E523"/>
    <hyperlink r:id="rId1567" ref="O523"/>
    <hyperlink r:id="rId1568" ref="B524"/>
    <hyperlink r:id="rId1569" ref="E524"/>
    <hyperlink r:id="rId1570" ref="O524"/>
    <hyperlink r:id="rId1571" ref="B525"/>
    <hyperlink r:id="rId1572" ref="E525"/>
    <hyperlink r:id="rId1573" ref="O525"/>
    <hyperlink r:id="rId1574" ref="B526"/>
    <hyperlink r:id="rId1575" ref="E526"/>
    <hyperlink r:id="rId1576" ref="O526"/>
    <hyperlink r:id="rId1577" ref="B527"/>
    <hyperlink r:id="rId1578" ref="E527"/>
    <hyperlink r:id="rId1579" ref="O527"/>
    <hyperlink r:id="rId1580" ref="B528"/>
    <hyperlink r:id="rId1581" ref="E528"/>
    <hyperlink r:id="rId1582" ref="O528"/>
    <hyperlink r:id="rId1583" ref="B529"/>
    <hyperlink r:id="rId1584" ref="E529"/>
    <hyperlink r:id="rId1585" ref="O529"/>
    <hyperlink r:id="rId1586" ref="B530"/>
    <hyperlink r:id="rId1587" ref="E530"/>
    <hyperlink r:id="rId1588" ref="O530"/>
    <hyperlink r:id="rId1589" ref="B531"/>
    <hyperlink r:id="rId1590" ref="E531"/>
    <hyperlink r:id="rId1591" ref="O531"/>
    <hyperlink r:id="rId1592" ref="B532"/>
    <hyperlink r:id="rId1593" ref="E532"/>
    <hyperlink r:id="rId1594" ref="O532"/>
    <hyperlink r:id="rId1595" ref="B533"/>
    <hyperlink r:id="rId1596" ref="E533"/>
    <hyperlink r:id="rId1597" ref="O533"/>
    <hyperlink r:id="rId1598" ref="B534"/>
    <hyperlink r:id="rId1599" ref="E534"/>
    <hyperlink r:id="rId1600" ref="O534"/>
    <hyperlink r:id="rId1601" ref="B535"/>
    <hyperlink r:id="rId1602" ref="E535"/>
    <hyperlink r:id="rId1603" ref="O535"/>
    <hyperlink r:id="rId1604" ref="B536"/>
    <hyperlink r:id="rId1605" ref="E536"/>
    <hyperlink r:id="rId1606" ref="O536"/>
    <hyperlink r:id="rId1607" ref="B537"/>
    <hyperlink r:id="rId1608" ref="E537"/>
    <hyperlink r:id="rId1609" ref="O537"/>
    <hyperlink r:id="rId1610" ref="B538"/>
    <hyperlink r:id="rId1611" ref="E538"/>
    <hyperlink r:id="rId1612" ref="O538"/>
    <hyperlink r:id="rId1613" ref="B539"/>
    <hyperlink r:id="rId1614" ref="E539"/>
    <hyperlink r:id="rId1615" ref="O539"/>
    <hyperlink r:id="rId1616" ref="B540"/>
    <hyperlink r:id="rId1617" ref="E540"/>
    <hyperlink r:id="rId1618" ref="O540"/>
    <hyperlink r:id="rId1619" ref="B541"/>
    <hyperlink r:id="rId1620" ref="E541"/>
    <hyperlink r:id="rId1621" ref="O541"/>
    <hyperlink r:id="rId1622" ref="B542"/>
    <hyperlink r:id="rId1623" ref="E542"/>
    <hyperlink r:id="rId1624" ref="O542"/>
    <hyperlink r:id="rId1625" ref="B543"/>
    <hyperlink r:id="rId1626" ref="E543"/>
    <hyperlink r:id="rId1627" ref="O543"/>
    <hyperlink r:id="rId1628" ref="B544"/>
    <hyperlink r:id="rId1629" ref="E544"/>
    <hyperlink r:id="rId1630" ref="O544"/>
    <hyperlink r:id="rId1631" ref="B545"/>
    <hyperlink r:id="rId1632" ref="E545"/>
    <hyperlink r:id="rId1633" ref="O545"/>
    <hyperlink r:id="rId1634" ref="B546"/>
    <hyperlink r:id="rId1635" ref="E546"/>
    <hyperlink r:id="rId1636" ref="O546"/>
    <hyperlink r:id="rId1637" ref="B547"/>
    <hyperlink r:id="rId1638" ref="E547"/>
    <hyperlink r:id="rId1639" ref="O547"/>
    <hyperlink r:id="rId1640" ref="B548"/>
    <hyperlink r:id="rId1641" ref="E548"/>
    <hyperlink r:id="rId1642" ref="O548"/>
    <hyperlink r:id="rId1643" ref="B549"/>
    <hyperlink r:id="rId1644" ref="E549"/>
    <hyperlink r:id="rId1645" ref="O549"/>
    <hyperlink r:id="rId1646" ref="B550"/>
    <hyperlink r:id="rId1647" ref="E550"/>
    <hyperlink r:id="rId1648" ref="O550"/>
    <hyperlink r:id="rId1649" ref="B551"/>
    <hyperlink r:id="rId1650" ref="E551"/>
    <hyperlink r:id="rId1651" ref="O551"/>
    <hyperlink r:id="rId1652" ref="B552"/>
    <hyperlink r:id="rId1653" ref="E552"/>
    <hyperlink r:id="rId1654" ref="O552"/>
    <hyperlink r:id="rId1655" ref="B553"/>
    <hyperlink r:id="rId1656" ref="E553"/>
    <hyperlink r:id="rId1657" ref="O553"/>
    <hyperlink r:id="rId1658" ref="B554"/>
    <hyperlink r:id="rId1659" ref="E554"/>
    <hyperlink r:id="rId1660" ref="O554"/>
    <hyperlink r:id="rId1661" ref="B555"/>
    <hyperlink r:id="rId1662" ref="E555"/>
    <hyperlink r:id="rId1663" ref="O555"/>
    <hyperlink r:id="rId1664" ref="B556"/>
    <hyperlink r:id="rId1665" ref="E556"/>
    <hyperlink r:id="rId1666" ref="O556"/>
    <hyperlink r:id="rId1667" ref="B557"/>
    <hyperlink r:id="rId1668" ref="E557"/>
    <hyperlink r:id="rId1669" ref="O557"/>
    <hyperlink r:id="rId1670" ref="B558"/>
    <hyperlink r:id="rId1671" ref="E558"/>
    <hyperlink r:id="rId1672" ref="O558"/>
    <hyperlink r:id="rId1673" ref="B559"/>
    <hyperlink r:id="rId1674" ref="E559"/>
    <hyperlink r:id="rId1675" ref="O559"/>
    <hyperlink r:id="rId1676" ref="B560"/>
    <hyperlink r:id="rId1677" ref="E560"/>
    <hyperlink r:id="rId1678" ref="O560"/>
    <hyperlink r:id="rId1679" ref="B561"/>
    <hyperlink r:id="rId1680" ref="E561"/>
    <hyperlink r:id="rId1681" ref="O561"/>
    <hyperlink r:id="rId1682" ref="B562"/>
    <hyperlink r:id="rId1683" ref="E562"/>
    <hyperlink r:id="rId1684" ref="O562"/>
    <hyperlink r:id="rId1685" ref="B563"/>
    <hyperlink r:id="rId1686" ref="E563"/>
    <hyperlink r:id="rId1687" ref="O563"/>
    <hyperlink r:id="rId1688" ref="B564"/>
    <hyperlink r:id="rId1689" ref="E564"/>
    <hyperlink r:id="rId1690" ref="O564"/>
    <hyperlink r:id="rId1691" ref="B565"/>
    <hyperlink r:id="rId1692" ref="E565"/>
    <hyperlink r:id="rId1693" ref="O565"/>
    <hyperlink r:id="rId1694" ref="B566"/>
    <hyperlink r:id="rId1695" ref="E566"/>
    <hyperlink r:id="rId1696" ref="O566"/>
    <hyperlink r:id="rId1697" ref="B567"/>
    <hyperlink r:id="rId1698" ref="E567"/>
    <hyperlink r:id="rId1699" ref="O567"/>
    <hyperlink r:id="rId1700" ref="B568"/>
    <hyperlink r:id="rId1701" ref="E568"/>
    <hyperlink r:id="rId1702" ref="O568"/>
    <hyperlink r:id="rId1703" ref="B569"/>
    <hyperlink r:id="rId1704" ref="E569"/>
    <hyperlink r:id="rId1705" ref="O569"/>
    <hyperlink r:id="rId1706" ref="B570"/>
    <hyperlink r:id="rId1707" ref="E570"/>
    <hyperlink r:id="rId1708" ref="O570"/>
    <hyperlink r:id="rId1709" ref="B571"/>
    <hyperlink r:id="rId1710" ref="E571"/>
    <hyperlink r:id="rId1711" ref="O571"/>
    <hyperlink r:id="rId1712" ref="B572"/>
    <hyperlink r:id="rId1713" ref="E572"/>
    <hyperlink r:id="rId1714" ref="O572"/>
    <hyperlink r:id="rId1715" ref="B573"/>
    <hyperlink r:id="rId1716" ref="E573"/>
    <hyperlink r:id="rId1717" ref="O573"/>
    <hyperlink r:id="rId1718" ref="B574"/>
    <hyperlink r:id="rId1719" ref="E574"/>
    <hyperlink r:id="rId1720" ref="O574"/>
    <hyperlink r:id="rId1721" ref="B575"/>
    <hyperlink r:id="rId1722" ref="E575"/>
    <hyperlink r:id="rId1723" ref="O575"/>
    <hyperlink r:id="rId1724" ref="B576"/>
    <hyperlink r:id="rId1725" ref="E576"/>
    <hyperlink r:id="rId1726" ref="O576"/>
    <hyperlink r:id="rId1727" ref="B577"/>
    <hyperlink r:id="rId1728" ref="E577"/>
    <hyperlink r:id="rId1729" ref="O577"/>
    <hyperlink r:id="rId1730" ref="B578"/>
    <hyperlink r:id="rId1731" ref="E578"/>
    <hyperlink r:id="rId1732" ref="O578"/>
    <hyperlink r:id="rId1733" ref="B579"/>
    <hyperlink r:id="rId1734" ref="E579"/>
    <hyperlink r:id="rId1735" ref="O579"/>
    <hyperlink r:id="rId1736" ref="B580"/>
    <hyperlink r:id="rId1737" ref="E580"/>
    <hyperlink r:id="rId1738" ref="O580"/>
    <hyperlink r:id="rId1739" ref="B581"/>
    <hyperlink r:id="rId1740" ref="E581"/>
    <hyperlink r:id="rId1741" ref="O581"/>
    <hyperlink r:id="rId1742" ref="B582"/>
    <hyperlink r:id="rId1743" ref="E582"/>
    <hyperlink r:id="rId1744" ref="O582"/>
    <hyperlink r:id="rId1745" ref="B583"/>
    <hyperlink r:id="rId1746" ref="E583"/>
    <hyperlink r:id="rId1747" ref="O583"/>
    <hyperlink r:id="rId1748" ref="B584"/>
    <hyperlink r:id="rId1749" ref="E584"/>
    <hyperlink r:id="rId1750" ref="O584"/>
    <hyperlink r:id="rId1751" ref="B585"/>
    <hyperlink r:id="rId1752" ref="E585"/>
    <hyperlink r:id="rId1753" ref="O585"/>
    <hyperlink r:id="rId1754" ref="B586"/>
    <hyperlink r:id="rId1755" ref="E586"/>
    <hyperlink r:id="rId1756" ref="O586"/>
    <hyperlink r:id="rId1757" ref="B587"/>
    <hyperlink r:id="rId1758" ref="E587"/>
    <hyperlink r:id="rId1759" ref="O587"/>
    <hyperlink r:id="rId1760" ref="B588"/>
    <hyperlink r:id="rId1761" ref="E588"/>
    <hyperlink r:id="rId1762" ref="O588"/>
    <hyperlink r:id="rId1763" ref="B589"/>
    <hyperlink r:id="rId1764" ref="E589"/>
    <hyperlink r:id="rId1765" ref="O589"/>
    <hyperlink r:id="rId1766" ref="B590"/>
    <hyperlink r:id="rId1767" ref="E590"/>
    <hyperlink r:id="rId1768" ref="O590"/>
    <hyperlink r:id="rId1769" ref="B591"/>
    <hyperlink r:id="rId1770" ref="E591"/>
    <hyperlink r:id="rId1771" ref="O591"/>
    <hyperlink r:id="rId1772" ref="B592"/>
    <hyperlink r:id="rId1773" ref="E592"/>
    <hyperlink r:id="rId1774" ref="O592"/>
    <hyperlink r:id="rId1775" ref="B593"/>
    <hyperlink r:id="rId1776" ref="E593"/>
    <hyperlink r:id="rId1777" ref="O593"/>
    <hyperlink r:id="rId1778" ref="B594"/>
    <hyperlink r:id="rId1779" ref="E594"/>
    <hyperlink r:id="rId1780" ref="O594"/>
    <hyperlink r:id="rId1781" ref="B595"/>
    <hyperlink r:id="rId1782" ref="E595"/>
    <hyperlink r:id="rId1783" ref="O595"/>
    <hyperlink r:id="rId1784" ref="B596"/>
    <hyperlink r:id="rId1785" ref="E596"/>
    <hyperlink r:id="rId1786" ref="O596"/>
    <hyperlink r:id="rId1787" ref="B597"/>
    <hyperlink r:id="rId1788" ref="E597"/>
    <hyperlink r:id="rId1789" ref="O597"/>
    <hyperlink r:id="rId1790" ref="B598"/>
    <hyperlink r:id="rId1791" ref="E598"/>
    <hyperlink r:id="rId1792" ref="O598"/>
    <hyperlink r:id="rId1793" ref="B599"/>
    <hyperlink r:id="rId1794" ref="E599"/>
    <hyperlink r:id="rId1795" ref="O599"/>
    <hyperlink r:id="rId1796" ref="B600"/>
    <hyperlink r:id="rId1797" ref="E600"/>
    <hyperlink r:id="rId1798" ref="O600"/>
    <hyperlink r:id="rId1799" ref="B601"/>
    <hyperlink r:id="rId1800" ref="E601"/>
    <hyperlink r:id="rId1801" ref="O601"/>
    <hyperlink r:id="rId1802" ref="B602"/>
    <hyperlink r:id="rId1803" ref="E602"/>
    <hyperlink r:id="rId1804" ref="O602"/>
    <hyperlink r:id="rId1805" ref="B603"/>
    <hyperlink r:id="rId1806" ref="E603"/>
    <hyperlink r:id="rId1807" ref="O603"/>
    <hyperlink r:id="rId1808" ref="B604"/>
    <hyperlink r:id="rId1809" ref="E604"/>
    <hyperlink r:id="rId1810" ref="O604"/>
    <hyperlink r:id="rId1811" ref="B605"/>
    <hyperlink r:id="rId1812" ref="E605"/>
    <hyperlink r:id="rId1813" ref="O605"/>
    <hyperlink r:id="rId1814" ref="B606"/>
    <hyperlink r:id="rId1815" ref="E606"/>
    <hyperlink r:id="rId1816" ref="O606"/>
    <hyperlink r:id="rId1817" ref="B607"/>
    <hyperlink r:id="rId1818" ref="E607"/>
    <hyperlink r:id="rId1819" ref="O607"/>
    <hyperlink r:id="rId1820" ref="B608"/>
    <hyperlink r:id="rId1821" ref="E608"/>
    <hyperlink r:id="rId1822" ref="O608"/>
    <hyperlink r:id="rId1823" ref="B609"/>
    <hyperlink r:id="rId1824" ref="E609"/>
    <hyperlink r:id="rId1825" ref="O609"/>
    <hyperlink r:id="rId1826" ref="B610"/>
    <hyperlink r:id="rId1827" ref="E610"/>
    <hyperlink r:id="rId1828" ref="O610"/>
    <hyperlink r:id="rId1829" ref="B611"/>
    <hyperlink r:id="rId1830" ref="E611"/>
    <hyperlink r:id="rId1831" ref="O611"/>
    <hyperlink r:id="rId1832" ref="B612"/>
    <hyperlink r:id="rId1833" ref="E612"/>
    <hyperlink r:id="rId1834" ref="O612"/>
    <hyperlink r:id="rId1835" ref="B613"/>
    <hyperlink r:id="rId1836" ref="E613"/>
    <hyperlink r:id="rId1837" ref="O613"/>
    <hyperlink r:id="rId1838" ref="B614"/>
    <hyperlink r:id="rId1839" ref="E614"/>
    <hyperlink r:id="rId1840" ref="O614"/>
    <hyperlink r:id="rId1841" ref="B615"/>
    <hyperlink r:id="rId1842" ref="E615"/>
    <hyperlink r:id="rId1843" ref="O615"/>
    <hyperlink r:id="rId1844" ref="B616"/>
    <hyperlink r:id="rId1845" ref="E616"/>
    <hyperlink r:id="rId1846" ref="O616"/>
    <hyperlink r:id="rId1847" ref="B617"/>
    <hyperlink r:id="rId1848" ref="E617"/>
    <hyperlink r:id="rId1849" ref="O617"/>
    <hyperlink r:id="rId1850" ref="B618"/>
    <hyperlink r:id="rId1851" ref="E618"/>
    <hyperlink r:id="rId1852" ref="O618"/>
    <hyperlink r:id="rId1853" ref="B619"/>
    <hyperlink r:id="rId1854" ref="E619"/>
    <hyperlink r:id="rId1855" ref="O619"/>
    <hyperlink r:id="rId1856" ref="B620"/>
    <hyperlink r:id="rId1857" ref="E620"/>
    <hyperlink r:id="rId1858" ref="O620"/>
    <hyperlink r:id="rId1859" ref="B621"/>
    <hyperlink r:id="rId1860" ref="E621"/>
    <hyperlink r:id="rId1861" ref="O621"/>
    <hyperlink r:id="rId1862" ref="B622"/>
    <hyperlink r:id="rId1863" ref="E622"/>
    <hyperlink r:id="rId1864" ref="O622"/>
    <hyperlink r:id="rId1865" ref="B623"/>
    <hyperlink r:id="rId1866" ref="E623"/>
    <hyperlink r:id="rId1867" ref="O623"/>
    <hyperlink r:id="rId1868" ref="B624"/>
    <hyperlink r:id="rId1869" ref="E624"/>
    <hyperlink r:id="rId1870" ref="O624"/>
    <hyperlink r:id="rId1871" ref="B625"/>
    <hyperlink r:id="rId1872" ref="E625"/>
    <hyperlink r:id="rId1873" ref="O625"/>
    <hyperlink r:id="rId1874" ref="B626"/>
    <hyperlink r:id="rId1875" ref="E626"/>
    <hyperlink r:id="rId1876" ref="O626"/>
    <hyperlink r:id="rId1877" ref="B627"/>
    <hyperlink r:id="rId1878" ref="E627"/>
    <hyperlink r:id="rId1879" ref="O627"/>
    <hyperlink r:id="rId1880" ref="B628"/>
    <hyperlink r:id="rId1881" ref="E628"/>
    <hyperlink r:id="rId1882" ref="O628"/>
    <hyperlink r:id="rId1883" ref="B629"/>
    <hyperlink r:id="rId1884" ref="E629"/>
    <hyperlink r:id="rId1885" ref="O629"/>
    <hyperlink r:id="rId1886" ref="B630"/>
    <hyperlink r:id="rId1887" ref="E630"/>
    <hyperlink r:id="rId1888" ref="O630"/>
    <hyperlink r:id="rId1889" ref="B631"/>
    <hyperlink r:id="rId1890" ref="E631"/>
    <hyperlink r:id="rId1891" ref="O631"/>
    <hyperlink r:id="rId1892" ref="B632"/>
    <hyperlink r:id="rId1893" ref="E632"/>
    <hyperlink r:id="rId1894" ref="O632"/>
    <hyperlink r:id="rId1895" ref="B633"/>
    <hyperlink r:id="rId1896" ref="E633"/>
    <hyperlink r:id="rId1897" ref="O633"/>
    <hyperlink r:id="rId1898" ref="B634"/>
    <hyperlink r:id="rId1899" ref="E634"/>
    <hyperlink r:id="rId1900" ref="O634"/>
    <hyperlink r:id="rId1901" ref="B635"/>
    <hyperlink r:id="rId1902" ref="E635"/>
    <hyperlink r:id="rId1903" ref="O635"/>
    <hyperlink r:id="rId1904" ref="B636"/>
    <hyperlink r:id="rId1905" ref="E636"/>
    <hyperlink r:id="rId1906" ref="O636"/>
    <hyperlink r:id="rId1907" ref="B637"/>
    <hyperlink r:id="rId1908" ref="E637"/>
    <hyperlink r:id="rId1909" ref="O637"/>
    <hyperlink r:id="rId1910" ref="B638"/>
    <hyperlink r:id="rId1911" ref="E638"/>
    <hyperlink r:id="rId1912" ref="O638"/>
    <hyperlink r:id="rId1913" ref="B639"/>
    <hyperlink r:id="rId1914" ref="E639"/>
    <hyperlink r:id="rId1915" ref="O639"/>
    <hyperlink r:id="rId1916" ref="B640"/>
    <hyperlink r:id="rId1917" ref="E640"/>
    <hyperlink r:id="rId1918" ref="O640"/>
    <hyperlink r:id="rId1919" ref="B641"/>
    <hyperlink r:id="rId1920" ref="E641"/>
    <hyperlink r:id="rId1921" ref="O641"/>
    <hyperlink r:id="rId1922" ref="B642"/>
    <hyperlink r:id="rId1923" ref="E642"/>
    <hyperlink r:id="rId1924" ref="O642"/>
    <hyperlink r:id="rId1925" ref="B643"/>
    <hyperlink r:id="rId1926" ref="E643"/>
    <hyperlink r:id="rId1927" ref="O643"/>
    <hyperlink r:id="rId1928" ref="B644"/>
    <hyperlink r:id="rId1929" ref="E644"/>
    <hyperlink r:id="rId1930" ref="O644"/>
    <hyperlink r:id="rId1931" ref="B645"/>
    <hyperlink r:id="rId1932" ref="E645"/>
    <hyperlink r:id="rId1933" ref="O645"/>
    <hyperlink r:id="rId1934" ref="B646"/>
    <hyperlink r:id="rId1935" ref="E646"/>
    <hyperlink r:id="rId1936" ref="O646"/>
    <hyperlink r:id="rId1937" ref="B647"/>
    <hyperlink r:id="rId1938" ref="E647"/>
    <hyperlink r:id="rId1939" ref="O647"/>
    <hyperlink r:id="rId1940" ref="B648"/>
    <hyperlink r:id="rId1941" ref="E648"/>
    <hyperlink r:id="rId1942" ref="O648"/>
    <hyperlink r:id="rId1943" ref="B649"/>
    <hyperlink r:id="rId1944" ref="E649"/>
    <hyperlink r:id="rId1945" ref="O649"/>
    <hyperlink r:id="rId1946" ref="B650"/>
    <hyperlink r:id="rId1947" ref="E650"/>
    <hyperlink r:id="rId1948" ref="O650"/>
    <hyperlink r:id="rId1949" ref="B651"/>
    <hyperlink r:id="rId1950" ref="E651"/>
    <hyperlink r:id="rId1951" ref="O651"/>
    <hyperlink r:id="rId1952" ref="B652"/>
    <hyperlink r:id="rId1953" ref="E652"/>
    <hyperlink r:id="rId1954" ref="O652"/>
    <hyperlink r:id="rId1955" ref="B653"/>
    <hyperlink r:id="rId1956" ref="E653"/>
    <hyperlink r:id="rId1957" ref="O653"/>
    <hyperlink r:id="rId1958" ref="B654"/>
    <hyperlink r:id="rId1959" ref="E654"/>
    <hyperlink r:id="rId1960" ref="O654"/>
    <hyperlink r:id="rId1961" ref="B655"/>
    <hyperlink r:id="rId1962" ref="E655"/>
    <hyperlink r:id="rId1963" ref="O655"/>
    <hyperlink r:id="rId1964" ref="B656"/>
    <hyperlink r:id="rId1965" ref="E656"/>
    <hyperlink r:id="rId1966" ref="O656"/>
    <hyperlink r:id="rId1967" ref="B657"/>
    <hyperlink r:id="rId1968" ref="E657"/>
    <hyperlink r:id="rId1969" ref="O657"/>
    <hyperlink r:id="rId1970" ref="B658"/>
    <hyperlink r:id="rId1971" ref="E658"/>
    <hyperlink r:id="rId1972" ref="O658"/>
    <hyperlink r:id="rId1973" ref="B659"/>
    <hyperlink r:id="rId1974" ref="E659"/>
    <hyperlink r:id="rId1975" ref="O659"/>
    <hyperlink r:id="rId1976" ref="B660"/>
    <hyperlink r:id="rId1977" ref="E660"/>
    <hyperlink r:id="rId1978" ref="O660"/>
    <hyperlink r:id="rId1979" ref="B661"/>
    <hyperlink r:id="rId1980" ref="E661"/>
    <hyperlink r:id="rId1981" ref="O661"/>
    <hyperlink r:id="rId1982" ref="B662"/>
    <hyperlink r:id="rId1983" ref="E662"/>
    <hyperlink r:id="rId1984" ref="O662"/>
    <hyperlink r:id="rId1985" ref="B663"/>
    <hyperlink r:id="rId1986" ref="E663"/>
    <hyperlink r:id="rId1987" ref="O663"/>
    <hyperlink r:id="rId1988" ref="B664"/>
    <hyperlink r:id="rId1989" ref="E664"/>
    <hyperlink r:id="rId1990" ref="O664"/>
    <hyperlink r:id="rId1991" ref="B665"/>
    <hyperlink r:id="rId1992" ref="E665"/>
    <hyperlink r:id="rId1993" ref="O665"/>
    <hyperlink r:id="rId1994" ref="B666"/>
    <hyperlink r:id="rId1995" ref="E666"/>
    <hyperlink r:id="rId1996" ref="O666"/>
    <hyperlink r:id="rId1997" ref="B667"/>
    <hyperlink r:id="rId1998" ref="E667"/>
    <hyperlink r:id="rId1999" ref="O667"/>
    <hyperlink r:id="rId2000" ref="B668"/>
    <hyperlink r:id="rId2001" ref="E668"/>
    <hyperlink r:id="rId2002" ref="O668"/>
    <hyperlink r:id="rId2003" ref="B669"/>
    <hyperlink r:id="rId2004" ref="E669"/>
    <hyperlink r:id="rId2005" ref="O669"/>
    <hyperlink r:id="rId2006" ref="B670"/>
    <hyperlink r:id="rId2007" ref="E670"/>
    <hyperlink r:id="rId2008" ref="O670"/>
    <hyperlink r:id="rId2009" ref="B671"/>
    <hyperlink r:id="rId2010" ref="E671"/>
    <hyperlink r:id="rId2011" ref="O671"/>
    <hyperlink r:id="rId2012" ref="B672"/>
    <hyperlink r:id="rId2013" ref="E672"/>
    <hyperlink r:id="rId2014" ref="O672"/>
    <hyperlink r:id="rId2015" ref="B673"/>
    <hyperlink r:id="rId2016" ref="E673"/>
    <hyperlink r:id="rId2017" ref="O673"/>
    <hyperlink r:id="rId2018" ref="B674"/>
    <hyperlink r:id="rId2019" ref="E674"/>
    <hyperlink r:id="rId2020" ref="O674"/>
    <hyperlink r:id="rId2021" ref="B675"/>
    <hyperlink r:id="rId2022" ref="E675"/>
    <hyperlink r:id="rId2023" ref="O675"/>
    <hyperlink r:id="rId2024" ref="B676"/>
    <hyperlink r:id="rId2025" ref="E676"/>
    <hyperlink r:id="rId2026" ref="O676"/>
    <hyperlink r:id="rId2027" ref="B677"/>
    <hyperlink r:id="rId2028" ref="E677"/>
    <hyperlink r:id="rId2029" ref="O677"/>
    <hyperlink r:id="rId2030" ref="B678"/>
    <hyperlink r:id="rId2031" ref="E678"/>
    <hyperlink r:id="rId2032" ref="O678"/>
    <hyperlink r:id="rId2033" ref="B679"/>
    <hyperlink r:id="rId2034" ref="E679"/>
    <hyperlink r:id="rId2035" ref="O679"/>
    <hyperlink r:id="rId2036" ref="B680"/>
    <hyperlink r:id="rId2037" ref="E680"/>
    <hyperlink r:id="rId2038" ref="O680"/>
    <hyperlink r:id="rId2039" ref="B681"/>
    <hyperlink r:id="rId2040" ref="E681"/>
    <hyperlink r:id="rId2041" ref="O681"/>
    <hyperlink r:id="rId2042" ref="B682"/>
    <hyperlink r:id="rId2043" ref="E682"/>
    <hyperlink r:id="rId2044" ref="O682"/>
    <hyperlink r:id="rId2045" ref="B683"/>
    <hyperlink r:id="rId2046" ref="E683"/>
    <hyperlink r:id="rId2047" ref="O683"/>
    <hyperlink r:id="rId2048" ref="B684"/>
    <hyperlink r:id="rId2049" ref="E684"/>
    <hyperlink r:id="rId2050" ref="O684"/>
    <hyperlink r:id="rId2051" ref="B685"/>
    <hyperlink r:id="rId2052" ref="E685"/>
    <hyperlink r:id="rId2053" ref="O685"/>
    <hyperlink r:id="rId2054" ref="B686"/>
    <hyperlink r:id="rId2055" ref="E686"/>
    <hyperlink r:id="rId2056" ref="O686"/>
    <hyperlink r:id="rId2057" ref="B687"/>
    <hyperlink r:id="rId2058" ref="E687"/>
    <hyperlink r:id="rId2059" ref="O687"/>
    <hyperlink r:id="rId2060" ref="B688"/>
    <hyperlink r:id="rId2061" ref="E688"/>
    <hyperlink r:id="rId2062" ref="O688"/>
    <hyperlink r:id="rId2063" ref="B689"/>
    <hyperlink r:id="rId2064" ref="E689"/>
    <hyperlink r:id="rId2065" ref="O689"/>
    <hyperlink r:id="rId2066" ref="B690"/>
    <hyperlink r:id="rId2067" ref="E690"/>
    <hyperlink r:id="rId2068" ref="O690"/>
    <hyperlink r:id="rId2069" ref="B691"/>
    <hyperlink r:id="rId2070" ref="E691"/>
    <hyperlink r:id="rId2071" ref="O691"/>
    <hyperlink r:id="rId2072" ref="B692"/>
    <hyperlink r:id="rId2073" ref="E692"/>
    <hyperlink r:id="rId2074" ref="O692"/>
    <hyperlink r:id="rId2075" ref="B693"/>
    <hyperlink r:id="rId2076" ref="E693"/>
    <hyperlink r:id="rId2077" ref="O693"/>
    <hyperlink r:id="rId2078" ref="B694"/>
    <hyperlink r:id="rId2079" ref="E694"/>
    <hyperlink r:id="rId2080" ref="O694"/>
    <hyperlink r:id="rId2081" ref="B695"/>
    <hyperlink r:id="rId2082" ref="E695"/>
    <hyperlink r:id="rId2083" ref="O695"/>
    <hyperlink r:id="rId2084" ref="B696"/>
    <hyperlink r:id="rId2085" ref="E696"/>
    <hyperlink r:id="rId2086" ref="O696"/>
    <hyperlink r:id="rId2087" ref="B697"/>
    <hyperlink r:id="rId2088" ref="E697"/>
    <hyperlink r:id="rId2089" ref="O697"/>
    <hyperlink r:id="rId2090" ref="B698"/>
    <hyperlink r:id="rId2091" ref="E698"/>
    <hyperlink r:id="rId2092" ref="O698"/>
    <hyperlink r:id="rId2093" ref="B699"/>
    <hyperlink r:id="rId2094" ref="E699"/>
    <hyperlink r:id="rId2095" ref="O699"/>
    <hyperlink r:id="rId2096" ref="B700"/>
    <hyperlink r:id="rId2097" ref="E700"/>
    <hyperlink r:id="rId2098" ref="O700"/>
    <hyperlink r:id="rId2099" ref="B701"/>
    <hyperlink r:id="rId2100" ref="E701"/>
    <hyperlink r:id="rId2101" ref="O701"/>
    <hyperlink r:id="rId2102" ref="B702"/>
    <hyperlink r:id="rId2103" ref="E702"/>
    <hyperlink r:id="rId2104" ref="O702"/>
    <hyperlink r:id="rId2105" ref="B703"/>
    <hyperlink r:id="rId2106" ref="E703"/>
    <hyperlink r:id="rId2107" ref="O703"/>
    <hyperlink r:id="rId2108" ref="B704"/>
    <hyperlink r:id="rId2109" ref="E704"/>
    <hyperlink r:id="rId2110" ref="O704"/>
    <hyperlink r:id="rId2111" ref="B705"/>
    <hyperlink r:id="rId2112" ref="E705"/>
    <hyperlink r:id="rId2113" ref="O705"/>
    <hyperlink r:id="rId2114" ref="B706"/>
    <hyperlink r:id="rId2115" ref="E706"/>
    <hyperlink r:id="rId2116" ref="O706"/>
    <hyperlink r:id="rId2117" ref="B707"/>
    <hyperlink r:id="rId2118" ref="E707"/>
    <hyperlink r:id="rId2119" ref="O707"/>
    <hyperlink r:id="rId2120" ref="B708"/>
    <hyperlink r:id="rId2121" ref="E708"/>
    <hyperlink r:id="rId2122" ref="O708"/>
    <hyperlink r:id="rId2123" ref="B709"/>
    <hyperlink r:id="rId2124" ref="E709"/>
    <hyperlink r:id="rId2125" ref="O709"/>
    <hyperlink r:id="rId2126" ref="B710"/>
    <hyperlink r:id="rId2127" ref="E710"/>
    <hyperlink r:id="rId2128" ref="O710"/>
    <hyperlink r:id="rId2129" ref="B711"/>
    <hyperlink r:id="rId2130" ref="E711"/>
    <hyperlink r:id="rId2131" ref="O711"/>
    <hyperlink r:id="rId2132" ref="B712"/>
    <hyperlink r:id="rId2133" ref="E712"/>
    <hyperlink r:id="rId2134" ref="O712"/>
    <hyperlink r:id="rId2135" ref="B713"/>
    <hyperlink r:id="rId2136" ref="E713"/>
    <hyperlink r:id="rId2137" ref="O713"/>
    <hyperlink r:id="rId2138" ref="B714"/>
    <hyperlink r:id="rId2139" ref="E714"/>
    <hyperlink r:id="rId2140" ref="O714"/>
    <hyperlink r:id="rId2141" ref="B715"/>
    <hyperlink r:id="rId2142" ref="E715"/>
    <hyperlink r:id="rId2143" ref="O715"/>
    <hyperlink r:id="rId2144" ref="B716"/>
    <hyperlink r:id="rId2145" ref="E716"/>
    <hyperlink r:id="rId2146" ref="O716"/>
    <hyperlink r:id="rId2147" ref="B717"/>
    <hyperlink r:id="rId2148" ref="E717"/>
    <hyperlink r:id="rId2149" ref="O717"/>
    <hyperlink r:id="rId2150" ref="B718"/>
    <hyperlink r:id="rId2151" ref="E718"/>
    <hyperlink r:id="rId2152" ref="O718"/>
    <hyperlink r:id="rId2153" ref="B719"/>
    <hyperlink r:id="rId2154" ref="E719"/>
    <hyperlink r:id="rId2155" ref="O719"/>
    <hyperlink r:id="rId2156" ref="B720"/>
    <hyperlink r:id="rId2157" ref="E720"/>
    <hyperlink r:id="rId2158" ref="O720"/>
    <hyperlink r:id="rId2159" ref="B721"/>
    <hyperlink r:id="rId2160" ref="E721"/>
    <hyperlink r:id="rId2161" ref="O721"/>
    <hyperlink r:id="rId2162" ref="B722"/>
    <hyperlink r:id="rId2163" ref="E722"/>
    <hyperlink r:id="rId2164" ref="O722"/>
    <hyperlink r:id="rId2165" ref="B723"/>
    <hyperlink r:id="rId2166" ref="E723"/>
    <hyperlink r:id="rId2167" ref="O723"/>
    <hyperlink r:id="rId2168" ref="B724"/>
    <hyperlink r:id="rId2169" ref="E724"/>
    <hyperlink r:id="rId2170" ref="O724"/>
    <hyperlink r:id="rId2171" ref="B725"/>
    <hyperlink r:id="rId2172" ref="E725"/>
    <hyperlink r:id="rId2173" ref="O725"/>
    <hyperlink r:id="rId2174" ref="B726"/>
    <hyperlink r:id="rId2175" ref="E726"/>
    <hyperlink r:id="rId2176" ref="O726"/>
    <hyperlink r:id="rId2177" ref="B727"/>
    <hyperlink r:id="rId2178" ref="E727"/>
    <hyperlink r:id="rId2179" ref="O727"/>
    <hyperlink r:id="rId2180" ref="B728"/>
    <hyperlink r:id="rId2181" ref="E728"/>
    <hyperlink r:id="rId2182" ref="O728"/>
    <hyperlink r:id="rId2183" ref="B729"/>
    <hyperlink r:id="rId2184" ref="E729"/>
    <hyperlink r:id="rId2185" ref="O729"/>
    <hyperlink r:id="rId2186" ref="B730"/>
    <hyperlink r:id="rId2187" ref="E730"/>
    <hyperlink r:id="rId2188" ref="O730"/>
    <hyperlink r:id="rId2189" ref="B731"/>
    <hyperlink r:id="rId2190" ref="E731"/>
    <hyperlink r:id="rId2191" ref="O731"/>
    <hyperlink r:id="rId2192" ref="B732"/>
    <hyperlink r:id="rId2193" ref="E732"/>
    <hyperlink r:id="rId2194" ref="O732"/>
    <hyperlink r:id="rId2195" ref="B733"/>
    <hyperlink r:id="rId2196" ref="E733"/>
    <hyperlink r:id="rId2197" ref="O733"/>
    <hyperlink r:id="rId2198" ref="B734"/>
    <hyperlink r:id="rId2199" ref="E734"/>
    <hyperlink r:id="rId2200" ref="O734"/>
    <hyperlink r:id="rId2201" ref="B735"/>
    <hyperlink r:id="rId2202" ref="E735"/>
    <hyperlink r:id="rId2203" ref="O735"/>
    <hyperlink r:id="rId2204" ref="B736"/>
    <hyperlink r:id="rId2205" ref="E736"/>
    <hyperlink r:id="rId2206" ref="O736"/>
    <hyperlink r:id="rId2207" ref="B737"/>
    <hyperlink r:id="rId2208" ref="E737"/>
    <hyperlink r:id="rId2209" ref="O737"/>
    <hyperlink r:id="rId2210" ref="B738"/>
    <hyperlink r:id="rId2211" ref="E738"/>
    <hyperlink r:id="rId2212" ref="O738"/>
    <hyperlink r:id="rId2213" ref="B739"/>
    <hyperlink r:id="rId2214" ref="E739"/>
    <hyperlink r:id="rId2215" ref="O739"/>
    <hyperlink r:id="rId2216" ref="B740"/>
    <hyperlink r:id="rId2217" ref="E740"/>
    <hyperlink r:id="rId2218" ref="O740"/>
    <hyperlink r:id="rId2219" ref="B741"/>
    <hyperlink r:id="rId2220" ref="E741"/>
    <hyperlink r:id="rId2221" ref="O741"/>
    <hyperlink r:id="rId2222" ref="B742"/>
    <hyperlink r:id="rId2223" ref="E742"/>
    <hyperlink r:id="rId2224" ref="O742"/>
    <hyperlink r:id="rId2225" ref="B743"/>
    <hyperlink r:id="rId2226" ref="E743"/>
    <hyperlink r:id="rId2227" ref="O743"/>
    <hyperlink r:id="rId2228" ref="B744"/>
    <hyperlink r:id="rId2229" ref="E744"/>
    <hyperlink r:id="rId2230" ref="O744"/>
    <hyperlink r:id="rId2231" ref="B745"/>
    <hyperlink r:id="rId2232" ref="E745"/>
    <hyperlink r:id="rId2233" ref="O745"/>
    <hyperlink r:id="rId2234" ref="B746"/>
    <hyperlink r:id="rId2235" ref="E746"/>
    <hyperlink r:id="rId2236" ref="O746"/>
    <hyperlink r:id="rId2237" ref="B747"/>
    <hyperlink r:id="rId2238" ref="E747"/>
    <hyperlink r:id="rId2239" ref="O747"/>
    <hyperlink r:id="rId2240" ref="B748"/>
    <hyperlink r:id="rId2241" ref="C748"/>
    <hyperlink r:id="rId2242" ref="E748"/>
    <hyperlink r:id="rId2243" ref="O748"/>
    <hyperlink r:id="rId2244" ref="B749"/>
    <hyperlink r:id="rId2245" ref="E749"/>
    <hyperlink r:id="rId2246" ref="O749"/>
    <hyperlink r:id="rId2247" ref="B750"/>
    <hyperlink r:id="rId2248" ref="E750"/>
    <hyperlink r:id="rId2249" ref="O750"/>
    <hyperlink r:id="rId2250" ref="B751"/>
    <hyperlink r:id="rId2251" ref="E751"/>
    <hyperlink r:id="rId2252" ref="O751"/>
    <hyperlink r:id="rId2253" ref="B752"/>
    <hyperlink r:id="rId2254" ref="E752"/>
    <hyperlink r:id="rId2255" ref="O752"/>
    <hyperlink r:id="rId2256" ref="B753"/>
    <hyperlink r:id="rId2257" ref="E753"/>
    <hyperlink r:id="rId2258" ref="O753"/>
    <hyperlink r:id="rId2259" ref="B754"/>
    <hyperlink r:id="rId2260" ref="E754"/>
    <hyperlink r:id="rId2261" ref="O754"/>
    <hyperlink r:id="rId2262" ref="B755"/>
    <hyperlink r:id="rId2263" ref="E755"/>
    <hyperlink r:id="rId2264" ref="O755"/>
    <hyperlink r:id="rId2265" ref="B756"/>
    <hyperlink r:id="rId2266" ref="E756"/>
    <hyperlink r:id="rId2267" ref="O756"/>
    <hyperlink r:id="rId2268" ref="B757"/>
    <hyperlink r:id="rId2269" ref="E757"/>
    <hyperlink r:id="rId2270" ref="O757"/>
    <hyperlink r:id="rId2271" ref="B758"/>
    <hyperlink r:id="rId2272" ref="E758"/>
    <hyperlink r:id="rId2273" ref="O758"/>
    <hyperlink r:id="rId2274" ref="B759"/>
    <hyperlink r:id="rId2275" ref="E759"/>
    <hyperlink r:id="rId2276" ref="O759"/>
    <hyperlink r:id="rId2277" ref="B760"/>
    <hyperlink r:id="rId2278" ref="E760"/>
    <hyperlink r:id="rId2279" ref="O760"/>
    <hyperlink r:id="rId2280" ref="B761"/>
    <hyperlink r:id="rId2281" ref="E761"/>
    <hyperlink r:id="rId2282" ref="O761"/>
    <hyperlink r:id="rId2283" ref="B762"/>
    <hyperlink r:id="rId2284" ref="E762"/>
    <hyperlink r:id="rId2285" ref="O762"/>
    <hyperlink r:id="rId2286" ref="B763"/>
    <hyperlink r:id="rId2287" ref="E763"/>
    <hyperlink r:id="rId2288" ref="O763"/>
    <hyperlink r:id="rId2289" ref="B764"/>
    <hyperlink r:id="rId2290" ref="E764"/>
    <hyperlink r:id="rId2291" ref="O764"/>
    <hyperlink r:id="rId2292" ref="B765"/>
    <hyperlink r:id="rId2293" ref="E765"/>
    <hyperlink r:id="rId2294" ref="O765"/>
    <hyperlink r:id="rId2295" ref="B766"/>
    <hyperlink r:id="rId2296" ref="E766"/>
    <hyperlink r:id="rId2297" ref="O766"/>
    <hyperlink r:id="rId2298" ref="B767"/>
    <hyperlink r:id="rId2299" ref="E767"/>
    <hyperlink r:id="rId2300" ref="O767"/>
    <hyperlink r:id="rId2301" ref="B768"/>
    <hyperlink r:id="rId2302" ref="E768"/>
    <hyperlink r:id="rId2303" ref="O768"/>
    <hyperlink r:id="rId2304" ref="B769"/>
    <hyperlink r:id="rId2305" ref="E769"/>
    <hyperlink r:id="rId2306" ref="O769"/>
    <hyperlink r:id="rId2307" ref="B770"/>
    <hyperlink r:id="rId2308" ref="E770"/>
    <hyperlink r:id="rId2309" ref="O770"/>
    <hyperlink r:id="rId2310" ref="B771"/>
    <hyperlink r:id="rId2311" ref="E771"/>
    <hyperlink r:id="rId2312" ref="O771"/>
    <hyperlink r:id="rId2313" ref="B772"/>
    <hyperlink r:id="rId2314" ref="E772"/>
    <hyperlink r:id="rId2315" ref="O772"/>
    <hyperlink r:id="rId2316" ref="B773"/>
    <hyperlink r:id="rId2317" ref="E773"/>
    <hyperlink r:id="rId2318" ref="O773"/>
    <hyperlink r:id="rId2319" ref="B774"/>
    <hyperlink r:id="rId2320" ref="E774"/>
    <hyperlink r:id="rId2321" ref="O774"/>
    <hyperlink r:id="rId2322" ref="B775"/>
    <hyperlink r:id="rId2323" ref="E775"/>
    <hyperlink r:id="rId2324" ref="O775"/>
    <hyperlink r:id="rId2325" ref="B776"/>
    <hyperlink r:id="rId2326" ref="E776"/>
    <hyperlink r:id="rId2327" ref="O776"/>
    <hyperlink r:id="rId2328" ref="B777"/>
    <hyperlink r:id="rId2329" ref="E777"/>
    <hyperlink r:id="rId2330" ref="O777"/>
    <hyperlink r:id="rId2331" ref="B778"/>
    <hyperlink r:id="rId2332" ref="E778"/>
    <hyperlink r:id="rId2333" ref="O778"/>
    <hyperlink r:id="rId2334" ref="B779"/>
    <hyperlink r:id="rId2335" ref="E779"/>
    <hyperlink r:id="rId2336" ref="O779"/>
    <hyperlink r:id="rId2337" ref="B780"/>
    <hyperlink r:id="rId2338" ref="E780"/>
    <hyperlink r:id="rId2339" ref="O780"/>
    <hyperlink r:id="rId2340" ref="B781"/>
    <hyperlink r:id="rId2341" ref="E781"/>
    <hyperlink r:id="rId2342" ref="O781"/>
    <hyperlink r:id="rId2343" ref="B782"/>
    <hyperlink r:id="rId2344" ref="E782"/>
    <hyperlink r:id="rId2345" ref="O782"/>
    <hyperlink r:id="rId2346" ref="B783"/>
    <hyperlink r:id="rId2347" ref="E783"/>
    <hyperlink r:id="rId2348" ref="O783"/>
    <hyperlink r:id="rId2349" ref="B784"/>
    <hyperlink r:id="rId2350" ref="E784"/>
    <hyperlink r:id="rId2351" ref="O784"/>
    <hyperlink r:id="rId2352" ref="B785"/>
    <hyperlink r:id="rId2353" ref="E785"/>
    <hyperlink r:id="rId2354" ref="O785"/>
    <hyperlink r:id="rId2355" ref="B786"/>
    <hyperlink r:id="rId2356" ref="E786"/>
    <hyperlink r:id="rId2357" ref="O786"/>
    <hyperlink r:id="rId2358" ref="B787"/>
    <hyperlink r:id="rId2359" ref="E787"/>
    <hyperlink r:id="rId2360" ref="O787"/>
    <hyperlink r:id="rId2361" ref="B788"/>
    <hyperlink r:id="rId2362" ref="E788"/>
    <hyperlink r:id="rId2363" ref="O788"/>
    <hyperlink r:id="rId2364" ref="B789"/>
    <hyperlink r:id="rId2365" ref="E789"/>
    <hyperlink r:id="rId2366" ref="O789"/>
    <hyperlink r:id="rId2367" ref="B790"/>
    <hyperlink r:id="rId2368" ref="E790"/>
    <hyperlink r:id="rId2369" ref="O790"/>
    <hyperlink r:id="rId2370" ref="B791"/>
    <hyperlink r:id="rId2371" ref="E791"/>
    <hyperlink r:id="rId2372" ref="O791"/>
    <hyperlink r:id="rId2373" ref="B792"/>
    <hyperlink r:id="rId2374" ref="E792"/>
    <hyperlink r:id="rId2375" ref="O792"/>
    <hyperlink r:id="rId2376" ref="B793"/>
    <hyperlink r:id="rId2377" ref="E793"/>
    <hyperlink r:id="rId2378" ref="O793"/>
    <hyperlink r:id="rId2379" ref="B794"/>
    <hyperlink r:id="rId2380" ref="E794"/>
    <hyperlink r:id="rId2381" ref="O794"/>
    <hyperlink r:id="rId2382" ref="B795"/>
    <hyperlink r:id="rId2383" ref="E795"/>
    <hyperlink r:id="rId2384" ref="O795"/>
    <hyperlink r:id="rId2385" ref="B796"/>
    <hyperlink r:id="rId2386" ref="E796"/>
    <hyperlink r:id="rId2387" ref="O796"/>
    <hyperlink r:id="rId2388" ref="B797"/>
    <hyperlink r:id="rId2389" ref="E797"/>
    <hyperlink r:id="rId2390" ref="O797"/>
    <hyperlink r:id="rId2391" ref="B798"/>
    <hyperlink r:id="rId2392" ref="E798"/>
    <hyperlink r:id="rId2393" ref="O798"/>
    <hyperlink r:id="rId2394" ref="B799"/>
    <hyperlink r:id="rId2395" ref="E799"/>
    <hyperlink r:id="rId2396" ref="O799"/>
    <hyperlink r:id="rId2397" ref="B800"/>
    <hyperlink r:id="rId2398" ref="E800"/>
    <hyperlink r:id="rId2399" ref="O800"/>
    <hyperlink r:id="rId2400" ref="B801"/>
    <hyperlink r:id="rId2401" ref="E801"/>
    <hyperlink r:id="rId2402" ref="O801"/>
    <hyperlink r:id="rId2403" ref="B802"/>
    <hyperlink r:id="rId2404" ref="E802"/>
    <hyperlink r:id="rId2405" ref="O802"/>
    <hyperlink r:id="rId2406" ref="B803"/>
    <hyperlink r:id="rId2407" ref="E803"/>
    <hyperlink r:id="rId2408" ref="O803"/>
    <hyperlink r:id="rId2409" ref="B804"/>
    <hyperlink r:id="rId2410" ref="E804"/>
    <hyperlink r:id="rId2411" ref="O804"/>
    <hyperlink r:id="rId2412" ref="B805"/>
    <hyperlink r:id="rId2413" ref="E805"/>
    <hyperlink r:id="rId2414" ref="O805"/>
    <hyperlink r:id="rId2415" ref="B806"/>
    <hyperlink r:id="rId2416" ref="E806"/>
    <hyperlink r:id="rId2417" ref="O806"/>
    <hyperlink r:id="rId2418" ref="B807"/>
    <hyperlink r:id="rId2419" ref="E807"/>
    <hyperlink r:id="rId2420" ref="O807"/>
    <hyperlink r:id="rId2421" ref="B808"/>
    <hyperlink r:id="rId2422" ref="E808"/>
    <hyperlink r:id="rId2423" ref="O808"/>
    <hyperlink r:id="rId2424" ref="B809"/>
    <hyperlink r:id="rId2425" ref="E809"/>
    <hyperlink r:id="rId2426" ref="O809"/>
    <hyperlink r:id="rId2427" ref="B810"/>
    <hyperlink r:id="rId2428" ref="E810"/>
    <hyperlink r:id="rId2429" ref="O810"/>
    <hyperlink r:id="rId2430" ref="B811"/>
    <hyperlink r:id="rId2431" ref="E811"/>
    <hyperlink r:id="rId2432" ref="O811"/>
    <hyperlink r:id="rId2433" ref="B812"/>
    <hyperlink r:id="rId2434" ref="E812"/>
    <hyperlink r:id="rId2435" ref="O812"/>
    <hyperlink r:id="rId2436" ref="B813"/>
    <hyperlink r:id="rId2437" ref="E813"/>
    <hyperlink r:id="rId2438" ref="O813"/>
    <hyperlink r:id="rId2439" ref="B814"/>
    <hyperlink r:id="rId2440" ref="E814"/>
    <hyperlink r:id="rId2441" ref="O814"/>
    <hyperlink r:id="rId2442" ref="B815"/>
    <hyperlink r:id="rId2443" ref="E815"/>
    <hyperlink r:id="rId2444" ref="O815"/>
    <hyperlink r:id="rId2445" ref="B816"/>
    <hyperlink r:id="rId2446" ref="E816"/>
    <hyperlink r:id="rId2447" ref="O816"/>
    <hyperlink r:id="rId2448" ref="B817"/>
    <hyperlink r:id="rId2449" ref="E817"/>
    <hyperlink r:id="rId2450" ref="O817"/>
    <hyperlink r:id="rId2451" ref="B818"/>
    <hyperlink r:id="rId2452" ref="E818"/>
    <hyperlink r:id="rId2453" ref="O818"/>
    <hyperlink r:id="rId2454" ref="B819"/>
    <hyperlink r:id="rId2455" ref="E819"/>
    <hyperlink r:id="rId2456" ref="O819"/>
    <hyperlink r:id="rId2457" ref="B820"/>
    <hyperlink r:id="rId2458" ref="E820"/>
    <hyperlink r:id="rId2459" ref="O820"/>
    <hyperlink r:id="rId2460" ref="B821"/>
    <hyperlink r:id="rId2461" ref="E821"/>
    <hyperlink r:id="rId2462" ref="O821"/>
    <hyperlink r:id="rId2463" ref="B822"/>
    <hyperlink r:id="rId2464" ref="E822"/>
    <hyperlink r:id="rId2465" ref="O822"/>
    <hyperlink r:id="rId2466" ref="B823"/>
    <hyperlink r:id="rId2467" ref="E823"/>
    <hyperlink r:id="rId2468" ref="O823"/>
    <hyperlink r:id="rId2469" ref="B824"/>
    <hyperlink r:id="rId2470" ref="E824"/>
    <hyperlink r:id="rId2471" ref="O824"/>
    <hyperlink r:id="rId2472" ref="B825"/>
    <hyperlink r:id="rId2473" ref="E825"/>
    <hyperlink r:id="rId2474" ref="O825"/>
    <hyperlink r:id="rId2475" ref="B826"/>
    <hyperlink r:id="rId2476" ref="E826"/>
    <hyperlink r:id="rId2477" ref="O826"/>
    <hyperlink r:id="rId2478" ref="B827"/>
    <hyperlink r:id="rId2479" ref="E827"/>
    <hyperlink r:id="rId2480" ref="O827"/>
    <hyperlink r:id="rId2481" ref="B828"/>
    <hyperlink r:id="rId2482" ref="E828"/>
    <hyperlink r:id="rId2483" ref="O828"/>
    <hyperlink r:id="rId2484" ref="B829"/>
    <hyperlink r:id="rId2485" ref="E829"/>
    <hyperlink r:id="rId2486" ref="O829"/>
    <hyperlink r:id="rId2487" ref="B830"/>
    <hyperlink r:id="rId2488" ref="E830"/>
    <hyperlink r:id="rId2489" ref="O830"/>
    <hyperlink r:id="rId2490" ref="B831"/>
    <hyperlink r:id="rId2491" ref="E831"/>
    <hyperlink r:id="rId2492" ref="O831"/>
    <hyperlink r:id="rId2493" ref="B832"/>
    <hyperlink r:id="rId2494" ref="E832"/>
    <hyperlink r:id="rId2495" ref="O832"/>
    <hyperlink r:id="rId2496" ref="B833"/>
    <hyperlink r:id="rId2497" ref="E833"/>
    <hyperlink r:id="rId2498" ref="O833"/>
    <hyperlink r:id="rId2499" ref="B834"/>
    <hyperlink r:id="rId2500" ref="E834"/>
    <hyperlink r:id="rId2501" ref="O834"/>
    <hyperlink r:id="rId2502" ref="B835"/>
    <hyperlink r:id="rId2503" ref="E835"/>
    <hyperlink r:id="rId2504" ref="O835"/>
    <hyperlink r:id="rId2505" ref="B836"/>
    <hyperlink r:id="rId2506" ref="E836"/>
    <hyperlink r:id="rId2507" ref="O836"/>
    <hyperlink r:id="rId2508" ref="B837"/>
    <hyperlink r:id="rId2509" ref="E837"/>
    <hyperlink r:id="rId2510" ref="O837"/>
    <hyperlink r:id="rId2511" ref="B838"/>
    <hyperlink r:id="rId2512" ref="E838"/>
    <hyperlink r:id="rId2513" ref="O838"/>
    <hyperlink r:id="rId2514" ref="B839"/>
    <hyperlink r:id="rId2515" ref="E839"/>
    <hyperlink r:id="rId2516" ref="O839"/>
    <hyperlink r:id="rId2517" ref="B840"/>
    <hyperlink r:id="rId2518" ref="E840"/>
    <hyperlink r:id="rId2519" ref="O840"/>
    <hyperlink r:id="rId2520" ref="B841"/>
    <hyperlink r:id="rId2521" ref="E841"/>
    <hyperlink r:id="rId2522" ref="O841"/>
    <hyperlink r:id="rId2523" ref="B842"/>
    <hyperlink r:id="rId2524" ref="E842"/>
    <hyperlink r:id="rId2525" ref="O842"/>
    <hyperlink r:id="rId2526" ref="B843"/>
    <hyperlink r:id="rId2527" ref="E843"/>
    <hyperlink r:id="rId2528" ref="O843"/>
    <hyperlink r:id="rId2529" ref="B844"/>
    <hyperlink r:id="rId2530" ref="E844"/>
    <hyperlink r:id="rId2531" ref="O844"/>
    <hyperlink r:id="rId2532" ref="B845"/>
    <hyperlink r:id="rId2533" ref="E845"/>
    <hyperlink r:id="rId2534" ref="O845"/>
    <hyperlink r:id="rId2535" ref="B846"/>
    <hyperlink r:id="rId2536" ref="E846"/>
    <hyperlink r:id="rId2537" ref="O846"/>
    <hyperlink r:id="rId2538" ref="B847"/>
    <hyperlink r:id="rId2539" ref="E847"/>
    <hyperlink r:id="rId2540" ref="O847"/>
    <hyperlink r:id="rId2541" ref="B848"/>
    <hyperlink r:id="rId2542" ref="E848"/>
    <hyperlink r:id="rId2543" ref="O848"/>
    <hyperlink r:id="rId2544" ref="B849"/>
    <hyperlink r:id="rId2545" ref="E849"/>
    <hyperlink r:id="rId2546" ref="O849"/>
    <hyperlink r:id="rId2547" ref="B850"/>
    <hyperlink r:id="rId2548" ref="E850"/>
    <hyperlink r:id="rId2549" ref="O850"/>
    <hyperlink r:id="rId2550" ref="B851"/>
    <hyperlink r:id="rId2551" ref="E851"/>
    <hyperlink r:id="rId2552" ref="O851"/>
    <hyperlink r:id="rId2553" ref="B852"/>
    <hyperlink r:id="rId2554" ref="E852"/>
    <hyperlink r:id="rId2555" ref="O852"/>
    <hyperlink r:id="rId2556" ref="B853"/>
    <hyperlink r:id="rId2557" ref="E853"/>
    <hyperlink r:id="rId2558" ref="O853"/>
    <hyperlink r:id="rId2559" ref="B854"/>
    <hyperlink r:id="rId2560" ref="E854"/>
    <hyperlink r:id="rId2561" ref="O854"/>
    <hyperlink r:id="rId2562" ref="B855"/>
    <hyperlink r:id="rId2563" ref="E855"/>
    <hyperlink r:id="rId2564" ref="O855"/>
    <hyperlink r:id="rId2565" ref="B856"/>
    <hyperlink r:id="rId2566" ref="E856"/>
    <hyperlink r:id="rId2567" ref="O856"/>
    <hyperlink r:id="rId2568" ref="B857"/>
    <hyperlink r:id="rId2569" ref="E857"/>
    <hyperlink r:id="rId2570" ref="O857"/>
    <hyperlink r:id="rId2571" ref="B858"/>
    <hyperlink r:id="rId2572" ref="E858"/>
    <hyperlink r:id="rId2573" ref="O858"/>
    <hyperlink r:id="rId2574" ref="B859"/>
    <hyperlink r:id="rId2575" ref="E859"/>
    <hyperlink r:id="rId2576" ref="O859"/>
    <hyperlink r:id="rId2577" ref="B860"/>
    <hyperlink r:id="rId2578" ref="E860"/>
    <hyperlink r:id="rId2579" ref="O860"/>
    <hyperlink r:id="rId2580" ref="B861"/>
    <hyperlink r:id="rId2581" ref="E861"/>
    <hyperlink r:id="rId2582" ref="O861"/>
    <hyperlink r:id="rId2583" ref="B862"/>
    <hyperlink r:id="rId2584" ref="E862"/>
    <hyperlink r:id="rId2585" ref="O862"/>
    <hyperlink r:id="rId2586" ref="B863"/>
    <hyperlink r:id="rId2587" ref="E863"/>
    <hyperlink r:id="rId2588" ref="O863"/>
    <hyperlink r:id="rId2589" ref="B864"/>
    <hyperlink r:id="rId2590" ref="E864"/>
    <hyperlink r:id="rId2591" ref="O864"/>
    <hyperlink r:id="rId2592" ref="B865"/>
    <hyperlink r:id="rId2593" ref="E865"/>
    <hyperlink r:id="rId2594" ref="O865"/>
    <hyperlink r:id="rId2595" ref="B866"/>
    <hyperlink r:id="rId2596" ref="E866"/>
    <hyperlink r:id="rId2597" ref="O866"/>
    <hyperlink r:id="rId2598" ref="B867"/>
    <hyperlink r:id="rId2599" ref="E867"/>
    <hyperlink r:id="rId2600" ref="O867"/>
    <hyperlink r:id="rId2601" ref="B868"/>
    <hyperlink r:id="rId2602" ref="E868"/>
    <hyperlink r:id="rId2603" ref="O868"/>
    <hyperlink r:id="rId2604" ref="B869"/>
    <hyperlink r:id="rId2605" ref="E869"/>
    <hyperlink r:id="rId2606" ref="O869"/>
    <hyperlink r:id="rId2607" ref="B870"/>
    <hyperlink r:id="rId2608" ref="E870"/>
    <hyperlink r:id="rId2609" ref="O870"/>
    <hyperlink r:id="rId2610" ref="B871"/>
    <hyperlink r:id="rId2611" ref="E871"/>
    <hyperlink r:id="rId2612" ref="O871"/>
    <hyperlink r:id="rId2613" ref="B872"/>
    <hyperlink r:id="rId2614" ref="E872"/>
    <hyperlink r:id="rId2615" ref="O872"/>
    <hyperlink r:id="rId2616" ref="B873"/>
    <hyperlink r:id="rId2617" ref="E873"/>
    <hyperlink r:id="rId2618" ref="O873"/>
    <hyperlink r:id="rId2619" ref="B874"/>
    <hyperlink r:id="rId2620" ref="E874"/>
    <hyperlink r:id="rId2621" ref="O874"/>
    <hyperlink r:id="rId2622" ref="B875"/>
    <hyperlink r:id="rId2623" ref="E875"/>
    <hyperlink r:id="rId2624" ref="O875"/>
    <hyperlink r:id="rId2625" ref="B876"/>
    <hyperlink r:id="rId2626" ref="E876"/>
    <hyperlink r:id="rId2627" ref="O876"/>
    <hyperlink r:id="rId2628" ref="B877"/>
    <hyperlink r:id="rId2629" ref="E877"/>
    <hyperlink r:id="rId2630" ref="O877"/>
    <hyperlink r:id="rId2631" ref="B878"/>
    <hyperlink r:id="rId2632" ref="E878"/>
    <hyperlink r:id="rId2633" ref="O878"/>
    <hyperlink r:id="rId2634" ref="B879"/>
    <hyperlink r:id="rId2635" ref="E879"/>
    <hyperlink r:id="rId2636" ref="O879"/>
    <hyperlink r:id="rId2637" ref="B880"/>
    <hyperlink r:id="rId2638" ref="E880"/>
    <hyperlink r:id="rId2639" ref="O880"/>
    <hyperlink r:id="rId2640" ref="B881"/>
    <hyperlink r:id="rId2641" ref="E881"/>
    <hyperlink r:id="rId2642" ref="O881"/>
    <hyperlink r:id="rId2643" ref="B882"/>
    <hyperlink r:id="rId2644" ref="E882"/>
    <hyperlink r:id="rId2645" ref="O882"/>
    <hyperlink r:id="rId2646" ref="B883"/>
    <hyperlink r:id="rId2647" ref="E883"/>
    <hyperlink r:id="rId2648" ref="O883"/>
    <hyperlink r:id="rId2649" ref="B884"/>
    <hyperlink r:id="rId2650" ref="E884"/>
    <hyperlink r:id="rId2651" ref="O884"/>
    <hyperlink r:id="rId2652" ref="B885"/>
    <hyperlink r:id="rId2653" ref="E885"/>
    <hyperlink r:id="rId2654" ref="O885"/>
    <hyperlink r:id="rId2655" ref="B886"/>
    <hyperlink r:id="rId2656" ref="E886"/>
    <hyperlink r:id="rId2657" ref="O886"/>
    <hyperlink r:id="rId2658" ref="B887"/>
    <hyperlink r:id="rId2659" ref="E887"/>
    <hyperlink r:id="rId2660" ref="O887"/>
    <hyperlink r:id="rId2661" ref="B888"/>
    <hyperlink r:id="rId2662" ref="E888"/>
    <hyperlink r:id="rId2663" ref="O888"/>
    <hyperlink r:id="rId2664" ref="B889"/>
    <hyperlink r:id="rId2665" ref="E889"/>
    <hyperlink r:id="rId2666" ref="O889"/>
    <hyperlink r:id="rId2667" ref="B890"/>
    <hyperlink r:id="rId2668" ref="E890"/>
    <hyperlink r:id="rId2669" ref="O890"/>
    <hyperlink r:id="rId2670" ref="B891"/>
    <hyperlink r:id="rId2671" ref="E891"/>
    <hyperlink r:id="rId2672" ref="O891"/>
    <hyperlink r:id="rId2673" ref="B892"/>
    <hyperlink r:id="rId2674" ref="E892"/>
    <hyperlink r:id="rId2675" ref="O892"/>
    <hyperlink r:id="rId2676" ref="B893"/>
    <hyperlink r:id="rId2677" ref="E893"/>
    <hyperlink r:id="rId2678" ref="O893"/>
    <hyperlink r:id="rId2679" ref="B894"/>
    <hyperlink r:id="rId2680" ref="E894"/>
    <hyperlink r:id="rId2681" ref="O894"/>
    <hyperlink r:id="rId2682" ref="B895"/>
    <hyperlink r:id="rId2683" ref="E895"/>
    <hyperlink r:id="rId2684" ref="O895"/>
    <hyperlink r:id="rId2685" ref="B896"/>
    <hyperlink r:id="rId2686" ref="E896"/>
    <hyperlink r:id="rId2687" ref="O896"/>
    <hyperlink r:id="rId2688" ref="B897"/>
    <hyperlink r:id="rId2689" ref="E897"/>
    <hyperlink r:id="rId2690" ref="O897"/>
    <hyperlink r:id="rId2691" ref="B898"/>
    <hyperlink r:id="rId2692" ref="E898"/>
    <hyperlink r:id="rId2693" ref="O898"/>
    <hyperlink r:id="rId2694" ref="B899"/>
    <hyperlink r:id="rId2695" ref="E899"/>
    <hyperlink r:id="rId2696" ref="O899"/>
    <hyperlink r:id="rId2697" ref="B900"/>
    <hyperlink r:id="rId2698" ref="E900"/>
    <hyperlink r:id="rId2699" ref="O900"/>
    <hyperlink r:id="rId2700" ref="B901"/>
    <hyperlink r:id="rId2701" ref="E901"/>
    <hyperlink r:id="rId2702" ref="O901"/>
    <hyperlink r:id="rId2703" ref="B902"/>
    <hyperlink r:id="rId2704" ref="E902"/>
    <hyperlink r:id="rId2705" ref="O902"/>
    <hyperlink r:id="rId2706" ref="B903"/>
    <hyperlink r:id="rId2707" ref="E903"/>
    <hyperlink r:id="rId2708" ref="O903"/>
    <hyperlink r:id="rId2709" ref="B904"/>
    <hyperlink r:id="rId2710" ref="E904"/>
    <hyperlink r:id="rId2711" ref="O904"/>
    <hyperlink r:id="rId2712" ref="B905"/>
    <hyperlink r:id="rId2713" ref="E905"/>
    <hyperlink r:id="rId2714" ref="O905"/>
    <hyperlink r:id="rId2715" ref="B906"/>
    <hyperlink r:id="rId2716" ref="E906"/>
    <hyperlink r:id="rId2717" ref="O906"/>
    <hyperlink r:id="rId2718" ref="B907"/>
    <hyperlink r:id="rId2719" ref="E907"/>
    <hyperlink r:id="rId2720" ref="O907"/>
    <hyperlink r:id="rId2721" ref="B908"/>
    <hyperlink r:id="rId2722" ref="E908"/>
    <hyperlink r:id="rId2723" ref="O908"/>
    <hyperlink r:id="rId2724" ref="B909"/>
    <hyperlink r:id="rId2725" ref="E909"/>
    <hyperlink r:id="rId2726" ref="O909"/>
    <hyperlink r:id="rId2727" ref="B910"/>
    <hyperlink r:id="rId2728" ref="E910"/>
    <hyperlink r:id="rId2729" ref="O910"/>
    <hyperlink r:id="rId2730" ref="B911"/>
    <hyperlink r:id="rId2731" ref="E911"/>
    <hyperlink r:id="rId2732" ref="O911"/>
    <hyperlink r:id="rId2733" ref="B912"/>
    <hyperlink r:id="rId2734" ref="E912"/>
    <hyperlink r:id="rId2735" ref="O912"/>
    <hyperlink r:id="rId2736" ref="B913"/>
    <hyperlink r:id="rId2737" ref="E913"/>
    <hyperlink r:id="rId2738" ref="O913"/>
    <hyperlink r:id="rId2739" ref="B914"/>
    <hyperlink r:id="rId2740" ref="E914"/>
    <hyperlink r:id="rId2741" ref="O914"/>
    <hyperlink r:id="rId2742" ref="B915"/>
    <hyperlink r:id="rId2743" ref="E915"/>
    <hyperlink r:id="rId2744" ref="O915"/>
    <hyperlink r:id="rId2745" ref="B916"/>
    <hyperlink r:id="rId2746" ref="E916"/>
    <hyperlink r:id="rId2747" ref="N916"/>
    <hyperlink r:id="rId2748" ref="O916"/>
    <hyperlink r:id="rId2749" ref="B917"/>
    <hyperlink r:id="rId2750" ref="E917"/>
    <hyperlink r:id="rId2751" ref="O917"/>
    <hyperlink r:id="rId2752" ref="B918"/>
    <hyperlink r:id="rId2753" ref="E918"/>
    <hyperlink r:id="rId2754" ref="O918"/>
    <hyperlink r:id="rId2755" ref="B919"/>
    <hyperlink r:id="rId2756" ref="E919"/>
    <hyperlink r:id="rId2757" ref="O919"/>
    <hyperlink r:id="rId2758" ref="B920"/>
    <hyperlink r:id="rId2759" ref="E920"/>
    <hyperlink r:id="rId2760" ref="O920"/>
    <hyperlink r:id="rId2761" ref="B921"/>
    <hyperlink r:id="rId2762" ref="E921"/>
    <hyperlink r:id="rId2763" ref="O921"/>
    <hyperlink r:id="rId2764" ref="B922"/>
    <hyperlink r:id="rId2765" ref="E922"/>
    <hyperlink r:id="rId2766" ref="O922"/>
    <hyperlink r:id="rId2767" ref="B923"/>
    <hyperlink r:id="rId2768" ref="E923"/>
    <hyperlink r:id="rId2769" ref="O923"/>
    <hyperlink r:id="rId2770" ref="B924"/>
    <hyperlink r:id="rId2771" ref="E924"/>
    <hyperlink r:id="rId2772" ref="O924"/>
    <hyperlink r:id="rId2773" ref="B925"/>
    <hyperlink r:id="rId2774" ref="E925"/>
    <hyperlink r:id="rId2775" ref="O925"/>
    <hyperlink r:id="rId2776" ref="B926"/>
    <hyperlink r:id="rId2777" ref="E926"/>
    <hyperlink r:id="rId2778" ref="O926"/>
    <hyperlink r:id="rId2779" ref="B927"/>
    <hyperlink r:id="rId2780" ref="E927"/>
    <hyperlink r:id="rId2781" ref="O927"/>
    <hyperlink r:id="rId2782" ref="B928"/>
    <hyperlink r:id="rId2783" ref="E928"/>
    <hyperlink r:id="rId2784" ref="O928"/>
    <hyperlink r:id="rId2785" ref="B929"/>
    <hyperlink r:id="rId2786" ref="E929"/>
    <hyperlink r:id="rId2787" ref="O929"/>
    <hyperlink r:id="rId2788" ref="B930"/>
    <hyperlink r:id="rId2789" ref="E930"/>
    <hyperlink r:id="rId2790" ref="O930"/>
    <hyperlink r:id="rId2791" ref="B931"/>
    <hyperlink r:id="rId2792" ref="E931"/>
    <hyperlink r:id="rId2793" ref="O931"/>
    <hyperlink r:id="rId2794" ref="B932"/>
    <hyperlink r:id="rId2795" ref="E932"/>
    <hyperlink r:id="rId2796" ref="O932"/>
    <hyperlink r:id="rId2797" ref="B933"/>
    <hyperlink r:id="rId2798" ref="E933"/>
    <hyperlink r:id="rId2799" ref="O933"/>
    <hyperlink r:id="rId2800" ref="B934"/>
    <hyperlink r:id="rId2801" ref="E934"/>
    <hyperlink r:id="rId2802" ref="O934"/>
    <hyperlink r:id="rId2803" ref="B935"/>
    <hyperlink r:id="rId2804" ref="E935"/>
    <hyperlink r:id="rId2805" ref="O935"/>
    <hyperlink r:id="rId2806" ref="B936"/>
    <hyperlink r:id="rId2807" ref="E936"/>
    <hyperlink r:id="rId2808" ref="O936"/>
    <hyperlink r:id="rId2809" ref="B937"/>
    <hyperlink r:id="rId2810" ref="E937"/>
    <hyperlink r:id="rId2811" ref="O937"/>
    <hyperlink r:id="rId2812" ref="B938"/>
    <hyperlink r:id="rId2813" ref="E938"/>
    <hyperlink r:id="rId2814" ref="O938"/>
    <hyperlink r:id="rId2815" ref="B939"/>
    <hyperlink r:id="rId2816" ref="E939"/>
    <hyperlink r:id="rId2817" ref="O939"/>
    <hyperlink r:id="rId2818" ref="B940"/>
    <hyperlink r:id="rId2819" ref="E940"/>
    <hyperlink r:id="rId2820" ref="O940"/>
    <hyperlink r:id="rId2821" ref="B941"/>
    <hyperlink r:id="rId2822" ref="E941"/>
    <hyperlink r:id="rId2823" ref="O941"/>
    <hyperlink r:id="rId2824" ref="B942"/>
    <hyperlink r:id="rId2825" ref="E942"/>
    <hyperlink r:id="rId2826" ref="O942"/>
    <hyperlink r:id="rId2827" ref="B943"/>
    <hyperlink r:id="rId2828" ref="E943"/>
    <hyperlink r:id="rId2829" ref="O943"/>
    <hyperlink r:id="rId2830" ref="B944"/>
    <hyperlink r:id="rId2831" ref="E944"/>
    <hyperlink r:id="rId2832" ref="O944"/>
    <hyperlink r:id="rId2833" ref="B945"/>
    <hyperlink r:id="rId2834" ref="E945"/>
    <hyperlink r:id="rId2835" ref="O945"/>
    <hyperlink r:id="rId2836" ref="B946"/>
    <hyperlink r:id="rId2837" ref="E946"/>
    <hyperlink r:id="rId2838" ref="O946"/>
    <hyperlink r:id="rId2839" ref="B947"/>
    <hyperlink r:id="rId2840" ref="E947"/>
    <hyperlink r:id="rId2841" ref="O947"/>
    <hyperlink r:id="rId2842" ref="B948"/>
    <hyperlink r:id="rId2843" ref="E948"/>
    <hyperlink r:id="rId2844" ref="O948"/>
    <hyperlink r:id="rId2845" ref="B949"/>
    <hyperlink r:id="rId2846" ref="E949"/>
    <hyperlink r:id="rId2847" ref="O949"/>
    <hyperlink r:id="rId2848" ref="B950"/>
    <hyperlink r:id="rId2849" ref="E950"/>
    <hyperlink r:id="rId2850" ref="O950"/>
    <hyperlink r:id="rId2851" ref="B951"/>
    <hyperlink r:id="rId2852" ref="E951"/>
    <hyperlink r:id="rId2853" ref="O951"/>
    <hyperlink r:id="rId2854" ref="B952"/>
    <hyperlink r:id="rId2855" ref="E952"/>
    <hyperlink r:id="rId2856" ref="O952"/>
    <hyperlink r:id="rId2857" ref="B953"/>
    <hyperlink r:id="rId2858" ref="E953"/>
    <hyperlink r:id="rId2859" ref="O953"/>
    <hyperlink r:id="rId2860" ref="B954"/>
    <hyperlink r:id="rId2861" ref="E954"/>
    <hyperlink r:id="rId2862" ref="O954"/>
    <hyperlink r:id="rId2863" ref="B955"/>
    <hyperlink r:id="rId2864" ref="E955"/>
    <hyperlink r:id="rId2865" ref="O955"/>
    <hyperlink r:id="rId2866" ref="B956"/>
    <hyperlink r:id="rId2867" ref="E956"/>
    <hyperlink r:id="rId2868" ref="O956"/>
    <hyperlink r:id="rId2869" ref="B957"/>
    <hyperlink r:id="rId2870" ref="E957"/>
    <hyperlink r:id="rId2871" ref="O957"/>
    <hyperlink r:id="rId2872" ref="B958"/>
    <hyperlink r:id="rId2873" ref="E958"/>
    <hyperlink r:id="rId2874" ref="O958"/>
    <hyperlink r:id="rId2875" ref="B959"/>
    <hyperlink r:id="rId2876" ref="E959"/>
    <hyperlink r:id="rId2877" ref="O959"/>
    <hyperlink r:id="rId2878" ref="B960"/>
    <hyperlink r:id="rId2879" ref="E960"/>
    <hyperlink r:id="rId2880" ref="O960"/>
    <hyperlink r:id="rId2881" ref="B961"/>
    <hyperlink r:id="rId2882" ref="E961"/>
    <hyperlink r:id="rId2883" ref="O961"/>
    <hyperlink r:id="rId2884" ref="B962"/>
    <hyperlink r:id="rId2885" ref="E962"/>
    <hyperlink r:id="rId2886" ref="O962"/>
    <hyperlink r:id="rId2887" ref="B963"/>
    <hyperlink r:id="rId2888" ref="E963"/>
    <hyperlink r:id="rId2889" ref="O963"/>
    <hyperlink r:id="rId2890" ref="B964"/>
    <hyperlink r:id="rId2891" ref="E964"/>
    <hyperlink r:id="rId2892" ref="O964"/>
    <hyperlink r:id="rId2893" ref="B965"/>
    <hyperlink r:id="rId2894" ref="E965"/>
    <hyperlink r:id="rId2895" ref="O965"/>
    <hyperlink r:id="rId2896" ref="B966"/>
    <hyperlink r:id="rId2897" ref="E966"/>
    <hyperlink r:id="rId2898" ref="O966"/>
    <hyperlink r:id="rId2899" ref="B967"/>
    <hyperlink r:id="rId2900" ref="E967"/>
    <hyperlink r:id="rId2901" ref="O967"/>
    <hyperlink r:id="rId2902" ref="B968"/>
    <hyperlink r:id="rId2903" ref="E968"/>
    <hyperlink r:id="rId2904" ref="O968"/>
    <hyperlink r:id="rId2905" ref="B969"/>
    <hyperlink r:id="rId2906" ref="E969"/>
    <hyperlink r:id="rId2907" ref="O969"/>
    <hyperlink r:id="rId2908" ref="B970"/>
    <hyperlink r:id="rId2909" ref="E970"/>
    <hyperlink r:id="rId2910" ref="O970"/>
    <hyperlink r:id="rId2911" ref="B971"/>
    <hyperlink r:id="rId2912" ref="E971"/>
    <hyperlink r:id="rId2913" ref="O971"/>
    <hyperlink r:id="rId2914" ref="B972"/>
    <hyperlink r:id="rId2915" ref="E972"/>
    <hyperlink r:id="rId2916" ref="O972"/>
    <hyperlink r:id="rId2917" ref="B973"/>
    <hyperlink r:id="rId2918" ref="E973"/>
    <hyperlink r:id="rId2919" ref="O973"/>
    <hyperlink r:id="rId2920" ref="B974"/>
    <hyperlink r:id="rId2921" ref="E974"/>
    <hyperlink r:id="rId2922" ref="O974"/>
    <hyperlink r:id="rId2923" ref="B975"/>
    <hyperlink r:id="rId2924" ref="E975"/>
    <hyperlink r:id="rId2925" ref="O975"/>
    <hyperlink r:id="rId2926" ref="B976"/>
    <hyperlink r:id="rId2927" ref="E976"/>
    <hyperlink r:id="rId2928" ref="O976"/>
    <hyperlink r:id="rId2929" ref="B977"/>
    <hyperlink r:id="rId2930" ref="E977"/>
    <hyperlink r:id="rId2931" ref="O977"/>
    <hyperlink r:id="rId2932" ref="B978"/>
    <hyperlink r:id="rId2933" ref="E978"/>
    <hyperlink r:id="rId2934" ref="O978"/>
    <hyperlink r:id="rId2935" ref="B979"/>
    <hyperlink r:id="rId2936" ref="E979"/>
    <hyperlink r:id="rId2937" ref="O979"/>
    <hyperlink r:id="rId2938" ref="B980"/>
    <hyperlink r:id="rId2939" ref="E980"/>
    <hyperlink r:id="rId2940" ref="O980"/>
    <hyperlink r:id="rId2941" ref="B981"/>
    <hyperlink r:id="rId2942" ref="E981"/>
    <hyperlink r:id="rId2943" ref="O981"/>
    <hyperlink r:id="rId2944" ref="B982"/>
    <hyperlink r:id="rId2945" ref="E982"/>
    <hyperlink r:id="rId2946" ref="O982"/>
    <hyperlink r:id="rId2947" ref="B983"/>
    <hyperlink r:id="rId2948" ref="E983"/>
    <hyperlink r:id="rId2949" ref="O983"/>
    <hyperlink r:id="rId2950" ref="B984"/>
    <hyperlink r:id="rId2951" ref="E984"/>
    <hyperlink r:id="rId2952" ref="O984"/>
    <hyperlink r:id="rId2953" ref="B985"/>
    <hyperlink r:id="rId2954" ref="E985"/>
    <hyperlink r:id="rId2955" ref="O985"/>
    <hyperlink r:id="rId2956" ref="B986"/>
    <hyperlink r:id="rId2957" ref="E986"/>
    <hyperlink r:id="rId2958" ref="O986"/>
    <hyperlink r:id="rId2959" ref="B987"/>
    <hyperlink r:id="rId2960" ref="E987"/>
    <hyperlink r:id="rId2961" ref="O987"/>
    <hyperlink r:id="rId2962" ref="B988"/>
    <hyperlink r:id="rId2963" ref="E988"/>
    <hyperlink r:id="rId2964" ref="O988"/>
    <hyperlink r:id="rId2965" ref="B989"/>
    <hyperlink r:id="rId2966" ref="E989"/>
    <hyperlink r:id="rId2967" ref="O989"/>
    <hyperlink r:id="rId2968" ref="B990"/>
    <hyperlink r:id="rId2969" ref="E990"/>
    <hyperlink r:id="rId2970" ref="O990"/>
    <hyperlink r:id="rId2971" ref="B991"/>
    <hyperlink r:id="rId2972" ref="E991"/>
    <hyperlink r:id="rId2973" ref="O991"/>
    <hyperlink r:id="rId2974" ref="B992"/>
    <hyperlink r:id="rId2975" ref="E992"/>
    <hyperlink r:id="rId2976" ref="O992"/>
    <hyperlink r:id="rId2977" ref="B993"/>
    <hyperlink r:id="rId2978" ref="E993"/>
    <hyperlink r:id="rId2979" ref="O993"/>
    <hyperlink r:id="rId2980" ref="B994"/>
    <hyperlink r:id="rId2981" ref="E994"/>
    <hyperlink r:id="rId2982" ref="O994"/>
    <hyperlink r:id="rId2983" ref="B995"/>
    <hyperlink r:id="rId2984" ref="E995"/>
    <hyperlink r:id="rId2985" ref="O995"/>
    <hyperlink r:id="rId2986" ref="B996"/>
    <hyperlink r:id="rId2987" ref="E996"/>
    <hyperlink r:id="rId2988" ref="O996"/>
    <hyperlink r:id="rId2989" ref="B997"/>
    <hyperlink r:id="rId2990" ref="E997"/>
    <hyperlink r:id="rId2991" ref="O997"/>
    <hyperlink r:id="rId2992" ref="B998"/>
    <hyperlink r:id="rId2993" ref="E998"/>
    <hyperlink r:id="rId2994" ref="O998"/>
    <hyperlink r:id="rId2995" ref="B999"/>
    <hyperlink r:id="rId2996" ref="E999"/>
    <hyperlink r:id="rId2997" ref="O999"/>
    <hyperlink r:id="rId2998" ref="B1000"/>
    <hyperlink r:id="rId2999" ref="E1000"/>
    <hyperlink r:id="rId3000" ref="O1000"/>
    <hyperlink r:id="rId3001" ref="B1001"/>
    <hyperlink r:id="rId3002" ref="E1001"/>
    <hyperlink r:id="rId3003" ref="O1001"/>
    <hyperlink r:id="rId3004" ref="B1002"/>
    <hyperlink r:id="rId3005" ref="E1002"/>
    <hyperlink r:id="rId3006" ref="O1002"/>
    <hyperlink r:id="rId3007" ref="B1003"/>
    <hyperlink r:id="rId3008" ref="E1003"/>
    <hyperlink r:id="rId3009" ref="O1003"/>
    <hyperlink r:id="rId3010" ref="B1004"/>
    <hyperlink r:id="rId3011" ref="E1004"/>
    <hyperlink r:id="rId3012" ref="O1004"/>
    <hyperlink r:id="rId3013" ref="B1005"/>
    <hyperlink r:id="rId3014" ref="E1005"/>
    <hyperlink r:id="rId3015" ref="O1005"/>
    <hyperlink r:id="rId3016" ref="B1006"/>
    <hyperlink r:id="rId3017" ref="E1006"/>
    <hyperlink r:id="rId3018" ref="O1006"/>
    <hyperlink r:id="rId3019" ref="B1007"/>
    <hyperlink r:id="rId3020" ref="E1007"/>
    <hyperlink r:id="rId3021" ref="O1007"/>
    <hyperlink r:id="rId3022" ref="B1008"/>
    <hyperlink r:id="rId3023" ref="E1008"/>
    <hyperlink r:id="rId3024" ref="O1008"/>
    <hyperlink r:id="rId3025" ref="B1009"/>
    <hyperlink r:id="rId3026" ref="E1009"/>
    <hyperlink r:id="rId3027" ref="O1009"/>
    <hyperlink r:id="rId3028" ref="B1010"/>
    <hyperlink r:id="rId3029" ref="E1010"/>
    <hyperlink r:id="rId3030" ref="O1010"/>
    <hyperlink r:id="rId3031" ref="B1011"/>
    <hyperlink r:id="rId3032" ref="E1011"/>
    <hyperlink r:id="rId3033" ref="O1011"/>
    <hyperlink r:id="rId3034" ref="B1012"/>
    <hyperlink r:id="rId3035" ref="E1012"/>
    <hyperlink r:id="rId3036" ref="O1012"/>
    <hyperlink r:id="rId3037" ref="B1013"/>
    <hyperlink r:id="rId3038" ref="E1013"/>
    <hyperlink r:id="rId3039" ref="O1013"/>
    <hyperlink r:id="rId3040" ref="B1014"/>
    <hyperlink r:id="rId3041" ref="E1014"/>
    <hyperlink r:id="rId3042" ref="O1014"/>
    <hyperlink r:id="rId3043" ref="B1015"/>
    <hyperlink r:id="rId3044" ref="E1015"/>
    <hyperlink r:id="rId3045" ref="O1015"/>
    <hyperlink r:id="rId3046" ref="B1016"/>
    <hyperlink r:id="rId3047" ref="E1016"/>
    <hyperlink r:id="rId3048" ref="O1016"/>
    <hyperlink r:id="rId3049" ref="B1017"/>
    <hyperlink r:id="rId3050" ref="E1017"/>
    <hyperlink r:id="rId3051" ref="O1017"/>
    <hyperlink r:id="rId3052" ref="B1018"/>
    <hyperlink r:id="rId3053" ref="E1018"/>
    <hyperlink r:id="rId3054" ref="O1018"/>
    <hyperlink r:id="rId3055" ref="B1019"/>
    <hyperlink r:id="rId3056" ref="E1019"/>
    <hyperlink r:id="rId3057" ref="O1019"/>
    <hyperlink r:id="rId3058" ref="B1020"/>
    <hyperlink r:id="rId3059" ref="E1020"/>
    <hyperlink r:id="rId3060" ref="O1020"/>
    <hyperlink r:id="rId3061" ref="B1021"/>
    <hyperlink r:id="rId3062" ref="E1021"/>
    <hyperlink r:id="rId3063" ref="O1021"/>
    <hyperlink r:id="rId3064" ref="B1022"/>
    <hyperlink r:id="rId3065" ref="E1022"/>
    <hyperlink r:id="rId3066" ref="O1022"/>
    <hyperlink r:id="rId3067" ref="B1023"/>
    <hyperlink r:id="rId3068" ref="E1023"/>
    <hyperlink r:id="rId3069" ref="O1023"/>
    <hyperlink r:id="rId3070" ref="B1024"/>
    <hyperlink r:id="rId3071" ref="E1024"/>
    <hyperlink r:id="rId3072" ref="O1024"/>
    <hyperlink r:id="rId3073" ref="B1025"/>
    <hyperlink r:id="rId3074" ref="E1025"/>
    <hyperlink r:id="rId3075" ref="O1025"/>
    <hyperlink r:id="rId3076" ref="B1026"/>
    <hyperlink r:id="rId3077" ref="E1026"/>
    <hyperlink r:id="rId3078" ref="O1026"/>
    <hyperlink r:id="rId3079" ref="B1027"/>
    <hyperlink r:id="rId3080" ref="C1027"/>
    <hyperlink r:id="rId3081" ref="E1027"/>
    <hyperlink r:id="rId3082" ref="O1027"/>
    <hyperlink r:id="rId3083" ref="B1028"/>
    <hyperlink r:id="rId3084" ref="E1028"/>
    <hyperlink r:id="rId3085" ref="O1028"/>
    <hyperlink r:id="rId3086" ref="B1029"/>
    <hyperlink r:id="rId3087" ref="E1029"/>
    <hyperlink r:id="rId3088" ref="O1029"/>
    <hyperlink r:id="rId3089" ref="B1030"/>
    <hyperlink r:id="rId3090" ref="E1030"/>
    <hyperlink r:id="rId3091" ref="O1030"/>
    <hyperlink r:id="rId3092" ref="B1031"/>
    <hyperlink r:id="rId3093" ref="E1031"/>
    <hyperlink r:id="rId3094" ref="O1031"/>
    <hyperlink r:id="rId3095" ref="B1032"/>
    <hyperlink r:id="rId3096" ref="E1032"/>
    <hyperlink r:id="rId3097" ref="O1032"/>
    <hyperlink r:id="rId3098" ref="B1033"/>
    <hyperlink r:id="rId3099" ref="E1033"/>
    <hyperlink r:id="rId3100" ref="O1033"/>
    <hyperlink r:id="rId3101" ref="B1034"/>
    <hyperlink r:id="rId3102" ref="E1034"/>
    <hyperlink r:id="rId3103" ref="O1034"/>
    <hyperlink r:id="rId3104" ref="B1035"/>
    <hyperlink r:id="rId3105" ref="E1035"/>
    <hyperlink r:id="rId3106" ref="O1035"/>
    <hyperlink r:id="rId3107" ref="B1036"/>
    <hyperlink r:id="rId3108" ref="E1036"/>
    <hyperlink r:id="rId3109" ref="O1036"/>
    <hyperlink r:id="rId3110" ref="B1037"/>
    <hyperlink r:id="rId3111" ref="E1037"/>
    <hyperlink r:id="rId3112" ref="O1037"/>
    <hyperlink r:id="rId3113" ref="B1038"/>
    <hyperlink r:id="rId3114" ref="E1038"/>
    <hyperlink r:id="rId3115" ref="O1038"/>
    <hyperlink r:id="rId3116" ref="B1039"/>
    <hyperlink r:id="rId3117" ref="E1039"/>
    <hyperlink r:id="rId3118" ref="O1039"/>
    <hyperlink r:id="rId3119" ref="B1040"/>
    <hyperlink r:id="rId3120" ref="E1040"/>
    <hyperlink r:id="rId3121" ref="O1040"/>
    <hyperlink r:id="rId3122" ref="B1041"/>
    <hyperlink r:id="rId3123" ref="E1041"/>
    <hyperlink r:id="rId3124" ref="O1041"/>
    <hyperlink r:id="rId3125" ref="B1042"/>
    <hyperlink r:id="rId3126" ref="E1042"/>
    <hyperlink r:id="rId3127" ref="O1042"/>
    <hyperlink r:id="rId3128" ref="B1043"/>
    <hyperlink r:id="rId3129" ref="E1043"/>
    <hyperlink r:id="rId3130" ref="O1043"/>
    <hyperlink r:id="rId3131" ref="B1044"/>
    <hyperlink r:id="rId3132" ref="E1044"/>
    <hyperlink r:id="rId3133" ref="O1044"/>
    <hyperlink r:id="rId3134" ref="B1045"/>
    <hyperlink r:id="rId3135" ref="E1045"/>
    <hyperlink r:id="rId3136" ref="O1045"/>
    <hyperlink r:id="rId3137" ref="B1046"/>
    <hyperlink r:id="rId3138" ref="E1046"/>
    <hyperlink r:id="rId3139" ref="O1046"/>
    <hyperlink r:id="rId3140" ref="B1047"/>
    <hyperlink r:id="rId3141" ref="E1047"/>
    <hyperlink r:id="rId3142" ref="O1047"/>
    <hyperlink r:id="rId3143" ref="B1048"/>
    <hyperlink r:id="rId3144" ref="E1048"/>
    <hyperlink r:id="rId3145" ref="O1048"/>
    <hyperlink r:id="rId3146" ref="B1049"/>
    <hyperlink r:id="rId3147" ref="E1049"/>
    <hyperlink r:id="rId3148" ref="O1049"/>
    <hyperlink r:id="rId3149" ref="B1050"/>
    <hyperlink r:id="rId3150" ref="E1050"/>
    <hyperlink r:id="rId3151" ref="O1050"/>
    <hyperlink r:id="rId3152" ref="B1051"/>
    <hyperlink r:id="rId3153" ref="E1051"/>
    <hyperlink r:id="rId3154" ref="O1051"/>
    <hyperlink r:id="rId3155" ref="B1052"/>
    <hyperlink r:id="rId3156" ref="E1052"/>
    <hyperlink r:id="rId3157" ref="O1052"/>
    <hyperlink r:id="rId3158" ref="B1053"/>
    <hyperlink r:id="rId3159" ref="E1053"/>
    <hyperlink r:id="rId3160" ref="O1053"/>
    <hyperlink r:id="rId3161" ref="B1054"/>
    <hyperlink r:id="rId3162" ref="E1054"/>
    <hyperlink r:id="rId3163" ref="O1054"/>
    <hyperlink r:id="rId3164" ref="B1055"/>
    <hyperlink r:id="rId3165" ref="E1055"/>
    <hyperlink r:id="rId3166" ref="O1055"/>
    <hyperlink r:id="rId3167" ref="B1056"/>
    <hyperlink r:id="rId3168" ref="E1056"/>
    <hyperlink r:id="rId3169" ref="O1056"/>
    <hyperlink r:id="rId3170" ref="B1057"/>
    <hyperlink r:id="rId3171" ref="E1057"/>
    <hyperlink r:id="rId3172" ref="O1057"/>
    <hyperlink r:id="rId3173" ref="B1058"/>
    <hyperlink r:id="rId3174" ref="E1058"/>
    <hyperlink r:id="rId3175" ref="O1058"/>
    <hyperlink r:id="rId3176" ref="B1059"/>
    <hyperlink r:id="rId3177" ref="E1059"/>
    <hyperlink r:id="rId3178" ref="O1059"/>
    <hyperlink r:id="rId3179" ref="B1060"/>
    <hyperlink r:id="rId3180" ref="E1060"/>
    <hyperlink r:id="rId3181" ref="O1060"/>
    <hyperlink r:id="rId3182" ref="B1061"/>
    <hyperlink r:id="rId3183" ref="E1061"/>
    <hyperlink r:id="rId3184" ref="O1061"/>
    <hyperlink r:id="rId3185" ref="B1062"/>
    <hyperlink r:id="rId3186" ref="E1062"/>
    <hyperlink r:id="rId3187" ref="O1062"/>
    <hyperlink r:id="rId3188" ref="B1063"/>
    <hyperlink r:id="rId3189" ref="E1063"/>
    <hyperlink r:id="rId3190" ref="O1063"/>
    <hyperlink r:id="rId3191" ref="B1064"/>
    <hyperlink r:id="rId3192" ref="E1064"/>
    <hyperlink r:id="rId3193" ref="O1064"/>
    <hyperlink r:id="rId3194" ref="B1065"/>
    <hyperlink r:id="rId3195" ref="E1065"/>
    <hyperlink r:id="rId3196" ref="O1065"/>
    <hyperlink r:id="rId3197" ref="B1066"/>
    <hyperlink r:id="rId3198" ref="E1066"/>
    <hyperlink r:id="rId3199" ref="O1066"/>
    <hyperlink r:id="rId3200" ref="B1067"/>
    <hyperlink r:id="rId3201" ref="E1067"/>
    <hyperlink r:id="rId3202" ref="O1067"/>
    <hyperlink r:id="rId3203" ref="B1068"/>
    <hyperlink r:id="rId3204" ref="E1068"/>
    <hyperlink r:id="rId3205" ref="O1068"/>
    <hyperlink r:id="rId3206" ref="B1069"/>
    <hyperlink r:id="rId3207" ref="E1069"/>
    <hyperlink r:id="rId3208" ref="O1069"/>
    <hyperlink r:id="rId3209" ref="B1070"/>
    <hyperlink r:id="rId3210" ref="E1070"/>
    <hyperlink r:id="rId3211" ref="O1070"/>
    <hyperlink r:id="rId3212" ref="B1071"/>
    <hyperlink r:id="rId3213" ref="E1071"/>
    <hyperlink r:id="rId3214" ref="O1071"/>
    <hyperlink r:id="rId3215" ref="B1072"/>
    <hyperlink r:id="rId3216" ref="E1072"/>
    <hyperlink r:id="rId3217" ref="O1072"/>
    <hyperlink r:id="rId3218" ref="B1073"/>
    <hyperlink r:id="rId3219" ref="E1073"/>
    <hyperlink r:id="rId3220" ref="O1073"/>
    <hyperlink r:id="rId3221" ref="B1074"/>
    <hyperlink r:id="rId3222" ref="E1074"/>
    <hyperlink r:id="rId3223" ref="O1074"/>
    <hyperlink r:id="rId3224" ref="B1075"/>
    <hyperlink r:id="rId3225" ref="E1075"/>
    <hyperlink r:id="rId3226" ref="O1075"/>
    <hyperlink r:id="rId3227" ref="B1076"/>
    <hyperlink r:id="rId3228" ref="E1076"/>
    <hyperlink r:id="rId3229" ref="O1076"/>
    <hyperlink r:id="rId3230" ref="B1077"/>
    <hyperlink r:id="rId3231" ref="E1077"/>
    <hyperlink r:id="rId3232" ref="O1077"/>
    <hyperlink r:id="rId3233" ref="B1078"/>
    <hyperlink r:id="rId3234" ref="E1078"/>
    <hyperlink r:id="rId3235" ref="O1078"/>
    <hyperlink r:id="rId3236" ref="B1079"/>
    <hyperlink r:id="rId3237" ref="E1079"/>
    <hyperlink r:id="rId3238" ref="O1079"/>
    <hyperlink r:id="rId3239" ref="B1080"/>
    <hyperlink r:id="rId3240" ref="E1080"/>
    <hyperlink r:id="rId3241" ref="O1080"/>
    <hyperlink r:id="rId3242" ref="B1081"/>
    <hyperlink r:id="rId3243" ref="E1081"/>
    <hyperlink r:id="rId3244" ref="O1081"/>
    <hyperlink r:id="rId3245" ref="B1082"/>
    <hyperlink r:id="rId3246" ref="E1082"/>
    <hyperlink r:id="rId3247" ref="O1082"/>
    <hyperlink r:id="rId3248" ref="B1083"/>
    <hyperlink r:id="rId3249" ref="E1083"/>
    <hyperlink r:id="rId3250" ref="O1083"/>
    <hyperlink r:id="rId3251" ref="B1084"/>
    <hyperlink r:id="rId3252" ref="E1084"/>
    <hyperlink r:id="rId3253" ref="O1084"/>
    <hyperlink r:id="rId3254" ref="B1085"/>
    <hyperlink r:id="rId3255" ref="E1085"/>
    <hyperlink r:id="rId3256" ref="O1085"/>
    <hyperlink r:id="rId3257" ref="B1086"/>
    <hyperlink r:id="rId3258" ref="E1086"/>
    <hyperlink r:id="rId3259" ref="O1086"/>
    <hyperlink r:id="rId3260" ref="B1087"/>
    <hyperlink r:id="rId3261" ref="E1087"/>
    <hyperlink r:id="rId3262" ref="O1087"/>
    <hyperlink r:id="rId3263" ref="B1088"/>
    <hyperlink r:id="rId3264" ref="E1088"/>
    <hyperlink r:id="rId3265" ref="O1088"/>
    <hyperlink r:id="rId3266" ref="B1089"/>
    <hyperlink r:id="rId3267" ref="E1089"/>
    <hyperlink r:id="rId3268" ref="O1089"/>
    <hyperlink r:id="rId3269" ref="B1090"/>
    <hyperlink r:id="rId3270" ref="E1090"/>
    <hyperlink r:id="rId3271" ref="O1090"/>
    <hyperlink r:id="rId3272" ref="B1091"/>
    <hyperlink r:id="rId3273" ref="E1091"/>
    <hyperlink r:id="rId3274" ref="O1091"/>
    <hyperlink r:id="rId3275" ref="B1092"/>
    <hyperlink r:id="rId3276" ref="E1092"/>
    <hyperlink r:id="rId3277" ref="O1092"/>
    <hyperlink r:id="rId3278" ref="B1093"/>
    <hyperlink r:id="rId3279" ref="E1093"/>
    <hyperlink r:id="rId3280" ref="O1093"/>
    <hyperlink r:id="rId3281" ref="B1094"/>
    <hyperlink r:id="rId3282" ref="E1094"/>
    <hyperlink r:id="rId3283" ref="O1094"/>
    <hyperlink r:id="rId3284" ref="B1095"/>
    <hyperlink r:id="rId3285" ref="E1095"/>
    <hyperlink r:id="rId3286" ref="O1095"/>
    <hyperlink r:id="rId3287" ref="B1096"/>
    <hyperlink r:id="rId3288" ref="E1096"/>
    <hyperlink r:id="rId3289" ref="O1096"/>
    <hyperlink r:id="rId3290" ref="B1097"/>
    <hyperlink r:id="rId3291" ref="E1097"/>
    <hyperlink r:id="rId3292" ref="O1097"/>
    <hyperlink r:id="rId3293" ref="B1098"/>
    <hyperlink r:id="rId3294" ref="E1098"/>
    <hyperlink r:id="rId3295" ref="O1098"/>
    <hyperlink r:id="rId3296" ref="B1099"/>
    <hyperlink r:id="rId3297" ref="E1099"/>
    <hyperlink r:id="rId3298" ref="O1099"/>
    <hyperlink r:id="rId3299" ref="B1100"/>
    <hyperlink r:id="rId3300" ref="C1100"/>
    <hyperlink r:id="rId3301" ref="E1100"/>
    <hyperlink r:id="rId3302" ref="O1100"/>
    <hyperlink r:id="rId3303" ref="B1101"/>
    <hyperlink r:id="rId3304" ref="E1101"/>
    <hyperlink r:id="rId3305" ref="O1101"/>
    <hyperlink r:id="rId3306" ref="B1102"/>
    <hyperlink r:id="rId3307" ref="E1102"/>
    <hyperlink r:id="rId3308" ref="O1102"/>
    <hyperlink r:id="rId3309" ref="B1103"/>
    <hyperlink r:id="rId3310" ref="E1103"/>
    <hyperlink r:id="rId3311" ref="O1103"/>
    <hyperlink r:id="rId3312" ref="B1104"/>
    <hyperlink r:id="rId3313" ref="E1104"/>
    <hyperlink r:id="rId3314" ref="O1104"/>
    <hyperlink r:id="rId3315" ref="B1105"/>
    <hyperlink r:id="rId3316" ref="E1105"/>
    <hyperlink r:id="rId3317" ref="O1105"/>
    <hyperlink r:id="rId3318" ref="B1106"/>
    <hyperlink r:id="rId3319" ref="E1106"/>
    <hyperlink r:id="rId3320" ref="O1106"/>
    <hyperlink r:id="rId3321" ref="B1107"/>
    <hyperlink r:id="rId3322" ref="E1107"/>
    <hyperlink r:id="rId3323" ref="O1107"/>
    <hyperlink r:id="rId3324" ref="B1108"/>
    <hyperlink r:id="rId3325" ref="E1108"/>
    <hyperlink r:id="rId3326" ref="O1108"/>
    <hyperlink r:id="rId3327" ref="B1109"/>
    <hyperlink r:id="rId3328" ref="E1109"/>
    <hyperlink r:id="rId3329" ref="O1109"/>
    <hyperlink r:id="rId3330" ref="B1110"/>
    <hyperlink r:id="rId3331" ref="E1110"/>
    <hyperlink r:id="rId3332" ref="O1110"/>
    <hyperlink r:id="rId3333" ref="B1111"/>
    <hyperlink r:id="rId3334" ref="E1111"/>
    <hyperlink r:id="rId3335" ref="O1111"/>
    <hyperlink r:id="rId3336" ref="B1112"/>
    <hyperlink r:id="rId3337" ref="E1112"/>
    <hyperlink r:id="rId3338" ref="O1112"/>
    <hyperlink r:id="rId3339" ref="B1113"/>
    <hyperlink r:id="rId3340" ref="E1113"/>
    <hyperlink r:id="rId3341" ref="O1113"/>
    <hyperlink r:id="rId3342" ref="B1114"/>
    <hyperlink r:id="rId3343" ref="E1114"/>
    <hyperlink r:id="rId3344" ref="O1114"/>
    <hyperlink r:id="rId3345" ref="B1115"/>
    <hyperlink r:id="rId3346" ref="E1115"/>
    <hyperlink r:id="rId3347" ref="O1115"/>
    <hyperlink r:id="rId3348" ref="B1116"/>
    <hyperlink r:id="rId3349" ref="E1116"/>
    <hyperlink r:id="rId3350" ref="O1116"/>
    <hyperlink r:id="rId3351" ref="B1117"/>
    <hyperlink r:id="rId3352" ref="E1117"/>
    <hyperlink r:id="rId3353" ref="O1117"/>
    <hyperlink r:id="rId3354" ref="B1118"/>
    <hyperlink r:id="rId3355" ref="E1118"/>
    <hyperlink r:id="rId3356" ref="O1118"/>
    <hyperlink r:id="rId3357" ref="B1119"/>
    <hyperlink r:id="rId3358" ref="E1119"/>
    <hyperlink r:id="rId3359" ref="O1119"/>
    <hyperlink r:id="rId3360" ref="B1120"/>
    <hyperlink r:id="rId3361" ref="E1120"/>
    <hyperlink r:id="rId3362" ref="O1120"/>
    <hyperlink r:id="rId3363" ref="B1121"/>
    <hyperlink r:id="rId3364" ref="E1121"/>
    <hyperlink r:id="rId3365" ref="O1121"/>
    <hyperlink r:id="rId3366" ref="B1122"/>
    <hyperlink r:id="rId3367" ref="E1122"/>
    <hyperlink r:id="rId3368" ref="O1122"/>
    <hyperlink r:id="rId3369" ref="B1123"/>
    <hyperlink r:id="rId3370" ref="E1123"/>
    <hyperlink r:id="rId3371" ref="O1123"/>
    <hyperlink r:id="rId3372" ref="B1124"/>
    <hyperlink r:id="rId3373" ref="E1124"/>
    <hyperlink r:id="rId3374" ref="O1124"/>
    <hyperlink r:id="rId3375" ref="B1125"/>
    <hyperlink r:id="rId3376" ref="E1125"/>
    <hyperlink r:id="rId3377" ref="O1125"/>
    <hyperlink r:id="rId3378" ref="B1126"/>
    <hyperlink r:id="rId3379" ref="E1126"/>
    <hyperlink r:id="rId3380" ref="O1126"/>
    <hyperlink r:id="rId3381" ref="B1127"/>
    <hyperlink r:id="rId3382" ref="E1127"/>
    <hyperlink r:id="rId3383" ref="O1127"/>
    <hyperlink r:id="rId3384" ref="B1128"/>
    <hyperlink r:id="rId3385" ref="E1128"/>
    <hyperlink r:id="rId3386" ref="O1128"/>
    <hyperlink r:id="rId3387" ref="B1129"/>
    <hyperlink r:id="rId3388" ref="E1129"/>
    <hyperlink r:id="rId3389" ref="O1129"/>
    <hyperlink r:id="rId3390" ref="B1130"/>
    <hyperlink r:id="rId3391" ref="E1130"/>
    <hyperlink r:id="rId3392" ref="O1130"/>
    <hyperlink r:id="rId3393" ref="B1131"/>
    <hyperlink r:id="rId3394" ref="E1131"/>
    <hyperlink r:id="rId3395" ref="O1131"/>
    <hyperlink r:id="rId3396" ref="B1132"/>
    <hyperlink r:id="rId3397" ref="E1132"/>
    <hyperlink r:id="rId3398" ref="O1132"/>
    <hyperlink r:id="rId3399" ref="B1133"/>
    <hyperlink r:id="rId3400" ref="E1133"/>
    <hyperlink r:id="rId3401" ref="O1133"/>
    <hyperlink r:id="rId3402" ref="B1134"/>
    <hyperlink r:id="rId3403" ref="E1134"/>
    <hyperlink r:id="rId3404" ref="O1134"/>
    <hyperlink r:id="rId3405" ref="B1135"/>
    <hyperlink r:id="rId3406" ref="E1135"/>
    <hyperlink r:id="rId3407" ref="O1135"/>
    <hyperlink r:id="rId3408" ref="B1136"/>
    <hyperlink r:id="rId3409" ref="E1136"/>
    <hyperlink r:id="rId3410" ref="O1136"/>
    <hyperlink r:id="rId3411" ref="B1137"/>
    <hyperlink r:id="rId3412" ref="E1137"/>
    <hyperlink r:id="rId3413" ref="O1137"/>
    <hyperlink r:id="rId3414" ref="B1138"/>
    <hyperlink r:id="rId3415" ref="E1138"/>
    <hyperlink r:id="rId3416" ref="O1138"/>
    <hyperlink r:id="rId3417" ref="B1139"/>
    <hyperlink r:id="rId3418" ref="E1139"/>
    <hyperlink r:id="rId3419" ref="O1139"/>
    <hyperlink r:id="rId3420" ref="B1140"/>
    <hyperlink r:id="rId3421" ref="E1140"/>
    <hyperlink r:id="rId3422" ref="O1140"/>
    <hyperlink r:id="rId3423" ref="B1141"/>
    <hyperlink r:id="rId3424" ref="E1141"/>
    <hyperlink r:id="rId3425" ref="O1141"/>
    <hyperlink r:id="rId3426" ref="B1142"/>
    <hyperlink r:id="rId3427" ref="E1142"/>
    <hyperlink r:id="rId3428" ref="O1142"/>
    <hyperlink r:id="rId3429" ref="B1143"/>
    <hyperlink r:id="rId3430" ref="E1143"/>
    <hyperlink r:id="rId3431" ref="O1143"/>
    <hyperlink r:id="rId3432" ref="B1144"/>
    <hyperlink r:id="rId3433" ref="E1144"/>
    <hyperlink r:id="rId3434" ref="O1144"/>
    <hyperlink r:id="rId3435" ref="B1145"/>
    <hyperlink r:id="rId3436" ref="E1145"/>
    <hyperlink r:id="rId3437" ref="O1145"/>
    <hyperlink r:id="rId3438" ref="B1146"/>
    <hyperlink r:id="rId3439" ref="E1146"/>
    <hyperlink r:id="rId3440" ref="O1146"/>
    <hyperlink r:id="rId3441" ref="B1147"/>
    <hyperlink r:id="rId3442" ref="E1147"/>
    <hyperlink r:id="rId3443" ref="O1147"/>
    <hyperlink r:id="rId3444" ref="B1148"/>
    <hyperlink r:id="rId3445" ref="E1148"/>
    <hyperlink r:id="rId3446" ref="O1148"/>
    <hyperlink r:id="rId3447" ref="B1149"/>
    <hyperlink r:id="rId3448" ref="E1149"/>
    <hyperlink r:id="rId3449" ref="O1149"/>
    <hyperlink r:id="rId3450" ref="B1150"/>
    <hyperlink r:id="rId3451" ref="E1150"/>
    <hyperlink r:id="rId3452" ref="O1150"/>
    <hyperlink r:id="rId3453" ref="B1151"/>
    <hyperlink r:id="rId3454" ref="E1151"/>
    <hyperlink r:id="rId3455" ref="O1151"/>
    <hyperlink r:id="rId3456" ref="B1152"/>
    <hyperlink r:id="rId3457" ref="E1152"/>
    <hyperlink r:id="rId3458" ref="O1152"/>
    <hyperlink r:id="rId3459" ref="B1153"/>
    <hyperlink r:id="rId3460" ref="E1153"/>
    <hyperlink r:id="rId3461" ref="O1153"/>
    <hyperlink r:id="rId3462" ref="B1154"/>
    <hyperlink r:id="rId3463" ref="E1154"/>
    <hyperlink r:id="rId3464" ref="O1154"/>
    <hyperlink r:id="rId3465" ref="B1155"/>
    <hyperlink r:id="rId3466" ref="E1155"/>
    <hyperlink r:id="rId3467" ref="O1155"/>
    <hyperlink r:id="rId3468" ref="B1156"/>
    <hyperlink r:id="rId3469" ref="E1156"/>
    <hyperlink r:id="rId3470" ref="O1156"/>
    <hyperlink r:id="rId3471" ref="B1157"/>
    <hyperlink r:id="rId3472" ref="E1157"/>
    <hyperlink r:id="rId3473" ref="O1157"/>
    <hyperlink r:id="rId3474" ref="B1158"/>
    <hyperlink r:id="rId3475" ref="E1158"/>
    <hyperlink r:id="rId3476" ref="O1158"/>
    <hyperlink r:id="rId3477" ref="B1159"/>
    <hyperlink r:id="rId3478" ref="E1159"/>
    <hyperlink r:id="rId3479" ref="O1159"/>
    <hyperlink r:id="rId3480" ref="B1160"/>
    <hyperlink r:id="rId3481" ref="E1160"/>
    <hyperlink r:id="rId3482" ref="O1160"/>
    <hyperlink r:id="rId3483" ref="B1161"/>
    <hyperlink r:id="rId3484" ref="E1161"/>
    <hyperlink r:id="rId3485" ref="O1161"/>
    <hyperlink r:id="rId3486" ref="B1162"/>
    <hyperlink r:id="rId3487" ref="E1162"/>
    <hyperlink r:id="rId3488" ref="O1162"/>
    <hyperlink r:id="rId3489" ref="B1163"/>
    <hyperlink r:id="rId3490" ref="E1163"/>
    <hyperlink r:id="rId3491" ref="O1163"/>
    <hyperlink r:id="rId3492" ref="B1164"/>
    <hyperlink r:id="rId3493" ref="E1164"/>
    <hyperlink r:id="rId3494" ref="O1164"/>
    <hyperlink r:id="rId3495" ref="B1165"/>
    <hyperlink r:id="rId3496" ref="E1165"/>
    <hyperlink r:id="rId3497" ref="O1165"/>
    <hyperlink r:id="rId3498" ref="B1166"/>
    <hyperlink r:id="rId3499" ref="C1166"/>
    <hyperlink r:id="rId3500" ref="E1166"/>
    <hyperlink r:id="rId3501" ref="O1166"/>
    <hyperlink r:id="rId3502" ref="B1167"/>
    <hyperlink r:id="rId3503" ref="E1167"/>
    <hyperlink r:id="rId3504" ref="O1167"/>
    <hyperlink r:id="rId3505" ref="B1168"/>
    <hyperlink r:id="rId3506" ref="E1168"/>
    <hyperlink r:id="rId3507" ref="O1168"/>
    <hyperlink r:id="rId3508" ref="B1169"/>
    <hyperlink r:id="rId3509" ref="E1169"/>
    <hyperlink r:id="rId3510" ref="O1169"/>
    <hyperlink r:id="rId3511" ref="B1170"/>
    <hyperlink r:id="rId3512" ref="E1170"/>
    <hyperlink r:id="rId3513" ref="O1170"/>
    <hyperlink r:id="rId3514" ref="B1171"/>
    <hyperlink r:id="rId3515" ref="E1171"/>
    <hyperlink r:id="rId3516" ref="O1171"/>
    <hyperlink r:id="rId3517" ref="B1172"/>
    <hyperlink r:id="rId3518" ref="E1172"/>
    <hyperlink r:id="rId3519" ref="O1172"/>
    <hyperlink r:id="rId3520" ref="B1173"/>
    <hyperlink r:id="rId3521" ref="E1173"/>
    <hyperlink r:id="rId3522" ref="O1173"/>
    <hyperlink r:id="rId3523" ref="B1174"/>
    <hyperlink r:id="rId3524" ref="E1174"/>
    <hyperlink r:id="rId3525" ref="O1174"/>
    <hyperlink r:id="rId3526" ref="B1175"/>
    <hyperlink r:id="rId3527" ref="E1175"/>
    <hyperlink r:id="rId3528" ref="O1175"/>
    <hyperlink r:id="rId3529" ref="B1176"/>
    <hyperlink r:id="rId3530" ref="E1176"/>
    <hyperlink r:id="rId3531" ref="O1176"/>
    <hyperlink r:id="rId3532" ref="B1177"/>
    <hyperlink r:id="rId3533" ref="E1177"/>
    <hyperlink r:id="rId3534" ref="O1177"/>
    <hyperlink r:id="rId3535" ref="B1178"/>
    <hyperlink r:id="rId3536" ref="E1178"/>
    <hyperlink r:id="rId3537" ref="O1178"/>
    <hyperlink r:id="rId3538" ref="B1179"/>
    <hyperlink r:id="rId3539" ref="E1179"/>
    <hyperlink r:id="rId3540" ref="O1179"/>
    <hyperlink r:id="rId3541" ref="B1180"/>
    <hyperlink r:id="rId3542" ref="E1180"/>
    <hyperlink r:id="rId3543" ref="O1180"/>
    <hyperlink r:id="rId3544" ref="B1181"/>
    <hyperlink r:id="rId3545" ref="E1181"/>
    <hyperlink r:id="rId3546" ref="O1181"/>
    <hyperlink r:id="rId3547" ref="B1182"/>
    <hyperlink r:id="rId3548" ref="E1182"/>
    <hyperlink r:id="rId3549" ref="O1182"/>
    <hyperlink r:id="rId3550" ref="B1183"/>
    <hyperlink r:id="rId3551" ref="E1183"/>
    <hyperlink r:id="rId3552" ref="O1183"/>
    <hyperlink r:id="rId3553" ref="B1184"/>
    <hyperlink r:id="rId3554" ref="E1184"/>
    <hyperlink r:id="rId3555" ref="O1184"/>
    <hyperlink r:id="rId3556" ref="B1185"/>
    <hyperlink r:id="rId3557" ref="E1185"/>
    <hyperlink r:id="rId3558" ref="O1185"/>
    <hyperlink r:id="rId3559" ref="B1186"/>
    <hyperlink r:id="rId3560" ref="E1186"/>
    <hyperlink r:id="rId3561" ref="O1186"/>
    <hyperlink r:id="rId3562" ref="B1187"/>
    <hyperlink r:id="rId3563" ref="E1187"/>
    <hyperlink r:id="rId3564" ref="O1187"/>
    <hyperlink r:id="rId3565" ref="B1188"/>
    <hyperlink r:id="rId3566" ref="E1188"/>
    <hyperlink r:id="rId3567" ref="O1188"/>
    <hyperlink r:id="rId3568" ref="B1189"/>
    <hyperlink r:id="rId3569" ref="E1189"/>
    <hyperlink r:id="rId3570" ref="O1189"/>
    <hyperlink r:id="rId3571" ref="B1190"/>
    <hyperlink r:id="rId3572" ref="E1190"/>
    <hyperlink r:id="rId3573" ref="O1190"/>
    <hyperlink r:id="rId3574" ref="B1191"/>
    <hyperlink r:id="rId3575" ref="E1191"/>
    <hyperlink r:id="rId3576" ref="O1191"/>
    <hyperlink r:id="rId3577" ref="B1192"/>
    <hyperlink r:id="rId3578" ref="E1192"/>
    <hyperlink r:id="rId3579" ref="O1192"/>
    <hyperlink r:id="rId3580" ref="B1193"/>
    <hyperlink r:id="rId3581" ref="E1193"/>
    <hyperlink r:id="rId3582" ref="O1193"/>
    <hyperlink r:id="rId3583" ref="B1194"/>
    <hyperlink r:id="rId3584" ref="E1194"/>
    <hyperlink r:id="rId3585" ref="O1194"/>
    <hyperlink r:id="rId3586" ref="B1195"/>
    <hyperlink r:id="rId3587" ref="E1195"/>
    <hyperlink r:id="rId3588" ref="O1195"/>
    <hyperlink r:id="rId3589" ref="B1196"/>
    <hyperlink r:id="rId3590" ref="E1196"/>
    <hyperlink r:id="rId3591" ref="O1196"/>
    <hyperlink r:id="rId3592" ref="B1197"/>
    <hyperlink r:id="rId3593" ref="E1197"/>
    <hyperlink r:id="rId3594" ref="O1197"/>
    <hyperlink r:id="rId3595" ref="B1198"/>
    <hyperlink r:id="rId3596" ref="E1198"/>
    <hyperlink r:id="rId3597" ref="O1198"/>
    <hyperlink r:id="rId3598" ref="B1199"/>
    <hyperlink r:id="rId3599" ref="E1199"/>
    <hyperlink r:id="rId3600" ref="O1199"/>
    <hyperlink r:id="rId3601" ref="B1200"/>
    <hyperlink r:id="rId3602" ref="E1200"/>
    <hyperlink r:id="rId3603" ref="O1200"/>
    <hyperlink r:id="rId3604" ref="B1201"/>
    <hyperlink r:id="rId3605" ref="E1201"/>
    <hyperlink r:id="rId3606" ref="O1201"/>
    <hyperlink r:id="rId3607" ref="B1202"/>
    <hyperlink r:id="rId3608" ref="E1202"/>
    <hyperlink r:id="rId3609" ref="O1202"/>
    <hyperlink r:id="rId3610" ref="B1203"/>
    <hyperlink r:id="rId3611" ref="E1203"/>
    <hyperlink r:id="rId3612" ref="O1203"/>
    <hyperlink r:id="rId3613" ref="B1204"/>
    <hyperlink r:id="rId3614" ref="E1204"/>
    <hyperlink r:id="rId3615" ref="O1204"/>
    <hyperlink r:id="rId3616" ref="B1205"/>
    <hyperlink r:id="rId3617" ref="E1205"/>
    <hyperlink r:id="rId3618" ref="O1205"/>
    <hyperlink r:id="rId3619" ref="B1206"/>
    <hyperlink r:id="rId3620" ref="E1206"/>
    <hyperlink r:id="rId3621" ref="O1206"/>
    <hyperlink r:id="rId3622" ref="B1207"/>
    <hyperlink r:id="rId3623" ref="E1207"/>
    <hyperlink r:id="rId3624" ref="O1207"/>
    <hyperlink r:id="rId3625" ref="B1208"/>
    <hyperlink r:id="rId3626" ref="E1208"/>
    <hyperlink r:id="rId3627" ref="O1208"/>
    <hyperlink r:id="rId3628" ref="B1209"/>
    <hyperlink r:id="rId3629" ref="E1209"/>
    <hyperlink r:id="rId3630" ref="O1209"/>
    <hyperlink r:id="rId3631" ref="B1210"/>
    <hyperlink r:id="rId3632" ref="E1210"/>
    <hyperlink r:id="rId3633" ref="O1210"/>
    <hyperlink r:id="rId3634" ref="B1211"/>
    <hyperlink r:id="rId3635" ref="E1211"/>
    <hyperlink r:id="rId3636" ref="O1211"/>
    <hyperlink r:id="rId3637" ref="B1212"/>
    <hyperlink r:id="rId3638" ref="E1212"/>
    <hyperlink r:id="rId3639" ref="O1212"/>
    <hyperlink r:id="rId3640" ref="B1213"/>
    <hyperlink r:id="rId3641" ref="E1213"/>
    <hyperlink r:id="rId3642" ref="O1213"/>
    <hyperlink r:id="rId3643" ref="B1214"/>
    <hyperlink r:id="rId3644" ref="E1214"/>
    <hyperlink r:id="rId3645" ref="O1214"/>
    <hyperlink r:id="rId3646" ref="B1215"/>
    <hyperlink r:id="rId3647" ref="E1215"/>
    <hyperlink r:id="rId3648" ref="O1215"/>
    <hyperlink r:id="rId3649" ref="B1216"/>
    <hyperlink r:id="rId3650" ref="E1216"/>
    <hyperlink r:id="rId3651" ref="O1216"/>
    <hyperlink r:id="rId3652" ref="B1217"/>
    <hyperlink r:id="rId3653" ref="E1217"/>
    <hyperlink r:id="rId3654" ref="O1217"/>
    <hyperlink r:id="rId3655" ref="B1218"/>
    <hyperlink r:id="rId3656" ref="E1218"/>
    <hyperlink r:id="rId3657" ref="O1218"/>
    <hyperlink r:id="rId3658" ref="B1219"/>
    <hyperlink r:id="rId3659" ref="E1219"/>
    <hyperlink r:id="rId3660" ref="O1219"/>
    <hyperlink r:id="rId3661" ref="B1220"/>
    <hyperlink r:id="rId3662" ref="E1220"/>
    <hyperlink r:id="rId3663" ref="O1220"/>
    <hyperlink r:id="rId3664" ref="B1221"/>
    <hyperlink r:id="rId3665" ref="E1221"/>
    <hyperlink r:id="rId3666" ref="O1221"/>
    <hyperlink r:id="rId3667" ref="B1222"/>
    <hyperlink r:id="rId3668" ref="E1222"/>
    <hyperlink r:id="rId3669" ref="O1222"/>
    <hyperlink r:id="rId3670" ref="B1223"/>
    <hyperlink r:id="rId3671" ref="E1223"/>
    <hyperlink r:id="rId3672" ref="O1223"/>
    <hyperlink r:id="rId3673" ref="B1224"/>
    <hyperlink r:id="rId3674" ref="E1224"/>
    <hyperlink r:id="rId3675" ref="O1224"/>
    <hyperlink r:id="rId3676" ref="B1225"/>
    <hyperlink r:id="rId3677" ref="E1225"/>
    <hyperlink r:id="rId3678" ref="O1225"/>
    <hyperlink r:id="rId3679" ref="B1226"/>
    <hyperlink r:id="rId3680" ref="E1226"/>
    <hyperlink r:id="rId3681" ref="O1226"/>
    <hyperlink r:id="rId3682" ref="B1227"/>
    <hyperlink r:id="rId3683" ref="E1227"/>
    <hyperlink r:id="rId3684" ref="O1227"/>
    <hyperlink r:id="rId3685" ref="B1228"/>
    <hyperlink r:id="rId3686" ref="E1228"/>
    <hyperlink r:id="rId3687" ref="O1228"/>
    <hyperlink r:id="rId3688" ref="B1229"/>
    <hyperlink r:id="rId3689" ref="E1229"/>
    <hyperlink r:id="rId3690" ref="O1229"/>
    <hyperlink r:id="rId3691" ref="B1230"/>
    <hyperlink r:id="rId3692" ref="E1230"/>
    <hyperlink r:id="rId3693" ref="O1230"/>
    <hyperlink r:id="rId3694" ref="B1231"/>
    <hyperlink r:id="rId3695" ref="E1231"/>
    <hyperlink r:id="rId3696" ref="O1231"/>
    <hyperlink r:id="rId3697" ref="B1232"/>
    <hyperlink r:id="rId3698" ref="E1232"/>
    <hyperlink r:id="rId3699" ref="O1232"/>
    <hyperlink r:id="rId3700" ref="B1233"/>
    <hyperlink r:id="rId3701" ref="E1233"/>
    <hyperlink r:id="rId3702" ref="O1233"/>
    <hyperlink r:id="rId3703" ref="B1234"/>
    <hyperlink r:id="rId3704" ref="E1234"/>
    <hyperlink r:id="rId3705" ref="O1234"/>
    <hyperlink r:id="rId3706" ref="B1235"/>
    <hyperlink r:id="rId3707" ref="E1235"/>
    <hyperlink r:id="rId3708" ref="O1235"/>
    <hyperlink r:id="rId3709" ref="B1236"/>
    <hyperlink r:id="rId3710" ref="E1236"/>
    <hyperlink r:id="rId3711" ref="O1236"/>
    <hyperlink r:id="rId3712" ref="B1237"/>
    <hyperlink r:id="rId3713" ref="E1237"/>
    <hyperlink r:id="rId3714" ref="O1237"/>
    <hyperlink r:id="rId3715" ref="B1238"/>
    <hyperlink r:id="rId3716" ref="E1238"/>
    <hyperlink r:id="rId3717" ref="O1238"/>
    <hyperlink r:id="rId3718" ref="B1239"/>
    <hyperlink r:id="rId3719" ref="E1239"/>
    <hyperlink r:id="rId3720" ref="O1239"/>
    <hyperlink r:id="rId3721" ref="B1240"/>
    <hyperlink r:id="rId3722" ref="E1240"/>
    <hyperlink r:id="rId3723" ref="O1240"/>
    <hyperlink r:id="rId3724" ref="B1241"/>
    <hyperlink r:id="rId3725" ref="E1241"/>
    <hyperlink r:id="rId3726" ref="O1241"/>
    <hyperlink r:id="rId3727" ref="B1242"/>
    <hyperlink r:id="rId3728" ref="E1242"/>
    <hyperlink r:id="rId3729" ref="O1242"/>
    <hyperlink r:id="rId3730" ref="B1243"/>
    <hyperlink r:id="rId3731" ref="E1243"/>
    <hyperlink r:id="rId3732" ref="O1243"/>
    <hyperlink r:id="rId3733" ref="B1244"/>
    <hyperlink r:id="rId3734" ref="E1244"/>
    <hyperlink r:id="rId3735" ref="O1244"/>
    <hyperlink r:id="rId3736" ref="B1245"/>
    <hyperlink r:id="rId3737" ref="E1245"/>
    <hyperlink r:id="rId3738" ref="O1245"/>
    <hyperlink r:id="rId3739" ref="B1246"/>
    <hyperlink r:id="rId3740" ref="E1246"/>
    <hyperlink r:id="rId3741" ref="O1246"/>
    <hyperlink r:id="rId3742" ref="B1247"/>
    <hyperlink r:id="rId3743" ref="E1247"/>
    <hyperlink r:id="rId3744" ref="O1247"/>
    <hyperlink r:id="rId3745" ref="B1248"/>
    <hyperlink r:id="rId3746" ref="E1248"/>
    <hyperlink r:id="rId3747" ref="O1248"/>
    <hyperlink r:id="rId3748" ref="B1249"/>
    <hyperlink r:id="rId3749" ref="E1249"/>
    <hyperlink r:id="rId3750" ref="O1249"/>
    <hyperlink r:id="rId3751" ref="B1250"/>
    <hyperlink r:id="rId3752" ref="E1250"/>
    <hyperlink r:id="rId3753" ref="O1250"/>
    <hyperlink r:id="rId3754" ref="B1251"/>
    <hyperlink r:id="rId3755" ref="E1251"/>
    <hyperlink r:id="rId3756" ref="O1251"/>
    <hyperlink r:id="rId3757" ref="B1252"/>
    <hyperlink r:id="rId3758" ref="E1252"/>
    <hyperlink r:id="rId3759" ref="O1252"/>
    <hyperlink r:id="rId3760" ref="B1253"/>
    <hyperlink r:id="rId3761" ref="E1253"/>
    <hyperlink r:id="rId3762" ref="O1253"/>
    <hyperlink r:id="rId3763" ref="B1254"/>
    <hyperlink r:id="rId3764" ref="E1254"/>
    <hyperlink r:id="rId3765" ref="O1254"/>
    <hyperlink r:id="rId3766" ref="B1255"/>
    <hyperlink r:id="rId3767" ref="E1255"/>
    <hyperlink r:id="rId3768" ref="O1255"/>
    <hyperlink r:id="rId3769" ref="B1256"/>
    <hyperlink r:id="rId3770" ref="E1256"/>
    <hyperlink r:id="rId3771" ref="O1256"/>
    <hyperlink r:id="rId3772" ref="B1257"/>
    <hyperlink r:id="rId3773" ref="E1257"/>
    <hyperlink r:id="rId3774" ref="O1257"/>
    <hyperlink r:id="rId3775" ref="B1258"/>
    <hyperlink r:id="rId3776" ref="E1258"/>
    <hyperlink r:id="rId3777" ref="O1258"/>
    <hyperlink r:id="rId3778" ref="B1259"/>
    <hyperlink r:id="rId3779" ref="E1259"/>
    <hyperlink r:id="rId3780" ref="O1259"/>
    <hyperlink r:id="rId3781" ref="B1260"/>
    <hyperlink r:id="rId3782" ref="E1260"/>
    <hyperlink r:id="rId3783" ref="O1260"/>
    <hyperlink r:id="rId3784" ref="B1261"/>
    <hyperlink r:id="rId3785" ref="E1261"/>
    <hyperlink r:id="rId3786" ref="O1261"/>
    <hyperlink r:id="rId3787" ref="B1262"/>
    <hyperlink r:id="rId3788" ref="E1262"/>
    <hyperlink r:id="rId3789" ref="O1262"/>
    <hyperlink r:id="rId3790" ref="B1263"/>
    <hyperlink r:id="rId3791" ref="E1263"/>
    <hyperlink r:id="rId3792" ref="O1263"/>
    <hyperlink r:id="rId3793" ref="B1264"/>
    <hyperlink r:id="rId3794" ref="E1264"/>
    <hyperlink r:id="rId3795" ref="O1264"/>
    <hyperlink r:id="rId3796" ref="B1265"/>
    <hyperlink r:id="rId3797" ref="E1265"/>
    <hyperlink r:id="rId3798" ref="O1265"/>
    <hyperlink r:id="rId3799" ref="B1266"/>
    <hyperlink r:id="rId3800" ref="E1266"/>
    <hyperlink r:id="rId3801" ref="O1266"/>
    <hyperlink r:id="rId3802" ref="B1267"/>
    <hyperlink r:id="rId3803" ref="E1267"/>
    <hyperlink r:id="rId3804" ref="O1267"/>
    <hyperlink r:id="rId3805" ref="B1268"/>
    <hyperlink r:id="rId3806" ref="E1268"/>
    <hyperlink r:id="rId3807" ref="O1268"/>
    <hyperlink r:id="rId3808" ref="B1269"/>
    <hyperlink r:id="rId3809" ref="E1269"/>
    <hyperlink r:id="rId3810" ref="O1269"/>
    <hyperlink r:id="rId3811" ref="B1270"/>
    <hyperlink r:id="rId3812" ref="E1270"/>
    <hyperlink r:id="rId3813" ref="O1270"/>
    <hyperlink r:id="rId3814" ref="B1271"/>
    <hyperlink r:id="rId3815" ref="E1271"/>
    <hyperlink r:id="rId3816" ref="O1271"/>
    <hyperlink r:id="rId3817" ref="B1272"/>
    <hyperlink r:id="rId3818" ref="E1272"/>
    <hyperlink r:id="rId3819" ref="O1272"/>
    <hyperlink r:id="rId3820" ref="B1273"/>
    <hyperlink r:id="rId3821" ref="E1273"/>
    <hyperlink r:id="rId3822" ref="O1273"/>
    <hyperlink r:id="rId3823" ref="B1274"/>
    <hyperlink r:id="rId3824" ref="E1274"/>
    <hyperlink r:id="rId3825" ref="O1274"/>
    <hyperlink r:id="rId3826" ref="B1275"/>
    <hyperlink r:id="rId3827" ref="E1275"/>
    <hyperlink r:id="rId3828" ref="O1275"/>
    <hyperlink r:id="rId3829" ref="B1276"/>
    <hyperlink r:id="rId3830" ref="E1276"/>
    <hyperlink r:id="rId3831" ref="O1276"/>
    <hyperlink r:id="rId3832" ref="B1277"/>
    <hyperlink r:id="rId3833" ref="E1277"/>
    <hyperlink r:id="rId3834" ref="O1277"/>
    <hyperlink r:id="rId3835" ref="B1278"/>
    <hyperlink r:id="rId3836" ref="E1278"/>
    <hyperlink r:id="rId3837" ref="O1278"/>
    <hyperlink r:id="rId3838" ref="B1279"/>
    <hyperlink r:id="rId3839" ref="E1279"/>
    <hyperlink r:id="rId3840" ref="O1279"/>
    <hyperlink r:id="rId3841" ref="B1280"/>
    <hyperlink r:id="rId3842" ref="E1280"/>
    <hyperlink r:id="rId3843" ref="O1280"/>
    <hyperlink r:id="rId3844" ref="B1281"/>
    <hyperlink r:id="rId3845" ref="E1281"/>
    <hyperlink r:id="rId3846" ref="O1281"/>
    <hyperlink r:id="rId3847" ref="B1282"/>
    <hyperlink r:id="rId3848" ref="E1282"/>
    <hyperlink r:id="rId3849" ref="O1282"/>
    <hyperlink r:id="rId3850" ref="B1283"/>
    <hyperlink r:id="rId3851" ref="E1283"/>
    <hyperlink r:id="rId3852" ref="O1283"/>
    <hyperlink r:id="rId3853" ref="B1284"/>
    <hyperlink r:id="rId3854" ref="E1284"/>
    <hyperlink r:id="rId3855" ref="O1284"/>
    <hyperlink r:id="rId3856" ref="B1285"/>
    <hyperlink r:id="rId3857" ref="E1285"/>
    <hyperlink r:id="rId3858" ref="O1285"/>
    <hyperlink r:id="rId3859" ref="B1286"/>
    <hyperlink r:id="rId3860" ref="E1286"/>
    <hyperlink r:id="rId3861" ref="O1286"/>
    <hyperlink r:id="rId3862" ref="B1287"/>
    <hyperlink r:id="rId3863" ref="E1287"/>
    <hyperlink r:id="rId3864" ref="O1287"/>
    <hyperlink r:id="rId3865" ref="B1288"/>
    <hyperlink r:id="rId3866" ref="E1288"/>
    <hyperlink r:id="rId3867" ref="O1288"/>
    <hyperlink r:id="rId3868" ref="B1289"/>
    <hyperlink r:id="rId3869" ref="E1289"/>
    <hyperlink r:id="rId3870" ref="O1289"/>
    <hyperlink r:id="rId3871" ref="B1290"/>
    <hyperlink r:id="rId3872" ref="E1290"/>
    <hyperlink r:id="rId3873" ref="O1290"/>
    <hyperlink r:id="rId3874" ref="B1291"/>
    <hyperlink r:id="rId3875" ref="E1291"/>
    <hyperlink r:id="rId3876" ref="O1291"/>
    <hyperlink r:id="rId3877" ref="B1292"/>
    <hyperlink r:id="rId3878" ref="E1292"/>
    <hyperlink r:id="rId3879" ref="O1292"/>
    <hyperlink r:id="rId3880" ref="B1293"/>
    <hyperlink r:id="rId3881" ref="E1293"/>
    <hyperlink r:id="rId3882" ref="O1293"/>
    <hyperlink r:id="rId3883" ref="B1294"/>
    <hyperlink r:id="rId3884" ref="E1294"/>
    <hyperlink r:id="rId3885" ref="O1294"/>
    <hyperlink r:id="rId3886" ref="B1295"/>
    <hyperlink r:id="rId3887" ref="E1295"/>
    <hyperlink r:id="rId3888" ref="O1295"/>
    <hyperlink r:id="rId3889" ref="B1296"/>
    <hyperlink r:id="rId3890" ref="E1296"/>
    <hyperlink r:id="rId3891" ref="O1296"/>
    <hyperlink r:id="rId3892" ref="B1297"/>
    <hyperlink r:id="rId3893" ref="E1297"/>
    <hyperlink r:id="rId3894" ref="O1297"/>
    <hyperlink r:id="rId3895" ref="B1298"/>
    <hyperlink r:id="rId3896" ref="E1298"/>
    <hyperlink r:id="rId3897" ref="O1298"/>
    <hyperlink r:id="rId3898" ref="B1299"/>
    <hyperlink r:id="rId3899" ref="E1299"/>
    <hyperlink r:id="rId3900" ref="O1299"/>
    <hyperlink r:id="rId3901" ref="B1300"/>
    <hyperlink r:id="rId3902" ref="E1300"/>
    <hyperlink r:id="rId3903" ref="O1300"/>
    <hyperlink r:id="rId3904" ref="B1301"/>
    <hyperlink r:id="rId3905" ref="E1301"/>
    <hyperlink r:id="rId3906" ref="O1301"/>
    <hyperlink r:id="rId3907" ref="B1302"/>
    <hyperlink r:id="rId3908" ref="E1302"/>
    <hyperlink r:id="rId3909" ref="O1302"/>
    <hyperlink r:id="rId3910" ref="B1303"/>
    <hyperlink r:id="rId3911" ref="E1303"/>
    <hyperlink r:id="rId3912" ref="O1303"/>
    <hyperlink r:id="rId3913" ref="B1304"/>
    <hyperlink r:id="rId3914" ref="E1304"/>
    <hyperlink r:id="rId3915" ref="O1304"/>
    <hyperlink r:id="rId3916" ref="B1305"/>
    <hyperlink r:id="rId3917" ref="E1305"/>
    <hyperlink r:id="rId3918" ref="O1305"/>
    <hyperlink r:id="rId3919" ref="B1306"/>
    <hyperlink r:id="rId3920" ref="E1306"/>
    <hyperlink r:id="rId3921" ref="O1306"/>
    <hyperlink r:id="rId3922" ref="B1307"/>
    <hyperlink r:id="rId3923" ref="E1307"/>
    <hyperlink r:id="rId3924" ref="O1307"/>
    <hyperlink r:id="rId3925" ref="B1308"/>
    <hyperlink r:id="rId3926" ref="E1308"/>
    <hyperlink r:id="rId3927" ref="O1308"/>
    <hyperlink r:id="rId3928" ref="B1309"/>
    <hyperlink r:id="rId3929" ref="E1309"/>
    <hyperlink r:id="rId3930" ref="O1309"/>
    <hyperlink r:id="rId3931" ref="B1310"/>
    <hyperlink r:id="rId3932" ref="E1310"/>
    <hyperlink r:id="rId3933" ref="O1310"/>
    <hyperlink r:id="rId3934" ref="B1311"/>
    <hyperlink r:id="rId3935" ref="E1311"/>
    <hyperlink r:id="rId3936" ref="O1311"/>
    <hyperlink r:id="rId3937" ref="B1312"/>
    <hyperlink r:id="rId3938" ref="E1312"/>
    <hyperlink r:id="rId3939" ref="O1312"/>
    <hyperlink r:id="rId3940" ref="B1313"/>
    <hyperlink r:id="rId3941" ref="E1313"/>
    <hyperlink r:id="rId3942" ref="O1313"/>
    <hyperlink r:id="rId3943" ref="B1314"/>
    <hyperlink r:id="rId3944" ref="E1314"/>
    <hyperlink r:id="rId3945" ref="O1314"/>
    <hyperlink r:id="rId3946" ref="B1315"/>
    <hyperlink r:id="rId3947" ref="E1315"/>
    <hyperlink r:id="rId3948" ref="O1315"/>
    <hyperlink r:id="rId3949" ref="B1316"/>
    <hyperlink r:id="rId3950" ref="E1316"/>
    <hyperlink r:id="rId3951" ref="O1316"/>
    <hyperlink r:id="rId3952" ref="B1317"/>
    <hyperlink r:id="rId3953" ref="E1317"/>
    <hyperlink r:id="rId3954" ref="O1317"/>
    <hyperlink r:id="rId3955" ref="B1318"/>
    <hyperlink r:id="rId3956" ref="E1318"/>
    <hyperlink r:id="rId3957" ref="O1318"/>
    <hyperlink r:id="rId3958" ref="B1319"/>
    <hyperlink r:id="rId3959" ref="E1319"/>
    <hyperlink r:id="rId3960" ref="O1319"/>
    <hyperlink r:id="rId3961" ref="B1320"/>
    <hyperlink r:id="rId3962" ref="E1320"/>
    <hyperlink r:id="rId3963" ref="O1320"/>
    <hyperlink r:id="rId3964" ref="B1321"/>
    <hyperlink r:id="rId3965" ref="E1321"/>
    <hyperlink r:id="rId3966" ref="O1321"/>
    <hyperlink r:id="rId3967" ref="B1322"/>
    <hyperlink r:id="rId3968" ref="E1322"/>
    <hyperlink r:id="rId3969" ref="O1322"/>
    <hyperlink r:id="rId3970" ref="B1323"/>
    <hyperlink r:id="rId3971" ref="E1323"/>
    <hyperlink r:id="rId3972" ref="O1323"/>
    <hyperlink r:id="rId3973" ref="B1324"/>
    <hyperlink r:id="rId3974" ref="E1324"/>
    <hyperlink r:id="rId3975" ref="O1324"/>
    <hyperlink r:id="rId3976" ref="B1325"/>
    <hyperlink r:id="rId3977" ref="E1325"/>
    <hyperlink r:id="rId3978" ref="O1325"/>
    <hyperlink r:id="rId3979" ref="B1326"/>
    <hyperlink r:id="rId3980" ref="E1326"/>
    <hyperlink r:id="rId3981" ref="O1326"/>
    <hyperlink r:id="rId3982" ref="B1327"/>
    <hyperlink r:id="rId3983" ref="E1327"/>
    <hyperlink r:id="rId3984" ref="O1327"/>
    <hyperlink r:id="rId3985" ref="B1328"/>
    <hyperlink r:id="rId3986" ref="E1328"/>
    <hyperlink r:id="rId3987" ref="O1328"/>
    <hyperlink r:id="rId3988" ref="B1329"/>
    <hyperlink r:id="rId3989" ref="E1329"/>
    <hyperlink r:id="rId3990" ref="O1329"/>
    <hyperlink r:id="rId3991" ref="B1330"/>
    <hyperlink r:id="rId3992" ref="E1330"/>
    <hyperlink r:id="rId3993" ref="O1330"/>
    <hyperlink r:id="rId3994" ref="B1331"/>
    <hyperlink r:id="rId3995" ref="E1331"/>
    <hyperlink r:id="rId3996" ref="O1331"/>
    <hyperlink r:id="rId3997" ref="B1332"/>
    <hyperlink r:id="rId3998" ref="E1332"/>
    <hyperlink r:id="rId3999" ref="O1332"/>
    <hyperlink r:id="rId4000" ref="B1333"/>
    <hyperlink r:id="rId4001" ref="E1333"/>
    <hyperlink r:id="rId4002" ref="O1333"/>
    <hyperlink r:id="rId4003" ref="B1334"/>
    <hyperlink r:id="rId4004" ref="E1334"/>
    <hyperlink r:id="rId4005" ref="O1334"/>
    <hyperlink r:id="rId4006" ref="B1335"/>
    <hyperlink r:id="rId4007" ref="E1335"/>
    <hyperlink r:id="rId4008" ref="O1335"/>
    <hyperlink r:id="rId4009" ref="B1336"/>
    <hyperlink r:id="rId4010" ref="E1336"/>
    <hyperlink r:id="rId4011" ref="O1336"/>
    <hyperlink r:id="rId4012" ref="B1337"/>
    <hyperlink r:id="rId4013" ref="E1337"/>
    <hyperlink r:id="rId4014" ref="O1337"/>
    <hyperlink r:id="rId4015" ref="B1338"/>
    <hyperlink r:id="rId4016" ref="E1338"/>
    <hyperlink r:id="rId4017" ref="O1338"/>
    <hyperlink r:id="rId4018" ref="B1339"/>
    <hyperlink r:id="rId4019" ref="E1339"/>
    <hyperlink r:id="rId4020" ref="O1339"/>
    <hyperlink r:id="rId4021" ref="B1340"/>
    <hyperlink r:id="rId4022" ref="E1340"/>
    <hyperlink r:id="rId4023" ref="O1340"/>
    <hyperlink r:id="rId4024" ref="B1341"/>
    <hyperlink r:id="rId4025" ref="E1341"/>
    <hyperlink r:id="rId4026" ref="O1341"/>
    <hyperlink r:id="rId4027" ref="B1342"/>
    <hyperlink r:id="rId4028" ref="E1342"/>
    <hyperlink r:id="rId4029" ref="O1342"/>
    <hyperlink r:id="rId4030" ref="B1343"/>
    <hyperlink r:id="rId4031" ref="E1343"/>
    <hyperlink r:id="rId4032" ref="O1343"/>
    <hyperlink r:id="rId4033" ref="B1344"/>
    <hyperlink r:id="rId4034" ref="E1344"/>
    <hyperlink r:id="rId4035" ref="O1344"/>
    <hyperlink r:id="rId4036" ref="B1345"/>
    <hyperlink r:id="rId4037" ref="E1345"/>
    <hyperlink r:id="rId4038" ref="O1345"/>
    <hyperlink r:id="rId4039" ref="B1346"/>
    <hyperlink r:id="rId4040" ref="E1346"/>
    <hyperlink r:id="rId4041" ref="O1346"/>
    <hyperlink r:id="rId4042" ref="B1347"/>
    <hyperlink r:id="rId4043" ref="E1347"/>
    <hyperlink r:id="rId4044" ref="O1347"/>
    <hyperlink r:id="rId4045" ref="B1348"/>
    <hyperlink r:id="rId4046" ref="E1348"/>
    <hyperlink r:id="rId4047" ref="O1348"/>
    <hyperlink r:id="rId4048" ref="B1349"/>
    <hyperlink r:id="rId4049" ref="E1349"/>
    <hyperlink r:id="rId4050" ref="O1349"/>
    <hyperlink r:id="rId4051" ref="B1350"/>
    <hyperlink r:id="rId4052" ref="E1350"/>
    <hyperlink r:id="rId4053" ref="O1350"/>
    <hyperlink r:id="rId4054" ref="B1351"/>
    <hyperlink r:id="rId4055" ref="E1351"/>
    <hyperlink r:id="rId4056" ref="O1351"/>
    <hyperlink r:id="rId4057" ref="B1352"/>
    <hyperlink r:id="rId4058" ref="E1352"/>
    <hyperlink r:id="rId4059" ref="O1352"/>
    <hyperlink r:id="rId4060" ref="B1353"/>
    <hyperlink r:id="rId4061" ref="E1353"/>
    <hyperlink r:id="rId4062" ref="O1353"/>
    <hyperlink r:id="rId4063" ref="B1354"/>
    <hyperlink r:id="rId4064" ref="E1354"/>
    <hyperlink r:id="rId4065" ref="O1354"/>
    <hyperlink r:id="rId4066" ref="B1355"/>
    <hyperlink r:id="rId4067" ref="E1355"/>
    <hyperlink r:id="rId4068" ref="O1355"/>
    <hyperlink r:id="rId4069" ref="B1356"/>
    <hyperlink r:id="rId4070" ref="E1356"/>
    <hyperlink r:id="rId4071" ref="O1356"/>
    <hyperlink r:id="rId4072" ref="B1357"/>
    <hyperlink r:id="rId4073" ref="E1357"/>
    <hyperlink r:id="rId4074" ref="O1357"/>
    <hyperlink r:id="rId4075" ref="B1358"/>
    <hyperlink r:id="rId4076" ref="E1358"/>
    <hyperlink r:id="rId4077" ref="O1358"/>
    <hyperlink r:id="rId4078" ref="B1359"/>
    <hyperlink r:id="rId4079" ref="E1359"/>
    <hyperlink r:id="rId4080" ref="O1359"/>
    <hyperlink r:id="rId4081" ref="B1360"/>
    <hyperlink r:id="rId4082" ref="E1360"/>
    <hyperlink r:id="rId4083" ref="O1360"/>
    <hyperlink r:id="rId4084" ref="B1361"/>
    <hyperlink r:id="rId4085" ref="E1361"/>
    <hyperlink r:id="rId4086" ref="O1361"/>
    <hyperlink r:id="rId4087" ref="B1362"/>
    <hyperlink r:id="rId4088" ref="E1362"/>
    <hyperlink r:id="rId4089" ref="O1362"/>
    <hyperlink r:id="rId4090" ref="B1363"/>
    <hyperlink r:id="rId4091" ref="E1363"/>
    <hyperlink r:id="rId4092" ref="O1363"/>
    <hyperlink r:id="rId4093" ref="B1364"/>
    <hyperlink r:id="rId4094" ref="E1364"/>
    <hyperlink r:id="rId4095" ref="O1364"/>
    <hyperlink r:id="rId4096" ref="B1365"/>
    <hyperlink r:id="rId4097" ref="E1365"/>
    <hyperlink r:id="rId4098" ref="O1365"/>
    <hyperlink r:id="rId4099" ref="B1366"/>
    <hyperlink r:id="rId4100" ref="E1366"/>
    <hyperlink r:id="rId4101" ref="O1366"/>
    <hyperlink r:id="rId4102" ref="B1367"/>
    <hyperlink r:id="rId4103" ref="E1367"/>
    <hyperlink r:id="rId4104" ref="O1367"/>
    <hyperlink r:id="rId4105" ref="B1368"/>
    <hyperlink r:id="rId4106" ref="E1368"/>
    <hyperlink r:id="rId4107" ref="O1368"/>
    <hyperlink r:id="rId4108" ref="B1369"/>
    <hyperlink r:id="rId4109" ref="E1369"/>
    <hyperlink r:id="rId4110" ref="O1369"/>
    <hyperlink r:id="rId4111" ref="B1370"/>
    <hyperlink r:id="rId4112" ref="E1370"/>
    <hyperlink r:id="rId4113" ref="O1370"/>
    <hyperlink r:id="rId4114" ref="B1371"/>
    <hyperlink r:id="rId4115" ref="E1371"/>
    <hyperlink r:id="rId4116" ref="O1371"/>
    <hyperlink r:id="rId4117" ref="B1372"/>
    <hyperlink r:id="rId4118" ref="E1372"/>
    <hyperlink r:id="rId4119" ref="O1372"/>
    <hyperlink r:id="rId4120" ref="B1373"/>
    <hyperlink r:id="rId4121" ref="E1373"/>
    <hyperlink r:id="rId4122" ref="O1373"/>
    <hyperlink r:id="rId4123" ref="B1374"/>
    <hyperlink r:id="rId4124" ref="E1374"/>
    <hyperlink r:id="rId4125" ref="O1374"/>
    <hyperlink r:id="rId4126" ref="B1375"/>
    <hyperlink r:id="rId4127" ref="E1375"/>
    <hyperlink r:id="rId4128" ref="O1375"/>
    <hyperlink r:id="rId4129" ref="B1376"/>
    <hyperlink r:id="rId4130" ref="E1376"/>
    <hyperlink r:id="rId4131" ref="O1376"/>
    <hyperlink r:id="rId4132" ref="B1377"/>
    <hyperlink r:id="rId4133" ref="E1377"/>
    <hyperlink r:id="rId4134" ref="O1377"/>
    <hyperlink r:id="rId4135" ref="B1378"/>
    <hyperlink r:id="rId4136" ref="E1378"/>
    <hyperlink r:id="rId4137" ref="O1378"/>
    <hyperlink r:id="rId4138" ref="B1379"/>
    <hyperlink r:id="rId4139" ref="E1379"/>
    <hyperlink r:id="rId4140" ref="O1379"/>
    <hyperlink r:id="rId4141" ref="B1380"/>
    <hyperlink r:id="rId4142" ref="E1380"/>
    <hyperlink r:id="rId4143" ref="O1380"/>
    <hyperlink r:id="rId4144" ref="B1381"/>
    <hyperlink r:id="rId4145" ref="E1381"/>
    <hyperlink r:id="rId4146" ref="O1381"/>
    <hyperlink r:id="rId4147" ref="B1382"/>
    <hyperlink r:id="rId4148" ref="E1382"/>
    <hyperlink r:id="rId4149" ref="O1382"/>
    <hyperlink r:id="rId4150" ref="B1383"/>
    <hyperlink r:id="rId4151" ref="E1383"/>
    <hyperlink r:id="rId4152" ref="O1383"/>
    <hyperlink r:id="rId4153" ref="B1384"/>
    <hyperlink r:id="rId4154" ref="E1384"/>
    <hyperlink r:id="rId4155" ref="O1384"/>
    <hyperlink r:id="rId4156" ref="B1385"/>
    <hyperlink r:id="rId4157" ref="E1385"/>
    <hyperlink r:id="rId4158" ref="O1385"/>
    <hyperlink r:id="rId4159" ref="B1386"/>
    <hyperlink r:id="rId4160" ref="E1386"/>
    <hyperlink r:id="rId4161" ref="O1386"/>
    <hyperlink r:id="rId4162" ref="B1387"/>
    <hyperlink r:id="rId4163" ref="E1387"/>
    <hyperlink r:id="rId4164" ref="O1387"/>
    <hyperlink r:id="rId4165" ref="B1388"/>
    <hyperlink r:id="rId4166" ref="E1388"/>
    <hyperlink r:id="rId4167" ref="O1388"/>
    <hyperlink r:id="rId4168" ref="B1389"/>
    <hyperlink r:id="rId4169" ref="E1389"/>
    <hyperlink r:id="rId4170" ref="O1389"/>
    <hyperlink r:id="rId4171" ref="B1390"/>
    <hyperlink r:id="rId4172" ref="E1390"/>
    <hyperlink r:id="rId4173" ref="O1390"/>
    <hyperlink r:id="rId4174" ref="B1391"/>
    <hyperlink r:id="rId4175" ref="E1391"/>
    <hyperlink r:id="rId4176" ref="O1391"/>
    <hyperlink r:id="rId4177" ref="B1392"/>
    <hyperlink r:id="rId4178" ref="E1392"/>
    <hyperlink r:id="rId4179" ref="O1392"/>
    <hyperlink r:id="rId4180" ref="B1393"/>
    <hyperlink r:id="rId4181" ref="E1393"/>
    <hyperlink r:id="rId4182" ref="O1393"/>
    <hyperlink r:id="rId4183" ref="B1394"/>
    <hyperlink r:id="rId4184" ref="E1394"/>
    <hyperlink r:id="rId4185" ref="O1394"/>
    <hyperlink r:id="rId4186" ref="B1395"/>
    <hyperlink r:id="rId4187" ref="E1395"/>
    <hyperlink r:id="rId4188" ref="O1395"/>
    <hyperlink r:id="rId4189" ref="B1396"/>
    <hyperlink r:id="rId4190" ref="E1396"/>
    <hyperlink r:id="rId4191" ref="O1396"/>
    <hyperlink r:id="rId4192" ref="B1397"/>
    <hyperlink r:id="rId4193" ref="E1397"/>
    <hyperlink r:id="rId4194" ref="O1397"/>
    <hyperlink r:id="rId4195" ref="B1398"/>
    <hyperlink r:id="rId4196" ref="E1398"/>
    <hyperlink r:id="rId4197" ref="O1398"/>
    <hyperlink r:id="rId4198" ref="B1399"/>
    <hyperlink r:id="rId4199" ref="E1399"/>
    <hyperlink r:id="rId4200" ref="O1399"/>
    <hyperlink r:id="rId4201" ref="B1400"/>
    <hyperlink r:id="rId4202" ref="E1400"/>
    <hyperlink r:id="rId4203" ref="O1400"/>
    <hyperlink r:id="rId4204" ref="B1401"/>
    <hyperlink r:id="rId4205" ref="E1401"/>
    <hyperlink r:id="rId4206" ref="O1401"/>
    <hyperlink r:id="rId4207" ref="B1402"/>
    <hyperlink r:id="rId4208" ref="E1402"/>
    <hyperlink r:id="rId4209" ref="O1402"/>
    <hyperlink r:id="rId4210" ref="B1403"/>
    <hyperlink r:id="rId4211" ref="E1403"/>
    <hyperlink r:id="rId4212" ref="O1403"/>
    <hyperlink r:id="rId4213" ref="B1404"/>
    <hyperlink r:id="rId4214" ref="E1404"/>
    <hyperlink r:id="rId4215" ref="O1404"/>
    <hyperlink r:id="rId4216" ref="B1405"/>
    <hyperlink r:id="rId4217" ref="E1405"/>
    <hyperlink r:id="rId4218" ref="O1405"/>
    <hyperlink r:id="rId4219" ref="B1406"/>
    <hyperlink r:id="rId4220" ref="E1406"/>
    <hyperlink r:id="rId4221" ref="O1406"/>
    <hyperlink r:id="rId4222" ref="B1407"/>
    <hyperlink r:id="rId4223" ref="E1407"/>
    <hyperlink r:id="rId4224" ref="O1407"/>
    <hyperlink r:id="rId4225" ref="B1408"/>
    <hyperlink r:id="rId4226" ref="E1408"/>
    <hyperlink r:id="rId4227" ref="O1408"/>
    <hyperlink r:id="rId4228" ref="B1409"/>
    <hyperlink r:id="rId4229" ref="E1409"/>
    <hyperlink r:id="rId4230" ref="O1409"/>
    <hyperlink r:id="rId4231" ref="B1410"/>
    <hyperlink r:id="rId4232" ref="E1410"/>
    <hyperlink r:id="rId4233" ref="O1410"/>
    <hyperlink r:id="rId4234" ref="B1411"/>
    <hyperlink r:id="rId4235" ref="E1411"/>
    <hyperlink r:id="rId4236" ref="O1411"/>
    <hyperlink r:id="rId4237" ref="B1412"/>
    <hyperlink r:id="rId4238" ref="E1412"/>
    <hyperlink r:id="rId4239" ref="O1412"/>
    <hyperlink r:id="rId4240" ref="B1413"/>
    <hyperlink r:id="rId4241" ref="E1413"/>
    <hyperlink r:id="rId4242" ref="O1413"/>
    <hyperlink r:id="rId4243" ref="B1414"/>
    <hyperlink r:id="rId4244" ref="E1414"/>
    <hyperlink r:id="rId4245" ref="O1414"/>
    <hyperlink r:id="rId4246" ref="B1415"/>
    <hyperlink r:id="rId4247" ref="E1415"/>
    <hyperlink r:id="rId4248" ref="O1415"/>
    <hyperlink r:id="rId4249" ref="B1416"/>
    <hyperlink r:id="rId4250" ref="E1416"/>
    <hyperlink r:id="rId4251" ref="O1416"/>
    <hyperlink r:id="rId4252" ref="B1417"/>
    <hyperlink r:id="rId4253" ref="E1417"/>
    <hyperlink r:id="rId4254" ref="O1417"/>
    <hyperlink r:id="rId4255" ref="B1418"/>
    <hyperlink r:id="rId4256" ref="E1418"/>
    <hyperlink r:id="rId4257" ref="O1418"/>
    <hyperlink r:id="rId4258" ref="B1419"/>
    <hyperlink r:id="rId4259" ref="E1419"/>
    <hyperlink r:id="rId4260" ref="O1419"/>
    <hyperlink r:id="rId4261" ref="B1420"/>
    <hyperlink r:id="rId4262" ref="E1420"/>
    <hyperlink r:id="rId4263" ref="O1420"/>
    <hyperlink r:id="rId4264" ref="B1421"/>
    <hyperlink r:id="rId4265" ref="E1421"/>
    <hyperlink r:id="rId4266" ref="O1421"/>
    <hyperlink r:id="rId4267" ref="B1422"/>
    <hyperlink r:id="rId4268" ref="E1422"/>
    <hyperlink r:id="rId4269" ref="O1422"/>
    <hyperlink r:id="rId4270" ref="B1423"/>
    <hyperlink r:id="rId4271" ref="E1423"/>
    <hyperlink r:id="rId4272" ref="O1423"/>
    <hyperlink r:id="rId4273" ref="B1424"/>
    <hyperlink r:id="rId4274" ref="E1424"/>
    <hyperlink r:id="rId4275" ref="O1424"/>
    <hyperlink r:id="rId4276" ref="B1425"/>
    <hyperlink r:id="rId4277" ref="E1425"/>
    <hyperlink r:id="rId4278" ref="O1425"/>
    <hyperlink r:id="rId4279" ref="B1426"/>
    <hyperlink r:id="rId4280" ref="E1426"/>
    <hyperlink r:id="rId4281" ref="O1426"/>
    <hyperlink r:id="rId4282" ref="B1427"/>
    <hyperlink r:id="rId4283" ref="E1427"/>
    <hyperlink r:id="rId4284" ref="O1427"/>
    <hyperlink r:id="rId4285" ref="B1428"/>
    <hyperlink r:id="rId4286" ref="E1428"/>
    <hyperlink r:id="rId4287" ref="O1428"/>
    <hyperlink r:id="rId4288" ref="B1429"/>
    <hyperlink r:id="rId4289" ref="E1429"/>
    <hyperlink r:id="rId4290" ref="O1429"/>
    <hyperlink r:id="rId4291" ref="B1430"/>
    <hyperlink r:id="rId4292" ref="E1430"/>
    <hyperlink r:id="rId4293" ref="O1430"/>
    <hyperlink r:id="rId4294" ref="B1431"/>
    <hyperlink r:id="rId4295" ref="E1431"/>
    <hyperlink r:id="rId4296" ref="O1431"/>
    <hyperlink r:id="rId4297" ref="B1432"/>
    <hyperlink r:id="rId4298" ref="E1432"/>
    <hyperlink r:id="rId4299" ref="O1432"/>
    <hyperlink r:id="rId4300" ref="B1433"/>
    <hyperlink r:id="rId4301" ref="E1433"/>
    <hyperlink r:id="rId4302" ref="O1433"/>
    <hyperlink r:id="rId4303" ref="B1434"/>
    <hyperlink r:id="rId4304" ref="E1434"/>
    <hyperlink r:id="rId4305" ref="O1434"/>
    <hyperlink r:id="rId4306" ref="B1435"/>
    <hyperlink r:id="rId4307" ref="E1435"/>
    <hyperlink r:id="rId4308" ref="O1435"/>
    <hyperlink r:id="rId4309" ref="B1436"/>
    <hyperlink r:id="rId4310" ref="E1436"/>
    <hyperlink r:id="rId4311" ref="O1436"/>
    <hyperlink r:id="rId4312" ref="B1437"/>
    <hyperlink r:id="rId4313" ref="E1437"/>
    <hyperlink r:id="rId4314" ref="O1437"/>
    <hyperlink r:id="rId4315" ref="B1438"/>
    <hyperlink r:id="rId4316" ref="E1438"/>
    <hyperlink r:id="rId4317" ref="O1438"/>
    <hyperlink r:id="rId4318" ref="B1439"/>
    <hyperlink r:id="rId4319" ref="E1439"/>
    <hyperlink r:id="rId4320" ref="O1439"/>
    <hyperlink r:id="rId4321" ref="B1440"/>
    <hyperlink r:id="rId4322" ref="E1440"/>
    <hyperlink r:id="rId4323" ref="O1440"/>
    <hyperlink r:id="rId4324" ref="B1441"/>
    <hyperlink r:id="rId4325" ref="E1441"/>
    <hyperlink r:id="rId4326" ref="O1441"/>
    <hyperlink r:id="rId4327" ref="B1442"/>
    <hyperlink r:id="rId4328" ref="E1442"/>
    <hyperlink r:id="rId4329" ref="O1442"/>
    <hyperlink r:id="rId4330" ref="B1443"/>
    <hyperlink r:id="rId4331" ref="E1443"/>
    <hyperlink r:id="rId4332" ref="O1443"/>
    <hyperlink r:id="rId4333" ref="B1444"/>
    <hyperlink r:id="rId4334" ref="E1444"/>
    <hyperlink r:id="rId4335" ref="O1444"/>
    <hyperlink r:id="rId4336" ref="B1445"/>
    <hyperlink r:id="rId4337" ref="E1445"/>
    <hyperlink r:id="rId4338" ref="O1445"/>
    <hyperlink r:id="rId4339" ref="B1446"/>
    <hyperlink r:id="rId4340" ref="E1446"/>
    <hyperlink r:id="rId4341" ref="O1446"/>
    <hyperlink r:id="rId4342" ref="B1447"/>
    <hyperlink r:id="rId4343" ref="E1447"/>
    <hyperlink r:id="rId4344" ref="O1447"/>
    <hyperlink r:id="rId4345" ref="B1448"/>
    <hyperlink r:id="rId4346" ref="E1448"/>
    <hyperlink r:id="rId4347" ref="O1448"/>
    <hyperlink r:id="rId4348" ref="B1449"/>
    <hyperlink r:id="rId4349" ref="E1449"/>
    <hyperlink r:id="rId4350" ref="O1449"/>
    <hyperlink r:id="rId4351" ref="B1450"/>
    <hyperlink r:id="rId4352" ref="E1450"/>
    <hyperlink r:id="rId4353" ref="O1450"/>
    <hyperlink r:id="rId4354" ref="B1451"/>
    <hyperlink r:id="rId4355" ref="E1451"/>
    <hyperlink r:id="rId4356" ref="O1451"/>
    <hyperlink r:id="rId4357" ref="B1452"/>
    <hyperlink r:id="rId4358" ref="E1452"/>
    <hyperlink r:id="rId4359" ref="O1452"/>
    <hyperlink r:id="rId4360" ref="B1453"/>
    <hyperlink r:id="rId4361" ref="E1453"/>
    <hyperlink r:id="rId4362" ref="O1453"/>
    <hyperlink r:id="rId4363" ref="B1454"/>
    <hyperlink r:id="rId4364" ref="E1454"/>
    <hyperlink r:id="rId4365" ref="O1454"/>
    <hyperlink r:id="rId4366" ref="B1455"/>
    <hyperlink r:id="rId4367" ref="E1455"/>
    <hyperlink r:id="rId4368" ref="O1455"/>
    <hyperlink r:id="rId4369" ref="B1456"/>
    <hyperlink r:id="rId4370" ref="E1456"/>
    <hyperlink r:id="rId4371" ref="O1456"/>
    <hyperlink r:id="rId4372" ref="B1457"/>
    <hyperlink r:id="rId4373" ref="E1457"/>
    <hyperlink r:id="rId4374" ref="O1457"/>
    <hyperlink r:id="rId4375" ref="B1458"/>
    <hyperlink r:id="rId4376" ref="E1458"/>
    <hyperlink r:id="rId4377" ref="O1458"/>
    <hyperlink r:id="rId4378" ref="B1459"/>
    <hyperlink r:id="rId4379" ref="E1459"/>
    <hyperlink r:id="rId4380" ref="O1459"/>
    <hyperlink r:id="rId4381" ref="B1460"/>
    <hyperlink r:id="rId4382" ref="E1460"/>
    <hyperlink r:id="rId4383" ref="O1460"/>
    <hyperlink r:id="rId4384" ref="B1461"/>
    <hyperlink r:id="rId4385" ref="E1461"/>
    <hyperlink r:id="rId4386" ref="O1461"/>
    <hyperlink r:id="rId4387" ref="B1462"/>
    <hyperlink r:id="rId4388" ref="E1462"/>
    <hyperlink r:id="rId4389" ref="O1462"/>
    <hyperlink r:id="rId4390" ref="B1463"/>
    <hyperlink r:id="rId4391" ref="E1463"/>
    <hyperlink r:id="rId4392" ref="O1463"/>
    <hyperlink r:id="rId4393" ref="B1464"/>
    <hyperlink r:id="rId4394" ref="E1464"/>
    <hyperlink r:id="rId4395" ref="O1464"/>
    <hyperlink r:id="rId4396" ref="B1465"/>
    <hyperlink r:id="rId4397" ref="E1465"/>
    <hyperlink r:id="rId4398" ref="O1465"/>
    <hyperlink r:id="rId4399" ref="B1466"/>
    <hyperlink r:id="rId4400" ref="E1466"/>
    <hyperlink r:id="rId4401" ref="O1466"/>
    <hyperlink r:id="rId4402" ref="B1467"/>
    <hyperlink r:id="rId4403" ref="E1467"/>
    <hyperlink r:id="rId4404" ref="O1467"/>
    <hyperlink r:id="rId4405" ref="B1468"/>
    <hyperlink r:id="rId4406" ref="E1468"/>
    <hyperlink r:id="rId4407" ref="O1468"/>
    <hyperlink r:id="rId4408" ref="B1469"/>
    <hyperlink r:id="rId4409" ref="E1469"/>
    <hyperlink r:id="rId4410" ref="O1469"/>
    <hyperlink r:id="rId4411" ref="B1470"/>
    <hyperlink r:id="rId4412" ref="E1470"/>
    <hyperlink r:id="rId4413" ref="O1470"/>
    <hyperlink r:id="rId4414" ref="B1471"/>
    <hyperlink r:id="rId4415" ref="E1471"/>
    <hyperlink r:id="rId4416" ref="O1471"/>
    <hyperlink r:id="rId4417" ref="B1472"/>
    <hyperlink r:id="rId4418" ref="E1472"/>
    <hyperlink r:id="rId4419" ref="O1472"/>
    <hyperlink r:id="rId4420" ref="B1473"/>
    <hyperlink r:id="rId4421" ref="E1473"/>
    <hyperlink r:id="rId4422" ref="O1473"/>
    <hyperlink r:id="rId4423" ref="B1474"/>
    <hyperlink r:id="rId4424" ref="E1474"/>
    <hyperlink r:id="rId4425" ref="O1474"/>
    <hyperlink r:id="rId4426" ref="B1475"/>
    <hyperlink r:id="rId4427" ref="E1475"/>
    <hyperlink r:id="rId4428" ref="O1475"/>
    <hyperlink r:id="rId4429" ref="B1476"/>
    <hyperlink r:id="rId4430" ref="E1476"/>
    <hyperlink r:id="rId4431" ref="O1476"/>
    <hyperlink r:id="rId4432" ref="B1477"/>
    <hyperlink r:id="rId4433" ref="E1477"/>
    <hyperlink r:id="rId4434" ref="O1477"/>
    <hyperlink r:id="rId4435" ref="B1478"/>
    <hyperlink r:id="rId4436" ref="E1478"/>
    <hyperlink r:id="rId4437" ref="O1478"/>
    <hyperlink r:id="rId4438" ref="B1479"/>
    <hyperlink r:id="rId4439" ref="E1479"/>
    <hyperlink r:id="rId4440" ref="O1479"/>
    <hyperlink r:id="rId4441" ref="B1480"/>
    <hyperlink r:id="rId4442" ref="E1480"/>
    <hyperlink r:id="rId4443" ref="O1480"/>
    <hyperlink r:id="rId4444" ref="B1481"/>
    <hyperlink r:id="rId4445" ref="E1481"/>
    <hyperlink r:id="rId4446" ref="O1481"/>
    <hyperlink r:id="rId4447" ref="B1482"/>
    <hyperlink r:id="rId4448" ref="E1482"/>
    <hyperlink r:id="rId4449" ref="O1482"/>
    <hyperlink r:id="rId4450" ref="B1483"/>
    <hyperlink r:id="rId4451" ref="E1483"/>
    <hyperlink r:id="rId4452" ref="O1483"/>
    <hyperlink r:id="rId4453" ref="B1484"/>
    <hyperlink r:id="rId4454" ref="E1484"/>
    <hyperlink r:id="rId4455" ref="O1484"/>
    <hyperlink r:id="rId4456" ref="B1485"/>
    <hyperlink r:id="rId4457" ref="E1485"/>
    <hyperlink r:id="rId4458" ref="O1485"/>
    <hyperlink r:id="rId4459" ref="B1486"/>
    <hyperlink r:id="rId4460" ref="E1486"/>
    <hyperlink r:id="rId4461" ref="O1486"/>
    <hyperlink r:id="rId4462" ref="B1487"/>
    <hyperlink r:id="rId4463" ref="E1487"/>
    <hyperlink r:id="rId4464" ref="O1487"/>
    <hyperlink r:id="rId4465" ref="B1488"/>
    <hyperlink r:id="rId4466" ref="E1488"/>
    <hyperlink r:id="rId4467" ref="O1488"/>
    <hyperlink r:id="rId4468" ref="B1489"/>
    <hyperlink r:id="rId4469" ref="E1489"/>
    <hyperlink r:id="rId4470" ref="O1489"/>
    <hyperlink r:id="rId4471" ref="B1490"/>
    <hyperlink r:id="rId4472" ref="E1490"/>
    <hyperlink r:id="rId4473" ref="O1490"/>
    <hyperlink r:id="rId4474" ref="B1491"/>
    <hyperlink r:id="rId4475" ref="E1491"/>
    <hyperlink r:id="rId4476" ref="O1491"/>
    <hyperlink r:id="rId4477" ref="B1492"/>
    <hyperlink r:id="rId4478" ref="E1492"/>
    <hyperlink r:id="rId4479" ref="O1492"/>
    <hyperlink r:id="rId4480" ref="B1493"/>
    <hyperlink r:id="rId4481" ref="E1493"/>
    <hyperlink r:id="rId4482" ref="O1493"/>
    <hyperlink r:id="rId4483" ref="B1494"/>
    <hyperlink r:id="rId4484" ref="E1494"/>
    <hyperlink r:id="rId4485" ref="O1494"/>
    <hyperlink r:id="rId4486" ref="B1495"/>
    <hyperlink r:id="rId4487" ref="E1495"/>
    <hyperlink r:id="rId4488" ref="O1495"/>
    <hyperlink r:id="rId4489" ref="B1496"/>
    <hyperlink r:id="rId4490" ref="E1496"/>
    <hyperlink r:id="rId4491" ref="O1496"/>
    <hyperlink r:id="rId4492" ref="B1497"/>
    <hyperlink r:id="rId4493" ref="E1497"/>
    <hyperlink r:id="rId4494" ref="O1497"/>
    <hyperlink r:id="rId4495" ref="B1498"/>
    <hyperlink r:id="rId4496" ref="E1498"/>
    <hyperlink r:id="rId4497" ref="O1498"/>
    <hyperlink r:id="rId4498" ref="B1499"/>
    <hyperlink r:id="rId4499" ref="E1499"/>
    <hyperlink r:id="rId4500" ref="O1499"/>
    <hyperlink r:id="rId4501" ref="B1500"/>
    <hyperlink r:id="rId4502" ref="E1500"/>
    <hyperlink r:id="rId4503" ref="O1500"/>
    <hyperlink r:id="rId4504" ref="B1501"/>
    <hyperlink r:id="rId4505" ref="E1501"/>
    <hyperlink r:id="rId4506" ref="O1501"/>
    <hyperlink r:id="rId4507" ref="B1502"/>
    <hyperlink r:id="rId4508" ref="E1502"/>
    <hyperlink r:id="rId4509" ref="O1502"/>
    <hyperlink r:id="rId4510" ref="B1503"/>
    <hyperlink r:id="rId4511" ref="E1503"/>
    <hyperlink r:id="rId4512" ref="O1503"/>
    <hyperlink r:id="rId4513" ref="B1504"/>
    <hyperlink r:id="rId4514" ref="E1504"/>
    <hyperlink r:id="rId4515" ref="O1504"/>
    <hyperlink r:id="rId4516" ref="B1505"/>
    <hyperlink r:id="rId4517" ref="E1505"/>
    <hyperlink r:id="rId4518" ref="O1505"/>
    <hyperlink r:id="rId4519" ref="B1506"/>
    <hyperlink r:id="rId4520" ref="E1506"/>
    <hyperlink r:id="rId4521" ref="O1506"/>
    <hyperlink r:id="rId4522" ref="B1507"/>
    <hyperlink r:id="rId4523" ref="E1507"/>
    <hyperlink r:id="rId4524" ref="O1507"/>
    <hyperlink r:id="rId4525" ref="B1508"/>
    <hyperlink r:id="rId4526" ref="E1508"/>
    <hyperlink r:id="rId4527" ref="O1508"/>
    <hyperlink r:id="rId4528" ref="B1509"/>
    <hyperlink r:id="rId4529" ref="E1509"/>
    <hyperlink r:id="rId4530" ref="O1509"/>
    <hyperlink r:id="rId4531" ref="B1510"/>
    <hyperlink r:id="rId4532" ref="E1510"/>
    <hyperlink r:id="rId4533" ref="O1510"/>
    <hyperlink r:id="rId4534" ref="B1511"/>
    <hyperlink r:id="rId4535" ref="E1511"/>
    <hyperlink r:id="rId4536" ref="O1511"/>
    <hyperlink r:id="rId4537" ref="B1512"/>
    <hyperlink r:id="rId4538" ref="E1512"/>
    <hyperlink r:id="rId4539" ref="O1512"/>
    <hyperlink r:id="rId4540" ref="B1513"/>
    <hyperlink r:id="rId4541" ref="E1513"/>
    <hyperlink r:id="rId4542" ref="O1513"/>
    <hyperlink r:id="rId4543" ref="B1514"/>
    <hyperlink r:id="rId4544" ref="E1514"/>
    <hyperlink r:id="rId4545" ref="O1514"/>
    <hyperlink r:id="rId4546" ref="B1515"/>
    <hyperlink r:id="rId4547" ref="E1515"/>
    <hyperlink r:id="rId4548" ref="O1515"/>
    <hyperlink r:id="rId4549" ref="B1516"/>
    <hyperlink r:id="rId4550" ref="E1516"/>
    <hyperlink r:id="rId4551" ref="O1516"/>
    <hyperlink r:id="rId4552" ref="B1517"/>
    <hyperlink r:id="rId4553" ref="E1517"/>
    <hyperlink r:id="rId4554" ref="O1517"/>
    <hyperlink r:id="rId4555" ref="B1518"/>
    <hyperlink r:id="rId4556" ref="E1518"/>
    <hyperlink r:id="rId4557" ref="O1518"/>
    <hyperlink r:id="rId4558" ref="B1519"/>
    <hyperlink r:id="rId4559" ref="E1519"/>
    <hyperlink r:id="rId4560" ref="O1519"/>
    <hyperlink r:id="rId4561" ref="B1520"/>
    <hyperlink r:id="rId4562" ref="E1520"/>
    <hyperlink r:id="rId4563" ref="O1520"/>
    <hyperlink r:id="rId4564" ref="B1521"/>
    <hyperlink r:id="rId4565" ref="E1521"/>
    <hyperlink r:id="rId4566" ref="O1521"/>
    <hyperlink r:id="rId4567" ref="B1522"/>
    <hyperlink r:id="rId4568" ref="E1522"/>
    <hyperlink r:id="rId4569" ref="O1522"/>
    <hyperlink r:id="rId4570" ref="B1523"/>
    <hyperlink r:id="rId4571" ref="E1523"/>
    <hyperlink r:id="rId4572" ref="O1523"/>
    <hyperlink r:id="rId4573" ref="B1524"/>
    <hyperlink r:id="rId4574" ref="E1524"/>
    <hyperlink r:id="rId4575" ref="O1524"/>
    <hyperlink r:id="rId4576" ref="B1525"/>
    <hyperlink r:id="rId4577" ref="E1525"/>
    <hyperlink r:id="rId4578" ref="O1525"/>
    <hyperlink r:id="rId4579" ref="B1526"/>
    <hyperlink r:id="rId4580" ref="E1526"/>
    <hyperlink r:id="rId4581" ref="O1526"/>
    <hyperlink r:id="rId4582" ref="B1527"/>
    <hyperlink r:id="rId4583" ref="E1527"/>
    <hyperlink r:id="rId4584" ref="O1527"/>
    <hyperlink r:id="rId4585" ref="B1528"/>
    <hyperlink r:id="rId4586" ref="E1528"/>
    <hyperlink r:id="rId4587" ref="O1528"/>
    <hyperlink r:id="rId4588" ref="B1529"/>
    <hyperlink r:id="rId4589" ref="E1529"/>
    <hyperlink r:id="rId4590" ref="O1529"/>
    <hyperlink r:id="rId4591" ref="B1530"/>
    <hyperlink r:id="rId4592" ref="E1530"/>
    <hyperlink r:id="rId4593" ref="O1530"/>
    <hyperlink r:id="rId4594" ref="B1531"/>
    <hyperlink r:id="rId4595" ref="E1531"/>
    <hyperlink r:id="rId4596" ref="O1531"/>
    <hyperlink r:id="rId4597" ref="B1532"/>
    <hyperlink r:id="rId4598" ref="E1532"/>
    <hyperlink r:id="rId4599" ref="O1532"/>
    <hyperlink r:id="rId4600" ref="B1533"/>
    <hyperlink r:id="rId4601" ref="E1533"/>
    <hyperlink r:id="rId4602" ref="O1533"/>
    <hyperlink r:id="rId4603" ref="B1534"/>
    <hyperlink r:id="rId4604" ref="E1534"/>
    <hyperlink r:id="rId4605" ref="O1534"/>
    <hyperlink r:id="rId4606" ref="B1535"/>
    <hyperlink r:id="rId4607" ref="E1535"/>
    <hyperlink r:id="rId4608" ref="O1535"/>
    <hyperlink r:id="rId4609" ref="B1536"/>
    <hyperlink r:id="rId4610" ref="E1536"/>
    <hyperlink r:id="rId4611" ref="O1536"/>
    <hyperlink r:id="rId4612" ref="B1537"/>
    <hyperlink r:id="rId4613" ref="E1537"/>
    <hyperlink r:id="rId4614" ref="O1537"/>
    <hyperlink r:id="rId4615" ref="B1538"/>
    <hyperlink r:id="rId4616" ref="E1538"/>
    <hyperlink r:id="rId4617" ref="O1538"/>
    <hyperlink r:id="rId4618" ref="B1539"/>
    <hyperlink r:id="rId4619" ref="E1539"/>
    <hyperlink r:id="rId4620" ref="O1539"/>
    <hyperlink r:id="rId4621" ref="B1540"/>
    <hyperlink r:id="rId4622" ref="E1540"/>
    <hyperlink r:id="rId4623" ref="O1540"/>
    <hyperlink r:id="rId4624" ref="B1541"/>
    <hyperlink r:id="rId4625" ref="E1541"/>
    <hyperlink r:id="rId4626" ref="O1541"/>
    <hyperlink r:id="rId4627" ref="B1542"/>
    <hyperlink r:id="rId4628" ref="E1542"/>
    <hyperlink r:id="rId4629" ref="O1542"/>
    <hyperlink r:id="rId4630" ref="B1543"/>
    <hyperlink r:id="rId4631" ref="E1543"/>
    <hyperlink r:id="rId4632" ref="O1543"/>
    <hyperlink r:id="rId4633" ref="B1544"/>
    <hyperlink r:id="rId4634" ref="E1544"/>
    <hyperlink r:id="rId4635" ref="O1544"/>
    <hyperlink r:id="rId4636" ref="B1545"/>
    <hyperlink r:id="rId4637" ref="E1545"/>
    <hyperlink r:id="rId4638" ref="O1545"/>
    <hyperlink r:id="rId4639" ref="B1546"/>
    <hyperlink r:id="rId4640" ref="E1546"/>
    <hyperlink r:id="rId4641" ref="O1546"/>
    <hyperlink r:id="rId4642" ref="B1547"/>
    <hyperlink r:id="rId4643" ref="E1547"/>
    <hyperlink r:id="rId4644" ref="O1547"/>
    <hyperlink r:id="rId4645" ref="B1548"/>
    <hyperlink r:id="rId4646" ref="E1548"/>
    <hyperlink r:id="rId4647" ref="O1548"/>
    <hyperlink r:id="rId4648" ref="B1549"/>
    <hyperlink r:id="rId4649" ref="E1549"/>
    <hyperlink r:id="rId4650" ref="O1549"/>
    <hyperlink r:id="rId4651" ref="B1550"/>
    <hyperlink r:id="rId4652" ref="E1550"/>
    <hyperlink r:id="rId4653" ref="O1550"/>
    <hyperlink r:id="rId4654" ref="B1551"/>
    <hyperlink r:id="rId4655" ref="E1551"/>
    <hyperlink r:id="rId4656" ref="O1551"/>
    <hyperlink r:id="rId4657" ref="B1552"/>
    <hyperlink r:id="rId4658" ref="E1552"/>
    <hyperlink r:id="rId4659" ref="O1552"/>
    <hyperlink r:id="rId4660" ref="B1553"/>
    <hyperlink r:id="rId4661" ref="E1553"/>
    <hyperlink r:id="rId4662" ref="O1553"/>
    <hyperlink r:id="rId4663" ref="B1554"/>
    <hyperlink r:id="rId4664" ref="E1554"/>
    <hyperlink r:id="rId4665" ref="O1554"/>
    <hyperlink r:id="rId4666" ref="B1555"/>
    <hyperlink r:id="rId4667" ref="E1555"/>
    <hyperlink r:id="rId4668" ref="O1555"/>
    <hyperlink r:id="rId4669" ref="B1556"/>
    <hyperlink r:id="rId4670" ref="E1556"/>
    <hyperlink r:id="rId4671" ref="O1556"/>
    <hyperlink r:id="rId4672" ref="B1557"/>
    <hyperlink r:id="rId4673" ref="E1557"/>
    <hyperlink r:id="rId4674" ref="O1557"/>
    <hyperlink r:id="rId4675" ref="B1558"/>
    <hyperlink r:id="rId4676" ref="E1558"/>
    <hyperlink r:id="rId4677" ref="O1558"/>
    <hyperlink r:id="rId4678" ref="B1559"/>
    <hyperlink r:id="rId4679" ref="E1559"/>
    <hyperlink r:id="rId4680" ref="O1559"/>
    <hyperlink r:id="rId4681" ref="B1560"/>
    <hyperlink r:id="rId4682" ref="E1560"/>
    <hyperlink r:id="rId4683" ref="O1560"/>
    <hyperlink r:id="rId4684" ref="B1561"/>
    <hyperlink r:id="rId4685" ref="E1561"/>
    <hyperlink r:id="rId4686" ref="O1561"/>
    <hyperlink r:id="rId4687" ref="B1562"/>
    <hyperlink r:id="rId4688" ref="E1562"/>
    <hyperlink r:id="rId4689" ref="O1562"/>
    <hyperlink r:id="rId4690" ref="B1563"/>
    <hyperlink r:id="rId4691" ref="E1563"/>
    <hyperlink r:id="rId4692" ref="O1563"/>
    <hyperlink r:id="rId4693" ref="B1564"/>
    <hyperlink r:id="rId4694" ref="E1564"/>
    <hyperlink r:id="rId4695" ref="O1564"/>
    <hyperlink r:id="rId4696" ref="B1565"/>
    <hyperlink r:id="rId4697" ref="E1565"/>
    <hyperlink r:id="rId4698" ref="O1565"/>
    <hyperlink r:id="rId4699" ref="B1566"/>
    <hyperlink r:id="rId4700" ref="E1566"/>
    <hyperlink r:id="rId4701" ref="O1566"/>
    <hyperlink r:id="rId4702" ref="B1567"/>
    <hyperlink r:id="rId4703" ref="E1567"/>
    <hyperlink r:id="rId4704" ref="O1567"/>
    <hyperlink r:id="rId4705" ref="B1568"/>
    <hyperlink r:id="rId4706" ref="E1568"/>
    <hyperlink r:id="rId4707" ref="O1568"/>
    <hyperlink r:id="rId4708" ref="B1569"/>
    <hyperlink r:id="rId4709" ref="E1569"/>
    <hyperlink r:id="rId4710" ref="O1569"/>
    <hyperlink r:id="rId4711" ref="B1570"/>
    <hyperlink r:id="rId4712" ref="E1570"/>
    <hyperlink r:id="rId4713" ref="O1570"/>
    <hyperlink r:id="rId4714" ref="B1571"/>
    <hyperlink r:id="rId4715" ref="E1571"/>
    <hyperlink r:id="rId4716" ref="O1571"/>
    <hyperlink r:id="rId4717" ref="B1572"/>
    <hyperlink r:id="rId4718" ref="E1572"/>
    <hyperlink r:id="rId4719" ref="O1572"/>
    <hyperlink r:id="rId4720" ref="B1573"/>
    <hyperlink r:id="rId4721" ref="E1573"/>
    <hyperlink r:id="rId4722" ref="O1573"/>
    <hyperlink r:id="rId4723" ref="B1574"/>
    <hyperlink r:id="rId4724" ref="E1574"/>
    <hyperlink r:id="rId4725" ref="O1574"/>
    <hyperlink r:id="rId4726" ref="B1575"/>
    <hyperlink r:id="rId4727" ref="E1575"/>
    <hyperlink r:id="rId4728" ref="O1575"/>
    <hyperlink r:id="rId4729" ref="B1576"/>
    <hyperlink r:id="rId4730" ref="E1576"/>
    <hyperlink r:id="rId4731" ref="O1576"/>
    <hyperlink r:id="rId4732" ref="B1577"/>
    <hyperlink r:id="rId4733" ref="E1577"/>
    <hyperlink r:id="rId4734" ref="O1577"/>
    <hyperlink r:id="rId4735" ref="B1578"/>
    <hyperlink r:id="rId4736" ref="E1578"/>
    <hyperlink r:id="rId4737" ref="O1578"/>
    <hyperlink r:id="rId4738" ref="B1579"/>
    <hyperlink r:id="rId4739" ref="E1579"/>
    <hyperlink r:id="rId4740" ref="O1579"/>
    <hyperlink r:id="rId4741" ref="B1580"/>
    <hyperlink r:id="rId4742" ref="E1580"/>
    <hyperlink r:id="rId4743" ref="O1580"/>
    <hyperlink r:id="rId4744" ref="B1581"/>
    <hyperlink r:id="rId4745" ref="E1581"/>
    <hyperlink r:id="rId4746" ref="O1581"/>
    <hyperlink r:id="rId4747" ref="B1582"/>
    <hyperlink r:id="rId4748" ref="E1582"/>
    <hyperlink r:id="rId4749" ref="O1582"/>
    <hyperlink r:id="rId4750" ref="B1583"/>
    <hyperlink r:id="rId4751" ref="E1583"/>
    <hyperlink r:id="rId4752" ref="O1583"/>
    <hyperlink r:id="rId4753" ref="B1584"/>
    <hyperlink r:id="rId4754" ref="E1584"/>
    <hyperlink r:id="rId4755" ref="O1584"/>
    <hyperlink r:id="rId4756" ref="B1585"/>
    <hyperlink r:id="rId4757" ref="E1585"/>
    <hyperlink r:id="rId4758" ref="O1585"/>
    <hyperlink r:id="rId4759" ref="B1586"/>
    <hyperlink r:id="rId4760" ref="E1586"/>
    <hyperlink r:id="rId4761" ref="O1586"/>
    <hyperlink r:id="rId4762" ref="B1587"/>
    <hyperlink r:id="rId4763" ref="E1587"/>
    <hyperlink r:id="rId4764" ref="O1587"/>
    <hyperlink r:id="rId4765" ref="B1588"/>
    <hyperlink r:id="rId4766" ref="E1588"/>
    <hyperlink r:id="rId4767" ref="O1588"/>
    <hyperlink r:id="rId4768" ref="B1589"/>
    <hyperlink r:id="rId4769" ref="E1589"/>
    <hyperlink r:id="rId4770" ref="O1589"/>
    <hyperlink r:id="rId4771" ref="B1590"/>
    <hyperlink r:id="rId4772" ref="E1590"/>
    <hyperlink r:id="rId4773" ref="O1590"/>
    <hyperlink r:id="rId4774" ref="B1591"/>
    <hyperlink r:id="rId4775" ref="E1591"/>
    <hyperlink r:id="rId4776" ref="O1591"/>
    <hyperlink r:id="rId4777" ref="B1592"/>
    <hyperlink r:id="rId4778" ref="E1592"/>
    <hyperlink r:id="rId4779" ref="O1592"/>
    <hyperlink r:id="rId4780" ref="B1593"/>
    <hyperlink r:id="rId4781" ref="E1593"/>
    <hyperlink r:id="rId4782" ref="O1593"/>
    <hyperlink r:id="rId4783" ref="B1594"/>
    <hyperlink r:id="rId4784" ref="E1594"/>
    <hyperlink r:id="rId4785" ref="O1594"/>
    <hyperlink r:id="rId4786" ref="B1595"/>
    <hyperlink r:id="rId4787" ref="E1595"/>
    <hyperlink r:id="rId4788" ref="O1595"/>
    <hyperlink r:id="rId4789" ref="B1596"/>
    <hyperlink r:id="rId4790" ref="E1596"/>
    <hyperlink r:id="rId4791" ref="O1596"/>
    <hyperlink r:id="rId4792" ref="B1597"/>
    <hyperlink r:id="rId4793" ref="E1597"/>
    <hyperlink r:id="rId4794" ref="O1597"/>
    <hyperlink r:id="rId4795" ref="B1598"/>
    <hyperlink r:id="rId4796" ref="E1598"/>
    <hyperlink r:id="rId4797" ref="O1598"/>
    <hyperlink r:id="rId4798" ref="B1599"/>
    <hyperlink r:id="rId4799" ref="E1599"/>
    <hyperlink r:id="rId4800" ref="O1599"/>
    <hyperlink r:id="rId4801" ref="B1600"/>
    <hyperlink r:id="rId4802" ref="E1600"/>
    <hyperlink r:id="rId4803" ref="O1600"/>
    <hyperlink r:id="rId4804" ref="B1601"/>
    <hyperlink r:id="rId4805" ref="E1601"/>
    <hyperlink r:id="rId4806" ref="O1601"/>
    <hyperlink r:id="rId4807" ref="B1602"/>
    <hyperlink r:id="rId4808" ref="E1602"/>
    <hyperlink r:id="rId4809" ref="O1602"/>
    <hyperlink r:id="rId4810" ref="B1603"/>
    <hyperlink r:id="rId4811" ref="E1603"/>
    <hyperlink r:id="rId4812" ref="O1603"/>
    <hyperlink r:id="rId4813" ref="B1604"/>
    <hyperlink r:id="rId4814" ref="E1604"/>
    <hyperlink r:id="rId4815" ref="O1604"/>
    <hyperlink r:id="rId4816" ref="B1605"/>
    <hyperlink r:id="rId4817" ref="E1605"/>
    <hyperlink r:id="rId4818" ref="O1605"/>
    <hyperlink r:id="rId4819" ref="B1606"/>
    <hyperlink r:id="rId4820" ref="E1606"/>
    <hyperlink r:id="rId4821" ref="O1606"/>
    <hyperlink r:id="rId4822" ref="B1607"/>
    <hyperlink r:id="rId4823" ref="E1607"/>
    <hyperlink r:id="rId4824" ref="O1607"/>
    <hyperlink r:id="rId4825" ref="B1608"/>
    <hyperlink r:id="rId4826" ref="E1608"/>
    <hyperlink r:id="rId4827" ref="O1608"/>
    <hyperlink r:id="rId4828" ref="B1609"/>
    <hyperlink r:id="rId4829" ref="E1609"/>
    <hyperlink r:id="rId4830" ref="O1609"/>
    <hyperlink r:id="rId4831" ref="B1610"/>
    <hyperlink r:id="rId4832" ref="E1610"/>
    <hyperlink r:id="rId4833" ref="O1610"/>
    <hyperlink r:id="rId4834" ref="B1611"/>
    <hyperlink r:id="rId4835" ref="E1611"/>
    <hyperlink r:id="rId4836" ref="O1611"/>
    <hyperlink r:id="rId4837" ref="B1612"/>
    <hyperlink r:id="rId4838" ref="E1612"/>
    <hyperlink r:id="rId4839" ref="O1612"/>
    <hyperlink r:id="rId4840" ref="B1613"/>
    <hyperlink r:id="rId4841" ref="E1613"/>
    <hyperlink r:id="rId4842" ref="O1613"/>
    <hyperlink r:id="rId4843" ref="B1614"/>
    <hyperlink r:id="rId4844" ref="E1614"/>
    <hyperlink r:id="rId4845" ref="O1614"/>
    <hyperlink r:id="rId4846" ref="B1615"/>
    <hyperlink r:id="rId4847" ref="E1615"/>
    <hyperlink r:id="rId4848" ref="O1615"/>
    <hyperlink r:id="rId4849" ref="B1616"/>
    <hyperlink r:id="rId4850" ref="E1616"/>
    <hyperlink r:id="rId4851" ref="O1616"/>
    <hyperlink r:id="rId4852" ref="B1617"/>
    <hyperlink r:id="rId4853" ref="E1617"/>
    <hyperlink r:id="rId4854" ref="O1617"/>
    <hyperlink r:id="rId4855" ref="B1618"/>
    <hyperlink r:id="rId4856" ref="E1618"/>
    <hyperlink r:id="rId4857" ref="O1618"/>
    <hyperlink r:id="rId4858" ref="B1619"/>
    <hyperlink r:id="rId4859" ref="E1619"/>
    <hyperlink r:id="rId4860" ref="O1619"/>
    <hyperlink r:id="rId4861" ref="B1620"/>
    <hyperlink r:id="rId4862" ref="E1620"/>
    <hyperlink r:id="rId4863" ref="O1620"/>
    <hyperlink r:id="rId4864" ref="B1621"/>
    <hyperlink r:id="rId4865" ref="E1621"/>
    <hyperlink r:id="rId4866" ref="O1621"/>
    <hyperlink r:id="rId4867" ref="B1622"/>
    <hyperlink r:id="rId4868" ref="E1622"/>
    <hyperlink r:id="rId4869" ref="O1622"/>
    <hyperlink r:id="rId4870" ref="B1623"/>
    <hyperlink r:id="rId4871" ref="E1623"/>
    <hyperlink r:id="rId4872" ref="O1623"/>
    <hyperlink r:id="rId4873" ref="B1624"/>
    <hyperlink r:id="rId4874" ref="E1624"/>
    <hyperlink r:id="rId4875" ref="O1624"/>
    <hyperlink r:id="rId4876" ref="B1625"/>
    <hyperlink r:id="rId4877" ref="E1625"/>
    <hyperlink r:id="rId4878" ref="O1625"/>
    <hyperlink r:id="rId4879" ref="B1626"/>
    <hyperlink r:id="rId4880" ref="E1626"/>
    <hyperlink r:id="rId4881" ref="O1626"/>
    <hyperlink r:id="rId4882" ref="B1627"/>
    <hyperlink r:id="rId4883" ref="E1627"/>
    <hyperlink r:id="rId4884" ref="O1627"/>
    <hyperlink r:id="rId4885" ref="B1628"/>
    <hyperlink r:id="rId4886" ref="E1628"/>
    <hyperlink r:id="rId4887" ref="O1628"/>
    <hyperlink r:id="rId4888" ref="B1629"/>
    <hyperlink r:id="rId4889" ref="E1629"/>
    <hyperlink r:id="rId4890" ref="O1629"/>
    <hyperlink r:id="rId4891" ref="B1630"/>
    <hyperlink r:id="rId4892" ref="E1630"/>
    <hyperlink r:id="rId4893" ref="O1630"/>
    <hyperlink r:id="rId4894" ref="B1631"/>
    <hyperlink r:id="rId4895" ref="E1631"/>
    <hyperlink r:id="rId4896" ref="O1631"/>
    <hyperlink r:id="rId4897" ref="B1632"/>
    <hyperlink r:id="rId4898" ref="E1632"/>
    <hyperlink r:id="rId4899" ref="O1632"/>
    <hyperlink r:id="rId4900" ref="B1633"/>
    <hyperlink r:id="rId4901" ref="E1633"/>
    <hyperlink r:id="rId4902" ref="O1633"/>
    <hyperlink r:id="rId4903" ref="B1634"/>
    <hyperlink r:id="rId4904" ref="E1634"/>
    <hyperlink r:id="rId4905" ref="O1634"/>
    <hyperlink r:id="rId4906" ref="B1635"/>
    <hyperlink r:id="rId4907" ref="E1635"/>
    <hyperlink r:id="rId4908" ref="O1635"/>
    <hyperlink r:id="rId4909" ref="B1636"/>
    <hyperlink r:id="rId4910" ref="E1636"/>
    <hyperlink r:id="rId4911" ref="O1636"/>
    <hyperlink r:id="rId4912" ref="B1637"/>
    <hyperlink r:id="rId4913" ref="E1637"/>
    <hyperlink r:id="rId4914" ref="O1637"/>
    <hyperlink r:id="rId4915" ref="B1638"/>
    <hyperlink r:id="rId4916" ref="E1638"/>
    <hyperlink r:id="rId4917" ref="O1638"/>
    <hyperlink r:id="rId4918" ref="B1639"/>
    <hyperlink r:id="rId4919" ref="C1639"/>
    <hyperlink r:id="rId4920" ref="E1639"/>
    <hyperlink r:id="rId4921" ref="O1639"/>
    <hyperlink r:id="rId4922" ref="B1640"/>
    <hyperlink r:id="rId4923" ref="E1640"/>
    <hyperlink r:id="rId4924" ref="O1640"/>
    <hyperlink r:id="rId4925" ref="B1641"/>
    <hyperlink r:id="rId4926" ref="E1641"/>
    <hyperlink r:id="rId4927" ref="O1641"/>
    <hyperlink r:id="rId4928" ref="B1642"/>
    <hyperlink r:id="rId4929" ref="E1642"/>
    <hyperlink r:id="rId4930" ref="O1642"/>
    <hyperlink r:id="rId4931" ref="B1643"/>
    <hyperlink r:id="rId4932" ref="E1643"/>
    <hyperlink r:id="rId4933" ref="O1643"/>
    <hyperlink r:id="rId4934" ref="B1644"/>
    <hyperlink r:id="rId4935" ref="E1644"/>
    <hyperlink r:id="rId4936" ref="O1644"/>
    <hyperlink r:id="rId4937" ref="B1645"/>
    <hyperlink r:id="rId4938" ref="E1645"/>
    <hyperlink r:id="rId4939" ref="O1645"/>
    <hyperlink r:id="rId4940" ref="B1646"/>
    <hyperlink r:id="rId4941" ref="E1646"/>
    <hyperlink r:id="rId4942" ref="O1646"/>
    <hyperlink r:id="rId4943" ref="B1647"/>
    <hyperlink r:id="rId4944" ref="E1647"/>
    <hyperlink r:id="rId4945" ref="O1647"/>
    <hyperlink r:id="rId4946" ref="B1648"/>
    <hyperlink r:id="rId4947" ref="E1648"/>
    <hyperlink r:id="rId4948" ref="O1648"/>
    <hyperlink r:id="rId4949" ref="B1649"/>
    <hyperlink r:id="rId4950" ref="E1649"/>
    <hyperlink r:id="rId4951" ref="O1649"/>
    <hyperlink r:id="rId4952" ref="B1650"/>
    <hyperlink r:id="rId4953" ref="E1650"/>
    <hyperlink r:id="rId4954" ref="O1650"/>
    <hyperlink r:id="rId4955" ref="B1651"/>
    <hyperlink r:id="rId4956" ref="E1651"/>
    <hyperlink r:id="rId4957" ref="O1651"/>
    <hyperlink r:id="rId4958" ref="B1652"/>
    <hyperlink r:id="rId4959" ref="E1652"/>
    <hyperlink r:id="rId4960" ref="O1652"/>
    <hyperlink r:id="rId4961" ref="B1653"/>
    <hyperlink r:id="rId4962" ref="E1653"/>
    <hyperlink r:id="rId4963" ref="O1653"/>
    <hyperlink r:id="rId4964" ref="B1654"/>
    <hyperlink r:id="rId4965" ref="E1654"/>
    <hyperlink r:id="rId4966" ref="O1654"/>
    <hyperlink r:id="rId4967" ref="B1655"/>
    <hyperlink r:id="rId4968" ref="E1655"/>
    <hyperlink r:id="rId4969" ref="O1655"/>
    <hyperlink r:id="rId4970" ref="B1656"/>
    <hyperlink r:id="rId4971" ref="E1656"/>
    <hyperlink r:id="rId4972" ref="O1656"/>
    <hyperlink r:id="rId4973" ref="B1657"/>
    <hyperlink r:id="rId4974" ref="E1657"/>
    <hyperlink r:id="rId4975" ref="O1657"/>
    <hyperlink r:id="rId4976" ref="B1658"/>
    <hyperlink r:id="rId4977" ref="E1658"/>
    <hyperlink r:id="rId4978" ref="O1658"/>
    <hyperlink r:id="rId4979" ref="B1659"/>
    <hyperlink r:id="rId4980" ref="E1659"/>
    <hyperlink r:id="rId4981" ref="O1659"/>
    <hyperlink r:id="rId4982" ref="B1660"/>
    <hyperlink r:id="rId4983" ref="E1660"/>
    <hyperlink r:id="rId4984" ref="O1660"/>
    <hyperlink r:id="rId4985" ref="B1661"/>
    <hyperlink r:id="rId4986" ref="E1661"/>
    <hyperlink r:id="rId4987" ref="O1661"/>
    <hyperlink r:id="rId4988" ref="B1662"/>
    <hyperlink r:id="rId4989" ref="E1662"/>
    <hyperlink r:id="rId4990" ref="O1662"/>
    <hyperlink r:id="rId4991" ref="B1663"/>
    <hyperlink r:id="rId4992" ref="E1663"/>
    <hyperlink r:id="rId4993" ref="O1663"/>
  </hyperlinks>
  <drawing r:id="rId499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2.71"/>
    <col customWidth="1" min="3" max="7" width="19.71"/>
  </cols>
  <sheetData>
    <row r="1" ht="24.0" customHeight="1">
      <c r="A1" s="1" t="s">
        <v>0</v>
      </c>
      <c r="B1" s="2" t="s">
        <v>1</v>
      </c>
      <c r="C1" s="4" t="s">
        <v>3</v>
      </c>
      <c r="D1" s="6"/>
      <c r="E1" s="6"/>
      <c r="F1" s="6"/>
      <c r="G1" s="8"/>
    </row>
    <row r="2">
      <c r="A2" s="10">
        <v>42710.758040625005</v>
      </c>
      <c r="B2" s="12" t="s">
        <v>6</v>
      </c>
      <c r="C2" s="13"/>
      <c r="D2" s="13"/>
      <c r="E2" s="14"/>
      <c r="F2" s="13"/>
      <c r="G2" s="13"/>
    </row>
    <row r="3">
      <c r="A3" s="15">
        <v>42710.758043981485</v>
      </c>
      <c r="B3" s="12" t="s">
        <v>10</v>
      </c>
      <c r="C3" s="13"/>
      <c r="D3" s="13"/>
      <c r="E3" s="14"/>
      <c r="F3" s="13"/>
      <c r="G3" s="13"/>
    </row>
    <row r="4">
      <c r="A4" s="15">
        <v>42710.75809027778</v>
      </c>
      <c r="B4" s="12" t="s">
        <v>11</v>
      </c>
      <c r="C4" s="13"/>
      <c r="D4" s="13"/>
      <c r="E4" s="14"/>
      <c r="F4" s="13"/>
      <c r="G4" s="13"/>
    </row>
    <row r="5">
      <c r="A5" s="15">
        <v>42710.758564814816</v>
      </c>
      <c r="B5" s="12" t="s">
        <v>12</v>
      </c>
      <c r="C5" s="13"/>
      <c r="D5" s="13"/>
      <c r="E5" s="14"/>
      <c r="F5" s="13"/>
      <c r="G5" s="13"/>
    </row>
    <row r="6">
      <c r="A6" s="16"/>
      <c r="B6" s="17"/>
      <c r="C6" s="13"/>
      <c r="D6" s="13"/>
      <c r="E6" s="14"/>
      <c r="F6" s="13"/>
      <c r="G6" s="13"/>
    </row>
    <row r="7">
      <c r="A7" s="16"/>
      <c r="B7" s="17"/>
      <c r="C7" s="13"/>
      <c r="D7" s="13"/>
      <c r="E7" s="14"/>
      <c r="F7" s="13"/>
      <c r="G7" s="13"/>
    </row>
    <row r="8">
      <c r="A8" s="16"/>
      <c r="B8" s="17"/>
      <c r="C8" s="13"/>
      <c r="D8" s="13"/>
      <c r="E8" s="14"/>
      <c r="F8" s="13"/>
      <c r="G8" s="13"/>
    </row>
    <row r="9">
      <c r="A9" s="16"/>
      <c r="B9" s="17"/>
      <c r="C9" s="13"/>
      <c r="D9" s="13"/>
      <c r="E9" s="14"/>
      <c r="F9" s="13"/>
      <c r="G9" s="13"/>
    </row>
    <row r="10">
      <c r="A10" s="16"/>
      <c r="B10" s="17"/>
      <c r="C10" s="13"/>
      <c r="D10" s="13"/>
      <c r="E10" s="14"/>
      <c r="F10" s="13"/>
      <c r="G10" s="13"/>
    </row>
    <row r="11">
      <c r="A11" s="16"/>
      <c r="B11" s="17"/>
      <c r="C11" s="13"/>
      <c r="D11" s="13"/>
      <c r="E11" s="14"/>
      <c r="F11" s="13"/>
      <c r="G11" s="13"/>
    </row>
    <row r="12">
      <c r="A12" s="16"/>
      <c r="B12" s="17"/>
      <c r="C12" s="13"/>
      <c r="D12" s="13"/>
      <c r="E12" s="14"/>
      <c r="F12" s="13"/>
      <c r="G12" s="13"/>
    </row>
    <row r="13">
      <c r="A13" s="16"/>
      <c r="B13" s="17"/>
      <c r="C13" s="13"/>
      <c r="D13" s="13"/>
      <c r="E13" s="14"/>
      <c r="F13" s="13"/>
      <c r="G13" s="13"/>
    </row>
    <row r="14">
      <c r="A14" s="16"/>
      <c r="B14" s="17"/>
      <c r="C14" s="13"/>
      <c r="D14" s="13"/>
      <c r="E14" s="14"/>
      <c r="F14" s="13"/>
      <c r="G14" s="13"/>
    </row>
    <row r="15">
      <c r="A15" s="16"/>
      <c r="B15" s="17"/>
      <c r="C15" s="13"/>
      <c r="D15" s="13"/>
      <c r="E15" s="14"/>
      <c r="F15" s="13"/>
      <c r="G15" s="13"/>
    </row>
    <row r="16">
      <c r="A16" s="16"/>
      <c r="B16" s="17"/>
      <c r="C16" s="13"/>
      <c r="D16" s="13"/>
      <c r="E16" s="14"/>
      <c r="F16" s="13"/>
      <c r="G16" s="13"/>
    </row>
    <row r="17">
      <c r="A17" s="16"/>
      <c r="B17" s="17"/>
      <c r="C17" s="13"/>
      <c r="D17" s="13"/>
      <c r="E17" s="14"/>
      <c r="F17" s="13"/>
      <c r="G17" s="13"/>
    </row>
    <row r="18">
      <c r="A18" s="16"/>
      <c r="B18" s="17"/>
      <c r="C18" s="13"/>
      <c r="D18" s="13"/>
      <c r="E18" s="14"/>
      <c r="F18" s="13"/>
      <c r="G18" s="13"/>
    </row>
    <row r="19">
      <c r="A19" s="16"/>
      <c r="B19" s="17"/>
      <c r="C19" s="13"/>
      <c r="D19" s="13"/>
      <c r="E19" s="14"/>
      <c r="F19" s="13"/>
      <c r="G19" s="13"/>
    </row>
    <row r="20">
      <c r="A20" s="16"/>
      <c r="B20" s="17"/>
      <c r="C20" s="13"/>
      <c r="D20" s="13"/>
      <c r="E20" s="14"/>
      <c r="F20" s="13"/>
      <c r="G20" s="13"/>
    </row>
    <row r="21">
      <c r="A21" s="16"/>
      <c r="B21" s="17"/>
      <c r="C21" s="13"/>
      <c r="D21" s="13"/>
      <c r="E21" s="14"/>
      <c r="F21" s="13"/>
      <c r="G21" s="13"/>
    </row>
    <row r="22">
      <c r="A22" s="16"/>
      <c r="B22" s="17"/>
      <c r="C22" s="13"/>
      <c r="D22" s="13"/>
      <c r="E22" s="14"/>
      <c r="F22" s="13"/>
      <c r="G22" s="13"/>
    </row>
    <row r="23">
      <c r="A23" s="16"/>
      <c r="B23" s="17"/>
      <c r="C23" s="13"/>
      <c r="D23" s="13"/>
      <c r="E23" s="14"/>
      <c r="F23" s="13"/>
      <c r="G23" s="13"/>
    </row>
    <row r="24">
      <c r="A24" s="16"/>
      <c r="B24" s="17"/>
      <c r="C24" s="13"/>
      <c r="D24" s="13"/>
      <c r="E24" s="14"/>
      <c r="F24" s="13"/>
      <c r="G24" s="13"/>
    </row>
    <row r="25">
      <c r="A25" s="16"/>
      <c r="B25" s="17"/>
      <c r="C25" s="13"/>
      <c r="D25" s="13"/>
      <c r="E25" s="14"/>
      <c r="F25" s="13"/>
      <c r="G25" s="13"/>
    </row>
    <row r="26">
      <c r="A26" s="16"/>
      <c r="B26" s="17"/>
      <c r="C26" s="13"/>
      <c r="D26" s="13"/>
      <c r="E26" s="14"/>
      <c r="F26" s="13"/>
      <c r="G26" s="13"/>
    </row>
    <row r="27">
      <c r="A27" s="16"/>
      <c r="B27" s="17"/>
      <c r="C27" s="13"/>
      <c r="D27" s="13"/>
      <c r="E27" s="14"/>
      <c r="F27" s="13"/>
      <c r="G27" s="13"/>
    </row>
    <row r="28">
      <c r="A28" s="16"/>
      <c r="B28" s="17"/>
      <c r="C28" s="13"/>
      <c r="D28" s="13"/>
      <c r="E28" s="14"/>
      <c r="F28" s="13"/>
      <c r="G28" s="13"/>
    </row>
    <row r="29">
      <c r="A29" s="16"/>
      <c r="B29" s="17"/>
      <c r="C29" s="13"/>
      <c r="D29" s="13"/>
      <c r="E29" s="14"/>
      <c r="F29" s="13"/>
      <c r="G29" s="13"/>
    </row>
    <row r="30">
      <c r="A30" s="16"/>
      <c r="B30" s="17"/>
      <c r="C30" s="13"/>
      <c r="D30" s="13"/>
      <c r="E30" s="14"/>
      <c r="F30" s="13"/>
      <c r="G30" s="13"/>
    </row>
    <row r="31">
      <c r="A31" s="16"/>
      <c r="B31" s="17"/>
      <c r="C31" s="13"/>
      <c r="D31" s="13"/>
      <c r="E31" s="14"/>
      <c r="F31" s="13"/>
      <c r="G31" s="13"/>
    </row>
    <row r="32">
      <c r="A32" s="16"/>
      <c r="B32" s="17"/>
      <c r="C32" s="13"/>
      <c r="D32" s="13"/>
      <c r="E32" s="14"/>
      <c r="F32" s="13"/>
      <c r="G32" s="13"/>
    </row>
    <row r="33">
      <c r="A33" s="16"/>
      <c r="B33" s="17"/>
      <c r="C33" s="13"/>
      <c r="D33" s="13"/>
      <c r="E33" s="14"/>
      <c r="F33" s="13"/>
      <c r="G33" s="13"/>
    </row>
    <row r="34">
      <c r="A34" s="16"/>
      <c r="B34" s="17"/>
      <c r="C34" s="13"/>
      <c r="D34" s="13"/>
      <c r="E34" s="14"/>
      <c r="F34" s="13"/>
      <c r="G34" s="13"/>
    </row>
    <row r="35">
      <c r="A35" s="16"/>
      <c r="B35" s="17"/>
      <c r="C35" s="13"/>
      <c r="D35" s="13"/>
      <c r="E35" s="14"/>
      <c r="F35" s="13"/>
      <c r="G35" s="13"/>
    </row>
    <row r="36">
      <c r="A36" s="16"/>
      <c r="B36" s="17"/>
      <c r="C36" s="13"/>
      <c r="D36" s="13"/>
      <c r="E36" s="14"/>
      <c r="F36" s="13"/>
      <c r="G36" s="13"/>
    </row>
    <row r="37">
      <c r="A37" s="16"/>
      <c r="B37" s="17"/>
      <c r="C37" s="13"/>
      <c r="D37" s="13"/>
      <c r="E37" s="14"/>
      <c r="F37" s="13"/>
      <c r="G37" s="13"/>
    </row>
    <row r="38">
      <c r="A38" s="16"/>
      <c r="B38" s="17"/>
      <c r="C38" s="13"/>
      <c r="D38" s="13"/>
      <c r="E38" s="14"/>
      <c r="F38" s="13"/>
      <c r="G38" s="13"/>
    </row>
    <row r="39">
      <c r="A39" s="16"/>
      <c r="B39" s="17"/>
      <c r="C39" s="13"/>
      <c r="D39" s="13"/>
      <c r="E39" s="14"/>
      <c r="F39" s="13"/>
      <c r="G39" s="13"/>
    </row>
    <row r="40">
      <c r="A40" s="16"/>
      <c r="B40" s="17"/>
      <c r="C40" s="13"/>
      <c r="D40" s="13"/>
      <c r="E40" s="14"/>
      <c r="F40" s="13"/>
      <c r="G40" s="13"/>
    </row>
    <row r="41">
      <c r="A41" s="16"/>
      <c r="B41" s="17"/>
      <c r="C41" s="13"/>
      <c r="D41" s="13"/>
      <c r="E41" s="14"/>
      <c r="F41" s="13"/>
      <c r="G41" s="13"/>
    </row>
    <row r="42">
      <c r="A42" s="16"/>
      <c r="B42" s="17"/>
      <c r="C42" s="13"/>
      <c r="D42" s="13"/>
      <c r="E42" s="14"/>
      <c r="F42" s="13"/>
      <c r="G42" s="13"/>
    </row>
    <row r="43">
      <c r="A43" s="16"/>
      <c r="B43" s="17"/>
      <c r="C43" s="13"/>
      <c r="D43" s="13"/>
      <c r="E43" s="14"/>
      <c r="F43" s="13"/>
      <c r="G43" s="13"/>
    </row>
    <row r="44">
      <c r="A44" s="16"/>
      <c r="B44" s="17"/>
      <c r="C44" s="13"/>
      <c r="D44" s="13"/>
      <c r="E44" s="14"/>
      <c r="F44" s="13"/>
      <c r="G44" s="13"/>
    </row>
    <row r="45">
      <c r="A45" s="16"/>
      <c r="B45" s="17"/>
      <c r="C45" s="13"/>
      <c r="D45" s="13"/>
      <c r="E45" s="14"/>
      <c r="F45" s="13"/>
      <c r="G45" s="13"/>
    </row>
    <row r="46">
      <c r="A46" s="16"/>
      <c r="B46" s="17"/>
      <c r="C46" s="13"/>
      <c r="D46" s="13"/>
      <c r="E46" s="14"/>
      <c r="F46" s="13"/>
      <c r="G46" s="13"/>
    </row>
    <row r="47">
      <c r="A47" s="16"/>
      <c r="B47" s="17"/>
      <c r="C47" s="13"/>
      <c r="D47" s="13"/>
      <c r="E47" s="14"/>
      <c r="F47" s="13"/>
      <c r="G47" s="13"/>
    </row>
    <row r="48">
      <c r="A48" s="16"/>
      <c r="B48" s="17"/>
      <c r="C48" s="13"/>
      <c r="D48" s="13"/>
      <c r="E48" s="14"/>
      <c r="F48" s="13"/>
      <c r="G48" s="13"/>
    </row>
    <row r="49">
      <c r="A49" s="16"/>
      <c r="B49" s="17"/>
      <c r="C49" s="13"/>
      <c r="D49" s="13"/>
      <c r="E49" s="14"/>
      <c r="F49" s="13"/>
      <c r="G49" s="13"/>
    </row>
    <row r="50">
      <c r="A50" s="16"/>
      <c r="B50" s="17"/>
      <c r="C50" s="13"/>
      <c r="D50" s="13"/>
      <c r="E50" s="14"/>
      <c r="F50" s="13"/>
      <c r="G50" s="13"/>
    </row>
    <row r="51">
      <c r="A51" s="16"/>
      <c r="B51" s="17"/>
      <c r="C51" s="13"/>
      <c r="D51" s="13"/>
      <c r="E51" s="14"/>
      <c r="F51" s="13"/>
      <c r="G51" s="13"/>
    </row>
    <row r="52">
      <c r="A52" s="16"/>
      <c r="B52" s="17"/>
      <c r="C52" s="13"/>
      <c r="D52" s="13"/>
      <c r="E52" s="14"/>
      <c r="F52" s="13"/>
      <c r="G52" s="13"/>
    </row>
    <row r="53">
      <c r="A53" s="16"/>
      <c r="B53" s="17"/>
      <c r="C53" s="13"/>
      <c r="D53" s="13"/>
      <c r="E53" s="14"/>
      <c r="F53" s="13"/>
      <c r="G53" s="13"/>
    </row>
    <row r="54">
      <c r="A54" s="16"/>
      <c r="B54" s="17"/>
      <c r="C54" s="13"/>
      <c r="D54" s="13"/>
      <c r="E54" s="14"/>
      <c r="F54" s="13"/>
      <c r="G54" s="13"/>
    </row>
    <row r="55">
      <c r="A55" s="16"/>
      <c r="B55" s="17"/>
      <c r="C55" s="13"/>
      <c r="D55" s="13"/>
      <c r="E55" s="14"/>
      <c r="F55" s="13"/>
      <c r="G55" s="13"/>
    </row>
    <row r="56">
      <c r="A56" s="16"/>
      <c r="B56" s="17"/>
      <c r="C56" s="13"/>
      <c r="D56" s="13"/>
      <c r="E56" s="14"/>
      <c r="F56" s="13"/>
      <c r="G56" s="13"/>
    </row>
    <row r="57">
      <c r="A57" s="16"/>
      <c r="B57" s="17"/>
      <c r="C57" s="13"/>
      <c r="D57" s="13"/>
      <c r="E57" s="14"/>
      <c r="F57" s="13"/>
      <c r="G57" s="13"/>
    </row>
    <row r="58">
      <c r="A58" s="16"/>
      <c r="B58" s="17"/>
      <c r="C58" s="13"/>
      <c r="D58" s="13"/>
      <c r="E58" s="14"/>
      <c r="F58" s="13"/>
      <c r="G58" s="13"/>
    </row>
    <row r="59">
      <c r="A59" s="16"/>
      <c r="B59" s="17"/>
      <c r="C59" s="13"/>
      <c r="D59" s="13"/>
      <c r="E59" s="14"/>
      <c r="F59" s="13"/>
      <c r="G59" s="13"/>
    </row>
    <row r="60">
      <c r="A60" s="16"/>
      <c r="B60" s="17"/>
      <c r="C60" s="13"/>
      <c r="D60" s="13"/>
      <c r="E60" s="14"/>
      <c r="F60" s="13"/>
      <c r="G60" s="13"/>
    </row>
    <row r="61">
      <c r="A61" s="16"/>
      <c r="B61" s="17"/>
      <c r="C61" s="13"/>
      <c r="D61" s="13"/>
      <c r="E61" s="14"/>
      <c r="F61" s="13"/>
      <c r="G61" s="13"/>
    </row>
    <row r="62">
      <c r="A62" s="16"/>
      <c r="B62" s="17"/>
      <c r="C62" s="13"/>
      <c r="D62" s="13"/>
      <c r="E62" s="14"/>
      <c r="F62" s="13"/>
      <c r="G62" s="13"/>
    </row>
    <row r="63">
      <c r="A63" s="16"/>
      <c r="B63" s="17"/>
      <c r="C63" s="13"/>
      <c r="D63" s="13"/>
      <c r="E63" s="14"/>
      <c r="F63" s="13"/>
      <c r="G63" s="13"/>
    </row>
    <row r="64">
      <c r="A64" s="16"/>
      <c r="B64" s="17"/>
      <c r="C64" s="13"/>
      <c r="D64" s="13"/>
      <c r="E64" s="14"/>
      <c r="F64" s="13"/>
      <c r="G64" s="13"/>
    </row>
    <row r="65">
      <c r="A65" s="16"/>
      <c r="B65" s="17"/>
      <c r="C65" s="13"/>
      <c r="D65" s="13"/>
      <c r="E65" s="14"/>
      <c r="F65" s="13"/>
      <c r="G65" s="13"/>
    </row>
    <row r="66">
      <c r="A66" s="16"/>
      <c r="B66" s="17"/>
      <c r="C66" s="13"/>
      <c r="D66" s="13"/>
      <c r="E66" s="14"/>
      <c r="F66" s="13"/>
      <c r="G66" s="13"/>
    </row>
    <row r="67">
      <c r="A67" s="16"/>
      <c r="B67" s="17"/>
      <c r="C67" s="13"/>
      <c r="D67" s="13"/>
      <c r="E67" s="14"/>
      <c r="F67" s="13"/>
      <c r="G67" s="13"/>
    </row>
    <row r="68">
      <c r="A68" s="16"/>
      <c r="B68" s="17"/>
      <c r="C68" s="13"/>
      <c r="D68" s="13"/>
      <c r="E68" s="14"/>
      <c r="F68" s="13"/>
      <c r="G68" s="13"/>
    </row>
    <row r="69">
      <c r="A69" s="16"/>
      <c r="B69" s="17"/>
      <c r="C69" s="13"/>
      <c r="D69" s="13"/>
      <c r="E69" s="14"/>
      <c r="F69" s="13"/>
      <c r="G69" s="13"/>
    </row>
    <row r="70">
      <c r="A70" s="16"/>
      <c r="B70" s="17"/>
      <c r="C70" s="13"/>
      <c r="D70" s="13"/>
      <c r="E70" s="14"/>
      <c r="F70" s="13"/>
      <c r="G70" s="13"/>
    </row>
    <row r="71">
      <c r="A71" s="16"/>
      <c r="B71" s="17"/>
      <c r="C71" s="13"/>
      <c r="D71" s="13"/>
      <c r="E71" s="14"/>
      <c r="F71" s="13"/>
      <c r="G71" s="13"/>
    </row>
    <row r="72">
      <c r="A72" s="16"/>
      <c r="B72" s="17"/>
      <c r="C72" s="13"/>
      <c r="D72" s="13"/>
      <c r="E72" s="14"/>
      <c r="F72" s="13"/>
      <c r="G72" s="13"/>
    </row>
    <row r="73">
      <c r="A73" s="16"/>
      <c r="B73" s="17"/>
      <c r="C73" s="13"/>
      <c r="D73" s="13"/>
      <c r="E73" s="14"/>
      <c r="F73" s="13"/>
      <c r="G73" s="13"/>
    </row>
    <row r="74">
      <c r="A74" s="16"/>
      <c r="B74" s="17"/>
      <c r="C74" s="13"/>
      <c r="D74" s="13"/>
      <c r="E74" s="14"/>
      <c r="F74" s="13"/>
      <c r="G74" s="13"/>
    </row>
    <row r="75">
      <c r="A75" s="16"/>
      <c r="B75" s="17"/>
      <c r="C75" s="13"/>
      <c r="D75" s="13"/>
      <c r="E75" s="14"/>
      <c r="F75" s="13"/>
      <c r="G75" s="13"/>
    </row>
    <row r="76">
      <c r="A76" s="16"/>
      <c r="B76" s="17"/>
      <c r="C76" s="13"/>
      <c r="D76" s="13"/>
      <c r="E76" s="14"/>
      <c r="F76" s="13"/>
      <c r="G76" s="13"/>
    </row>
    <row r="77">
      <c r="A77" s="16"/>
      <c r="B77" s="17"/>
      <c r="C77" s="13"/>
      <c r="D77" s="13"/>
      <c r="E77" s="14"/>
      <c r="F77" s="13"/>
      <c r="G77" s="13"/>
    </row>
    <row r="78">
      <c r="A78" s="16"/>
      <c r="B78" s="17"/>
      <c r="C78" s="13"/>
      <c r="D78" s="13"/>
      <c r="E78" s="14"/>
      <c r="F78" s="13"/>
      <c r="G78" s="13"/>
    </row>
    <row r="79">
      <c r="A79" s="16"/>
      <c r="B79" s="17"/>
      <c r="C79" s="13"/>
      <c r="D79" s="13"/>
      <c r="E79" s="14"/>
      <c r="F79" s="13"/>
      <c r="G79" s="13"/>
    </row>
    <row r="80">
      <c r="A80" s="16"/>
      <c r="B80" s="17"/>
      <c r="C80" s="13"/>
      <c r="D80" s="13"/>
      <c r="E80" s="14"/>
      <c r="F80" s="13"/>
      <c r="G80" s="13"/>
    </row>
    <row r="81">
      <c r="A81" s="16"/>
      <c r="B81" s="17"/>
      <c r="C81" s="13"/>
      <c r="D81" s="13"/>
      <c r="E81" s="14"/>
      <c r="F81" s="13"/>
      <c r="G81" s="13"/>
    </row>
    <row r="82">
      <c r="A82" s="16"/>
      <c r="B82" s="17"/>
      <c r="C82" s="13"/>
      <c r="D82" s="13"/>
      <c r="E82" s="14"/>
      <c r="F82" s="13"/>
      <c r="G82" s="13"/>
    </row>
    <row r="83">
      <c r="A83" s="16"/>
      <c r="B83" s="17"/>
      <c r="C83" s="13"/>
      <c r="D83" s="13"/>
      <c r="E83" s="14"/>
      <c r="F83" s="13"/>
      <c r="G83" s="13"/>
    </row>
    <row r="84">
      <c r="A84" s="16"/>
      <c r="B84" s="17"/>
      <c r="C84" s="13"/>
      <c r="D84" s="13"/>
      <c r="E84" s="14"/>
      <c r="F84" s="13"/>
      <c r="G84" s="13"/>
    </row>
    <row r="85">
      <c r="A85" s="16"/>
      <c r="B85" s="17"/>
      <c r="C85" s="13"/>
      <c r="D85" s="13"/>
      <c r="E85" s="14"/>
      <c r="F85" s="13"/>
      <c r="G85" s="13"/>
    </row>
    <row r="86">
      <c r="A86" s="16"/>
      <c r="B86" s="17"/>
      <c r="C86" s="13"/>
      <c r="D86" s="13"/>
      <c r="E86" s="14"/>
      <c r="F86" s="13"/>
      <c r="G86" s="13"/>
    </row>
    <row r="87">
      <c r="A87" s="16"/>
      <c r="B87" s="17"/>
      <c r="C87" s="13"/>
      <c r="D87" s="13"/>
      <c r="E87" s="14"/>
      <c r="F87" s="13"/>
      <c r="G87" s="13"/>
    </row>
    <row r="88">
      <c r="A88" s="16"/>
      <c r="B88" s="17"/>
      <c r="C88" s="13"/>
      <c r="D88" s="13"/>
      <c r="E88" s="14"/>
      <c r="F88" s="13"/>
      <c r="G88" s="13"/>
    </row>
    <row r="89">
      <c r="A89" s="16"/>
      <c r="B89" s="17"/>
      <c r="C89" s="13"/>
      <c r="D89" s="13"/>
      <c r="E89" s="14"/>
      <c r="F89" s="13"/>
      <c r="G89" s="13"/>
    </row>
    <row r="90">
      <c r="A90" s="16"/>
      <c r="B90" s="17"/>
      <c r="C90" s="13"/>
      <c r="D90" s="13"/>
      <c r="E90" s="14"/>
      <c r="F90" s="13"/>
      <c r="G90" s="13"/>
    </row>
    <row r="91">
      <c r="A91" s="16"/>
      <c r="B91" s="17"/>
      <c r="C91" s="13"/>
      <c r="D91" s="13"/>
      <c r="E91" s="14"/>
      <c r="F91" s="13"/>
      <c r="G91" s="13"/>
    </row>
    <row r="92">
      <c r="A92" s="16"/>
      <c r="B92" s="17"/>
      <c r="C92" s="13"/>
      <c r="D92" s="13"/>
      <c r="E92" s="14"/>
      <c r="F92" s="13"/>
      <c r="G92" s="13"/>
    </row>
    <row r="93">
      <c r="A93" s="16"/>
      <c r="B93" s="17"/>
      <c r="C93" s="13"/>
      <c r="D93" s="13"/>
      <c r="E93" s="14"/>
      <c r="F93" s="13"/>
      <c r="G93" s="13"/>
    </row>
    <row r="94">
      <c r="A94" s="16"/>
      <c r="B94" s="17"/>
      <c r="C94" s="13"/>
      <c r="D94" s="13"/>
      <c r="E94" s="14"/>
      <c r="F94" s="13"/>
      <c r="G94" s="13"/>
    </row>
    <row r="95">
      <c r="A95" s="16"/>
      <c r="B95" s="17"/>
      <c r="C95" s="13"/>
      <c r="D95" s="13"/>
      <c r="E95" s="14"/>
      <c r="F95" s="13"/>
      <c r="G95" s="13"/>
    </row>
    <row r="96">
      <c r="A96" s="16"/>
      <c r="B96" s="17"/>
      <c r="C96" s="13"/>
      <c r="D96" s="13"/>
      <c r="E96" s="14"/>
      <c r="F96" s="13"/>
      <c r="G96" s="13"/>
    </row>
    <row r="97">
      <c r="A97" s="16"/>
      <c r="B97" s="17"/>
      <c r="C97" s="13"/>
      <c r="D97" s="13"/>
      <c r="E97" s="14"/>
      <c r="F97" s="13"/>
      <c r="G97" s="13"/>
    </row>
    <row r="98">
      <c r="A98" s="16"/>
      <c r="B98" s="17"/>
      <c r="C98" s="13"/>
      <c r="D98" s="13"/>
      <c r="E98" s="14"/>
      <c r="F98" s="13"/>
      <c r="G98" s="13"/>
    </row>
    <row r="99">
      <c r="A99" s="16"/>
      <c r="B99" s="17"/>
      <c r="C99" s="13"/>
      <c r="D99" s="13"/>
      <c r="E99" s="14"/>
      <c r="F99" s="13"/>
      <c r="G99" s="13"/>
    </row>
    <row r="100">
      <c r="A100" s="16"/>
      <c r="B100" s="17"/>
      <c r="C100" s="13"/>
      <c r="D100" s="13"/>
      <c r="E100" s="14"/>
      <c r="F100" s="13"/>
      <c r="G100" s="13"/>
    </row>
    <row r="101">
      <c r="A101" s="16"/>
      <c r="B101" s="17"/>
      <c r="C101" s="13"/>
      <c r="D101" s="13"/>
      <c r="E101" s="14"/>
      <c r="F101" s="13"/>
      <c r="G101" s="13"/>
    </row>
    <row r="102">
      <c r="A102" s="16"/>
      <c r="B102" s="17"/>
      <c r="C102" s="13"/>
      <c r="D102" s="13"/>
      <c r="E102" s="14"/>
      <c r="F102" s="13"/>
      <c r="G102" s="13"/>
    </row>
    <row r="103">
      <c r="A103" s="16"/>
      <c r="B103" s="17"/>
      <c r="C103" s="13"/>
      <c r="D103" s="13"/>
      <c r="E103" s="14"/>
      <c r="F103" s="13"/>
      <c r="G103" s="13"/>
    </row>
    <row r="104">
      <c r="A104" s="16"/>
      <c r="B104" s="17"/>
      <c r="C104" s="13"/>
      <c r="D104" s="13"/>
      <c r="E104" s="14"/>
      <c r="F104" s="13"/>
      <c r="G104" s="13"/>
    </row>
    <row r="105">
      <c r="A105" s="16"/>
      <c r="B105" s="17"/>
      <c r="C105" s="13"/>
      <c r="D105" s="13"/>
      <c r="E105" s="14"/>
      <c r="F105" s="13"/>
      <c r="G105" s="13"/>
    </row>
    <row r="106">
      <c r="A106" s="16"/>
      <c r="B106" s="17"/>
      <c r="C106" s="13"/>
      <c r="D106" s="13"/>
      <c r="E106" s="14"/>
      <c r="F106" s="13"/>
      <c r="G106" s="13"/>
    </row>
    <row r="107">
      <c r="A107" s="16"/>
      <c r="B107" s="17"/>
      <c r="C107" s="13"/>
      <c r="D107" s="13"/>
      <c r="E107" s="14"/>
      <c r="F107" s="13"/>
      <c r="G107" s="13"/>
    </row>
    <row r="108">
      <c r="A108" s="16"/>
      <c r="B108" s="17"/>
      <c r="C108" s="13"/>
      <c r="D108" s="13"/>
      <c r="E108" s="14"/>
      <c r="F108" s="13"/>
      <c r="G108" s="13"/>
    </row>
    <row r="109">
      <c r="A109" s="16"/>
      <c r="B109" s="17"/>
      <c r="C109" s="13"/>
      <c r="D109" s="13"/>
      <c r="E109" s="14"/>
      <c r="F109" s="13"/>
      <c r="G109" s="13"/>
    </row>
    <row r="110">
      <c r="A110" s="16"/>
      <c r="B110" s="17"/>
      <c r="C110" s="13"/>
      <c r="D110" s="13"/>
      <c r="E110" s="14"/>
      <c r="F110" s="13"/>
      <c r="G110" s="13"/>
    </row>
    <row r="111">
      <c r="A111" s="16"/>
      <c r="B111" s="17"/>
      <c r="C111" s="13"/>
      <c r="D111" s="13"/>
      <c r="E111" s="14"/>
      <c r="F111" s="13"/>
      <c r="G111" s="13"/>
    </row>
    <row r="112">
      <c r="A112" s="16"/>
      <c r="B112" s="17"/>
      <c r="C112" s="13"/>
      <c r="D112" s="13"/>
      <c r="E112" s="14"/>
      <c r="F112" s="13"/>
      <c r="G112" s="13"/>
    </row>
    <row r="113">
      <c r="A113" s="16"/>
      <c r="B113" s="17"/>
      <c r="C113" s="13"/>
      <c r="D113" s="13"/>
      <c r="E113" s="14"/>
      <c r="F113" s="13"/>
      <c r="G113" s="13"/>
    </row>
    <row r="114">
      <c r="A114" s="16"/>
      <c r="B114" s="17"/>
      <c r="C114" s="13"/>
      <c r="D114" s="13"/>
      <c r="E114" s="14"/>
      <c r="F114" s="13"/>
      <c r="G114" s="13"/>
    </row>
    <row r="115">
      <c r="A115" s="16"/>
      <c r="B115" s="17"/>
      <c r="C115" s="13"/>
      <c r="D115" s="13"/>
      <c r="E115" s="14"/>
      <c r="F115" s="13"/>
      <c r="G115" s="13"/>
    </row>
    <row r="116">
      <c r="A116" s="16"/>
      <c r="B116" s="17"/>
      <c r="C116" s="13"/>
      <c r="D116" s="13"/>
      <c r="E116" s="14"/>
      <c r="F116" s="13"/>
      <c r="G116" s="13"/>
    </row>
    <row r="117">
      <c r="A117" s="16"/>
      <c r="B117" s="17"/>
      <c r="C117" s="13"/>
      <c r="D117" s="13"/>
      <c r="E117" s="14"/>
      <c r="F117" s="13"/>
      <c r="G117" s="13"/>
    </row>
    <row r="118">
      <c r="A118" s="16"/>
      <c r="B118" s="17"/>
      <c r="C118" s="13"/>
      <c r="D118" s="13"/>
      <c r="E118" s="14"/>
      <c r="F118" s="13"/>
      <c r="G118" s="13"/>
    </row>
    <row r="119">
      <c r="A119" s="16"/>
      <c r="B119" s="17"/>
      <c r="C119" s="13"/>
      <c r="D119" s="13"/>
      <c r="E119" s="14"/>
      <c r="F119" s="13"/>
      <c r="G119" s="13"/>
    </row>
    <row r="120">
      <c r="A120" s="16"/>
      <c r="B120" s="17"/>
      <c r="C120" s="13"/>
      <c r="D120" s="13"/>
      <c r="E120" s="14"/>
      <c r="F120" s="13"/>
      <c r="G120" s="13"/>
    </row>
    <row r="121">
      <c r="A121" s="16"/>
      <c r="B121" s="17"/>
      <c r="C121" s="13"/>
      <c r="D121" s="13"/>
      <c r="E121" s="14"/>
      <c r="F121" s="13"/>
      <c r="G121" s="13"/>
    </row>
    <row r="122">
      <c r="A122" s="16"/>
      <c r="B122" s="17"/>
      <c r="C122" s="13"/>
      <c r="D122" s="13"/>
      <c r="E122" s="14"/>
      <c r="F122" s="13"/>
      <c r="G122" s="13"/>
    </row>
    <row r="123">
      <c r="A123" s="16"/>
      <c r="B123" s="17"/>
      <c r="C123" s="13"/>
      <c r="D123" s="13"/>
      <c r="E123" s="14"/>
      <c r="F123" s="13"/>
      <c r="G123" s="13"/>
    </row>
    <row r="124">
      <c r="A124" s="16"/>
      <c r="B124" s="17"/>
      <c r="C124" s="13"/>
      <c r="D124" s="13"/>
      <c r="E124" s="14"/>
      <c r="F124" s="13"/>
      <c r="G124" s="13"/>
    </row>
    <row r="125">
      <c r="A125" s="16"/>
      <c r="B125" s="17"/>
      <c r="C125" s="13"/>
      <c r="D125" s="13"/>
      <c r="E125" s="14"/>
      <c r="F125" s="13"/>
      <c r="G125" s="13"/>
    </row>
    <row r="126">
      <c r="A126" s="16"/>
      <c r="B126" s="17"/>
      <c r="C126" s="13"/>
      <c r="D126" s="13"/>
      <c r="E126" s="14"/>
      <c r="F126" s="13"/>
      <c r="G126" s="13"/>
    </row>
    <row r="127">
      <c r="A127" s="16"/>
      <c r="B127" s="17"/>
      <c r="C127" s="13"/>
      <c r="D127" s="13"/>
      <c r="E127" s="14"/>
      <c r="F127" s="13"/>
      <c r="G127" s="13"/>
    </row>
    <row r="128">
      <c r="A128" s="16"/>
      <c r="B128" s="17"/>
      <c r="C128" s="13"/>
      <c r="D128" s="13"/>
      <c r="E128" s="14"/>
      <c r="F128" s="13"/>
      <c r="G128" s="13"/>
    </row>
    <row r="129">
      <c r="A129" s="16"/>
      <c r="B129" s="17"/>
      <c r="C129" s="13"/>
      <c r="D129" s="13"/>
      <c r="E129" s="14"/>
      <c r="F129" s="13"/>
      <c r="G129" s="13"/>
    </row>
    <row r="130">
      <c r="A130" s="16"/>
      <c r="B130" s="17"/>
      <c r="C130" s="13"/>
      <c r="D130" s="13"/>
      <c r="E130" s="14"/>
      <c r="F130" s="13"/>
      <c r="G130" s="13"/>
    </row>
    <row r="131">
      <c r="A131" s="16"/>
      <c r="B131" s="17"/>
      <c r="C131" s="13"/>
      <c r="D131" s="13"/>
      <c r="E131" s="14"/>
      <c r="F131" s="13"/>
      <c r="G131" s="13"/>
    </row>
    <row r="132">
      <c r="A132" s="16"/>
      <c r="B132" s="17"/>
      <c r="C132" s="13"/>
      <c r="D132" s="13"/>
      <c r="E132" s="14"/>
      <c r="F132" s="13"/>
      <c r="G132" s="13"/>
    </row>
    <row r="133">
      <c r="A133" s="16"/>
      <c r="B133" s="17"/>
      <c r="C133" s="13"/>
      <c r="D133" s="13"/>
      <c r="E133" s="14"/>
      <c r="F133" s="13"/>
      <c r="G133" s="13"/>
    </row>
    <row r="134">
      <c r="A134" s="16"/>
      <c r="B134" s="17"/>
      <c r="C134" s="13"/>
      <c r="D134" s="13"/>
      <c r="E134" s="14"/>
      <c r="F134" s="13"/>
      <c r="G134" s="13"/>
    </row>
    <row r="135">
      <c r="A135" s="16"/>
      <c r="B135" s="17"/>
      <c r="C135" s="13"/>
      <c r="D135" s="13"/>
      <c r="E135" s="14"/>
      <c r="F135" s="13"/>
      <c r="G135" s="13"/>
    </row>
    <row r="136">
      <c r="A136" s="16"/>
      <c r="B136" s="17"/>
      <c r="C136" s="13"/>
      <c r="D136" s="13"/>
      <c r="E136" s="14"/>
      <c r="F136" s="13"/>
      <c r="G136" s="13"/>
    </row>
    <row r="137">
      <c r="A137" s="16"/>
      <c r="B137" s="17"/>
      <c r="C137" s="13"/>
      <c r="D137" s="13"/>
      <c r="E137" s="14"/>
      <c r="F137" s="13"/>
      <c r="G137" s="13"/>
    </row>
    <row r="138">
      <c r="A138" s="16"/>
      <c r="B138" s="17"/>
      <c r="C138" s="13"/>
      <c r="D138" s="13"/>
      <c r="E138" s="14"/>
      <c r="F138" s="13"/>
      <c r="G138" s="13"/>
    </row>
    <row r="139">
      <c r="A139" s="16"/>
      <c r="B139" s="17"/>
      <c r="C139" s="13"/>
      <c r="D139" s="13"/>
      <c r="E139" s="14"/>
      <c r="F139" s="13"/>
      <c r="G139" s="13"/>
    </row>
    <row r="140">
      <c r="A140" s="16"/>
      <c r="B140" s="17"/>
      <c r="C140" s="13"/>
      <c r="D140" s="13"/>
      <c r="E140" s="14"/>
      <c r="F140" s="13"/>
      <c r="G140" s="13"/>
    </row>
    <row r="141">
      <c r="A141" s="16"/>
      <c r="B141" s="17"/>
      <c r="C141" s="13"/>
      <c r="D141" s="13"/>
      <c r="E141" s="14"/>
      <c r="F141" s="13"/>
      <c r="G141" s="13"/>
    </row>
    <row r="142">
      <c r="A142" s="16"/>
      <c r="B142" s="17"/>
      <c r="C142" s="13"/>
      <c r="D142" s="13"/>
      <c r="E142" s="14"/>
      <c r="F142" s="13"/>
      <c r="G142" s="13"/>
    </row>
    <row r="143">
      <c r="A143" s="16"/>
      <c r="B143" s="17"/>
      <c r="C143" s="13"/>
      <c r="D143" s="13"/>
      <c r="E143" s="14"/>
      <c r="F143" s="13"/>
      <c r="G143" s="13"/>
    </row>
    <row r="144">
      <c r="A144" s="16"/>
      <c r="B144" s="17"/>
      <c r="C144" s="13"/>
      <c r="D144" s="13"/>
      <c r="E144" s="14"/>
      <c r="F144" s="13"/>
      <c r="G144" s="13"/>
    </row>
    <row r="145">
      <c r="A145" s="16"/>
      <c r="B145" s="17"/>
      <c r="C145" s="13"/>
      <c r="D145" s="13"/>
      <c r="E145" s="14"/>
      <c r="F145" s="13"/>
      <c r="G145" s="13"/>
    </row>
    <row r="146">
      <c r="A146" s="16"/>
      <c r="B146" s="17"/>
      <c r="C146" s="13"/>
      <c r="D146" s="13"/>
      <c r="E146" s="14"/>
      <c r="F146" s="13"/>
      <c r="G146" s="13"/>
    </row>
    <row r="147">
      <c r="A147" s="16"/>
      <c r="B147" s="17"/>
      <c r="C147" s="13"/>
      <c r="D147" s="13"/>
      <c r="E147" s="14"/>
      <c r="F147" s="13"/>
      <c r="G147" s="13"/>
    </row>
    <row r="148">
      <c r="A148" s="16"/>
      <c r="B148" s="17"/>
      <c r="C148" s="13"/>
      <c r="D148" s="13"/>
      <c r="E148" s="14"/>
      <c r="F148" s="13"/>
      <c r="G148" s="13"/>
    </row>
    <row r="149">
      <c r="A149" s="16"/>
      <c r="B149" s="17"/>
      <c r="C149" s="13"/>
      <c r="D149" s="13"/>
      <c r="E149" s="14"/>
      <c r="F149" s="13"/>
      <c r="G149" s="13"/>
    </row>
    <row r="150">
      <c r="A150" s="16"/>
      <c r="B150" s="17"/>
      <c r="C150" s="13"/>
      <c r="D150" s="13"/>
      <c r="E150" s="14"/>
      <c r="F150" s="13"/>
      <c r="G150" s="13"/>
    </row>
    <row r="151">
      <c r="A151" s="16"/>
      <c r="B151" s="17"/>
      <c r="C151" s="13"/>
      <c r="D151" s="13"/>
      <c r="E151" s="14"/>
      <c r="F151" s="13"/>
      <c r="G151" s="13"/>
    </row>
    <row r="152">
      <c r="A152" s="16"/>
      <c r="B152" s="17"/>
      <c r="C152" s="13"/>
      <c r="D152" s="13"/>
      <c r="E152" s="14"/>
      <c r="F152" s="13"/>
      <c r="G152" s="13"/>
    </row>
    <row r="153">
      <c r="A153" s="16"/>
      <c r="B153" s="17"/>
      <c r="C153" s="13"/>
      <c r="D153" s="13"/>
      <c r="E153" s="14"/>
      <c r="F153" s="13"/>
      <c r="G153" s="13"/>
    </row>
    <row r="154">
      <c r="A154" s="16"/>
      <c r="B154" s="17"/>
      <c r="C154" s="13"/>
      <c r="D154" s="13"/>
      <c r="E154" s="14"/>
      <c r="F154" s="13"/>
      <c r="G154" s="13"/>
    </row>
    <row r="155">
      <c r="A155" s="16"/>
      <c r="B155" s="17"/>
      <c r="C155" s="13"/>
      <c r="D155" s="13"/>
      <c r="E155" s="14"/>
      <c r="F155" s="13"/>
      <c r="G155" s="13"/>
    </row>
    <row r="156">
      <c r="A156" s="16"/>
      <c r="B156" s="17"/>
      <c r="C156" s="13"/>
      <c r="D156" s="13"/>
      <c r="E156" s="14"/>
      <c r="F156" s="13"/>
      <c r="G156" s="13"/>
    </row>
    <row r="157">
      <c r="A157" s="16"/>
      <c r="B157" s="17"/>
      <c r="C157" s="13"/>
      <c r="D157" s="13"/>
      <c r="E157" s="14"/>
      <c r="F157" s="13"/>
      <c r="G157" s="13"/>
    </row>
    <row r="158">
      <c r="A158" s="16"/>
      <c r="B158" s="17"/>
      <c r="C158" s="13"/>
      <c r="D158" s="13"/>
      <c r="E158" s="14"/>
      <c r="F158" s="13"/>
      <c r="G158" s="13"/>
    </row>
    <row r="159">
      <c r="A159" s="16"/>
      <c r="B159" s="17"/>
      <c r="C159" s="13"/>
      <c r="D159" s="13"/>
      <c r="E159" s="14"/>
      <c r="F159" s="13"/>
      <c r="G159" s="13"/>
    </row>
    <row r="160">
      <c r="A160" s="16"/>
      <c r="B160" s="17"/>
      <c r="C160" s="13"/>
      <c r="D160" s="13"/>
      <c r="E160" s="14"/>
      <c r="F160" s="13"/>
      <c r="G160" s="13"/>
    </row>
    <row r="161">
      <c r="A161" s="16"/>
      <c r="B161" s="17"/>
      <c r="C161" s="13"/>
      <c r="D161" s="13"/>
      <c r="E161" s="14"/>
      <c r="F161" s="13"/>
      <c r="G161" s="13"/>
    </row>
    <row r="162">
      <c r="A162" s="16"/>
      <c r="B162" s="17"/>
      <c r="C162" s="13"/>
      <c r="D162" s="13"/>
      <c r="E162" s="14"/>
      <c r="F162" s="13"/>
      <c r="G162" s="13"/>
    </row>
    <row r="163">
      <c r="A163" s="16"/>
      <c r="B163" s="17"/>
      <c r="C163" s="13"/>
      <c r="D163" s="13"/>
      <c r="E163" s="14"/>
      <c r="F163" s="13"/>
      <c r="G163" s="13"/>
    </row>
    <row r="164">
      <c r="A164" s="16"/>
      <c r="B164" s="17"/>
      <c r="C164" s="13"/>
      <c r="D164" s="13"/>
      <c r="E164" s="14"/>
      <c r="F164" s="13"/>
      <c r="G164" s="13"/>
    </row>
    <row r="165">
      <c r="A165" s="16"/>
      <c r="B165" s="17"/>
      <c r="C165" s="13"/>
      <c r="D165" s="13"/>
      <c r="E165" s="14"/>
      <c r="F165" s="13"/>
      <c r="G165" s="13"/>
    </row>
    <row r="166">
      <c r="A166" s="16"/>
      <c r="B166" s="17"/>
      <c r="C166" s="13"/>
      <c r="D166" s="13"/>
      <c r="E166" s="14"/>
      <c r="F166" s="13"/>
      <c r="G166" s="13"/>
    </row>
    <row r="167">
      <c r="A167" s="16"/>
      <c r="B167" s="17"/>
      <c r="C167" s="13"/>
      <c r="D167" s="13"/>
      <c r="E167" s="14"/>
      <c r="F167" s="13"/>
      <c r="G167" s="13"/>
    </row>
    <row r="168">
      <c r="A168" s="16"/>
      <c r="B168" s="17"/>
      <c r="C168" s="13"/>
      <c r="D168" s="13"/>
      <c r="E168" s="14"/>
      <c r="F168" s="13"/>
      <c r="G168" s="13"/>
    </row>
    <row r="169">
      <c r="A169" s="16"/>
      <c r="B169" s="17"/>
      <c r="C169" s="13"/>
      <c r="D169" s="13"/>
      <c r="E169" s="14"/>
      <c r="F169" s="13"/>
      <c r="G169" s="13"/>
    </row>
    <row r="170">
      <c r="A170" s="16"/>
      <c r="B170" s="17"/>
      <c r="C170" s="13"/>
      <c r="D170" s="13"/>
      <c r="E170" s="14"/>
      <c r="F170" s="13"/>
      <c r="G170" s="13"/>
    </row>
    <row r="171">
      <c r="A171" s="16"/>
      <c r="B171" s="17"/>
      <c r="C171" s="13"/>
      <c r="D171" s="13"/>
      <c r="E171" s="14"/>
      <c r="F171" s="13"/>
      <c r="G171" s="13"/>
    </row>
    <row r="172">
      <c r="A172" s="16"/>
      <c r="B172" s="17"/>
      <c r="C172" s="13"/>
      <c r="D172" s="13"/>
      <c r="E172" s="14"/>
      <c r="F172" s="13"/>
      <c r="G172" s="13"/>
    </row>
    <row r="173">
      <c r="A173" s="16"/>
      <c r="B173" s="17"/>
      <c r="C173" s="13"/>
      <c r="D173" s="13"/>
      <c r="E173" s="14"/>
      <c r="F173" s="13"/>
      <c r="G173" s="13"/>
    </row>
    <row r="174">
      <c r="A174" s="16"/>
      <c r="B174" s="17"/>
      <c r="C174" s="13"/>
      <c r="D174" s="13"/>
      <c r="E174" s="14"/>
      <c r="F174" s="13"/>
      <c r="G174" s="13"/>
    </row>
    <row r="175">
      <c r="A175" s="16"/>
      <c r="B175" s="17"/>
      <c r="C175" s="13"/>
      <c r="D175" s="13"/>
      <c r="E175" s="14"/>
      <c r="F175" s="13"/>
      <c r="G175" s="13"/>
    </row>
    <row r="176">
      <c r="A176" s="16"/>
      <c r="B176" s="17"/>
      <c r="C176" s="13"/>
      <c r="D176" s="13"/>
      <c r="E176" s="14"/>
      <c r="F176" s="13"/>
      <c r="G176" s="13"/>
    </row>
    <row r="177">
      <c r="A177" s="16"/>
      <c r="B177" s="17"/>
      <c r="C177" s="13"/>
      <c r="D177" s="13"/>
      <c r="E177" s="14"/>
      <c r="F177" s="13"/>
      <c r="G177" s="13"/>
    </row>
    <row r="178">
      <c r="A178" s="16"/>
      <c r="B178" s="17"/>
      <c r="C178" s="13"/>
      <c r="D178" s="13"/>
      <c r="E178" s="14"/>
      <c r="F178" s="13"/>
      <c r="G178" s="13"/>
    </row>
    <row r="179">
      <c r="A179" s="16"/>
      <c r="B179" s="17"/>
      <c r="C179" s="13"/>
      <c r="D179" s="13"/>
      <c r="E179" s="14"/>
      <c r="F179" s="13"/>
      <c r="G179" s="13"/>
    </row>
    <row r="180">
      <c r="A180" s="16"/>
      <c r="B180" s="17"/>
      <c r="C180" s="13"/>
      <c r="D180" s="13"/>
      <c r="E180" s="14"/>
      <c r="F180" s="13"/>
      <c r="G180" s="13"/>
    </row>
    <row r="181">
      <c r="A181" s="16"/>
      <c r="B181" s="17"/>
      <c r="C181" s="13"/>
      <c r="D181" s="13"/>
      <c r="E181" s="14"/>
      <c r="F181" s="13"/>
      <c r="G181" s="13"/>
    </row>
    <row r="182">
      <c r="A182" s="16"/>
      <c r="B182" s="17"/>
      <c r="C182" s="13"/>
      <c r="D182" s="13"/>
      <c r="E182" s="14"/>
      <c r="F182" s="13"/>
      <c r="G182" s="13"/>
    </row>
    <row r="183">
      <c r="A183" s="16"/>
      <c r="B183" s="17"/>
      <c r="C183" s="13"/>
      <c r="D183" s="13"/>
      <c r="E183" s="14"/>
      <c r="F183" s="13"/>
      <c r="G183" s="13"/>
    </row>
    <row r="184">
      <c r="A184" s="16"/>
      <c r="B184" s="17"/>
      <c r="C184" s="13"/>
      <c r="D184" s="13"/>
      <c r="E184" s="14"/>
      <c r="F184" s="13"/>
      <c r="G184" s="13"/>
    </row>
    <row r="185">
      <c r="A185" s="16"/>
      <c r="B185" s="17"/>
      <c r="C185" s="13"/>
      <c r="D185" s="13"/>
      <c r="E185" s="14"/>
      <c r="F185" s="13"/>
      <c r="G185" s="13"/>
    </row>
    <row r="186">
      <c r="A186" s="16"/>
      <c r="B186" s="17"/>
      <c r="C186" s="13"/>
      <c r="D186" s="13"/>
      <c r="E186" s="14"/>
      <c r="F186" s="13"/>
      <c r="G186" s="13"/>
    </row>
    <row r="187">
      <c r="A187" s="16"/>
      <c r="B187" s="17"/>
      <c r="C187" s="13"/>
      <c r="D187" s="13"/>
      <c r="E187" s="14"/>
      <c r="F187" s="13"/>
      <c r="G187" s="13"/>
    </row>
    <row r="188">
      <c r="A188" s="16"/>
      <c r="B188" s="17"/>
      <c r="C188" s="13"/>
      <c r="D188" s="13"/>
      <c r="E188" s="14"/>
      <c r="F188" s="13"/>
      <c r="G188" s="13"/>
    </row>
    <row r="189">
      <c r="A189" s="16"/>
      <c r="B189" s="17"/>
      <c r="C189" s="13"/>
      <c r="D189" s="13"/>
      <c r="E189" s="14"/>
      <c r="F189" s="13"/>
      <c r="G189" s="13"/>
    </row>
    <row r="190">
      <c r="A190" s="16"/>
      <c r="B190" s="17"/>
      <c r="C190" s="13"/>
      <c r="D190" s="13"/>
      <c r="E190" s="14"/>
      <c r="F190" s="13"/>
      <c r="G190" s="13"/>
    </row>
    <row r="191">
      <c r="A191" s="16"/>
      <c r="B191" s="17"/>
      <c r="C191" s="13"/>
      <c r="D191" s="13"/>
      <c r="E191" s="14"/>
      <c r="F191" s="13"/>
      <c r="G191" s="13"/>
    </row>
    <row r="192">
      <c r="A192" s="16"/>
      <c r="B192" s="17"/>
      <c r="C192" s="13"/>
      <c r="D192" s="13"/>
      <c r="E192" s="14"/>
      <c r="F192" s="13"/>
      <c r="G192" s="13"/>
    </row>
    <row r="193">
      <c r="A193" s="16"/>
      <c r="B193" s="17"/>
      <c r="C193" s="13"/>
      <c r="D193" s="13"/>
      <c r="E193" s="14"/>
      <c r="F193" s="13"/>
      <c r="G193" s="13"/>
    </row>
    <row r="194">
      <c r="A194" s="16"/>
      <c r="B194" s="17"/>
      <c r="C194" s="13"/>
      <c r="D194" s="13"/>
      <c r="E194" s="14"/>
      <c r="F194" s="13"/>
      <c r="G194" s="13"/>
    </row>
    <row r="195">
      <c r="A195" s="16"/>
      <c r="B195" s="17"/>
      <c r="C195" s="13"/>
      <c r="D195" s="13"/>
      <c r="E195" s="14"/>
      <c r="F195" s="13"/>
      <c r="G195" s="13"/>
    </row>
    <row r="196">
      <c r="A196" s="16"/>
      <c r="B196" s="17"/>
      <c r="C196" s="13"/>
      <c r="D196" s="13"/>
      <c r="E196" s="14"/>
      <c r="F196" s="13"/>
      <c r="G196" s="13"/>
    </row>
    <row r="197">
      <c r="A197" s="16"/>
      <c r="B197" s="17"/>
      <c r="C197" s="13"/>
      <c r="D197" s="13"/>
      <c r="E197" s="14"/>
      <c r="F197" s="13"/>
      <c r="G197" s="13"/>
    </row>
    <row r="198">
      <c r="A198" s="16"/>
      <c r="B198" s="17"/>
      <c r="C198" s="13"/>
      <c r="D198" s="13"/>
      <c r="E198" s="14"/>
      <c r="F198" s="13"/>
      <c r="G198" s="13"/>
    </row>
    <row r="199">
      <c r="A199" s="16"/>
      <c r="B199" s="17"/>
      <c r="C199" s="13"/>
      <c r="D199" s="13"/>
      <c r="E199" s="14"/>
      <c r="F199" s="13"/>
      <c r="G199" s="13"/>
    </row>
    <row r="200">
      <c r="A200" s="16"/>
      <c r="B200" s="17"/>
      <c r="C200" s="13"/>
      <c r="D200" s="13"/>
      <c r="E200" s="14"/>
      <c r="F200" s="13"/>
      <c r="G200" s="13"/>
    </row>
    <row r="201">
      <c r="A201" s="16"/>
      <c r="B201" s="17"/>
      <c r="C201" s="13"/>
      <c r="D201" s="13"/>
      <c r="E201" s="14"/>
      <c r="F201" s="13"/>
      <c r="G201" s="13"/>
    </row>
    <row r="202">
      <c r="A202" s="16"/>
      <c r="B202" s="17"/>
      <c r="C202" s="13"/>
      <c r="D202" s="13"/>
      <c r="E202" s="14"/>
      <c r="F202" s="13"/>
      <c r="G202" s="13"/>
    </row>
    <row r="203">
      <c r="A203" s="16"/>
      <c r="B203" s="17"/>
      <c r="C203" s="13"/>
      <c r="D203" s="13"/>
      <c r="E203" s="14"/>
      <c r="F203" s="13"/>
      <c r="G203" s="13"/>
    </row>
    <row r="204">
      <c r="A204" s="16"/>
      <c r="B204" s="17"/>
      <c r="C204" s="13"/>
      <c r="D204" s="13"/>
      <c r="E204" s="14"/>
      <c r="F204" s="13"/>
      <c r="G204" s="13"/>
    </row>
    <row r="205">
      <c r="A205" s="16"/>
      <c r="B205" s="17"/>
      <c r="C205" s="13"/>
      <c r="D205" s="13"/>
      <c r="E205" s="14"/>
      <c r="F205" s="13"/>
      <c r="G205" s="13"/>
    </row>
    <row r="206">
      <c r="A206" s="16"/>
      <c r="B206" s="17"/>
      <c r="C206" s="13"/>
      <c r="D206" s="13"/>
      <c r="E206" s="14"/>
      <c r="F206" s="13"/>
      <c r="G206" s="13"/>
    </row>
    <row r="207">
      <c r="A207" s="16"/>
      <c r="B207" s="17"/>
      <c r="C207" s="13"/>
      <c r="D207" s="13"/>
      <c r="E207" s="14"/>
      <c r="F207" s="13"/>
      <c r="G207" s="13"/>
    </row>
    <row r="208">
      <c r="A208" s="16"/>
      <c r="B208" s="17"/>
      <c r="C208" s="13"/>
      <c r="D208" s="13"/>
      <c r="E208" s="14"/>
      <c r="F208" s="13"/>
      <c r="G208" s="13"/>
    </row>
    <row r="209">
      <c r="A209" s="16"/>
      <c r="B209" s="17"/>
      <c r="C209" s="13"/>
      <c r="D209" s="13"/>
      <c r="E209" s="14"/>
      <c r="F209" s="13"/>
      <c r="G209" s="13"/>
    </row>
    <row r="210">
      <c r="A210" s="16"/>
      <c r="B210" s="17"/>
      <c r="C210" s="13"/>
      <c r="D210" s="13"/>
      <c r="E210" s="14"/>
      <c r="F210" s="13"/>
      <c r="G210" s="13"/>
    </row>
    <row r="211">
      <c r="A211" s="16"/>
      <c r="B211" s="17"/>
      <c r="C211" s="13"/>
      <c r="D211" s="13"/>
      <c r="E211" s="14"/>
      <c r="F211" s="13"/>
      <c r="G211" s="13"/>
    </row>
    <row r="212">
      <c r="A212" s="16"/>
      <c r="B212" s="17"/>
      <c r="C212" s="13"/>
      <c r="D212" s="13"/>
      <c r="E212" s="14"/>
      <c r="F212" s="13"/>
      <c r="G212" s="13"/>
    </row>
    <row r="213">
      <c r="A213" s="16"/>
      <c r="B213" s="17"/>
      <c r="C213" s="13"/>
      <c r="D213" s="13"/>
      <c r="E213" s="14"/>
      <c r="F213" s="13"/>
      <c r="G213" s="13"/>
    </row>
    <row r="214">
      <c r="A214" s="16"/>
      <c r="B214" s="17"/>
      <c r="C214" s="13"/>
      <c r="D214" s="13"/>
      <c r="E214" s="14"/>
      <c r="F214" s="13"/>
      <c r="G214" s="13"/>
    </row>
    <row r="215">
      <c r="A215" s="16"/>
      <c r="B215" s="17"/>
      <c r="C215" s="13"/>
      <c r="D215" s="13"/>
      <c r="E215" s="14"/>
      <c r="F215" s="13"/>
      <c r="G215" s="13"/>
    </row>
    <row r="216">
      <c r="A216" s="16"/>
      <c r="B216" s="17"/>
      <c r="C216" s="13"/>
      <c r="D216" s="13"/>
      <c r="E216" s="14"/>
      <c r="F216" s="13"/>
      <c r="G216" s="13"/>
    </row>
    <row r="217">
      <c r="A217" s="16"/>
      <c r="B217" s="17"/>
      <c r="C217" s="13"/>
      <c r="D217" s="13"/>
      <c r="E217" s="14"/>
      <c r="F217" s="13"/>
      <c r="G217" s="13"/>
    </row>
    <row r="218">
      <c r="A218" s="16"/>
      <c r="B218" s="17"/>
      <c r="C218" s="13"/>
      <c r="D218" s="13"/>
      <c r="E218" s="14"/>
      <c r="F218" s="13"/>
      <c r="G218" s="13"/>
    </row>
    <row r="219">
      <c r="A219" s="16"/>
      <c r="B219" s="17"/>
      <c r="C219" s="13"/>
      <c r="D219" s="13"/>
      <c r="E219" s="14"/>
      <c r="F219" s="13"/>
      <c r="G219" s="13"/>
    </row>
    <row r="220">
      <c r="A220" s="16"/>
      <c r="B220" s="17"/>
      <c r="C220" s="13"/>
      <c r="D220" s="13"/>
      <c r="E220" s="14"/>
      <c r="F220" s="13"/>
      <c r="G220" s="13"/>
    </row>
    <row r="221">
      <c r="A221" s="16"/>
      <c r="B221" s="17"/>
      <c r="C221" s="13"/>
      <c r="D221" s="13"/>
      <c r="E221" s="14"/>
      <c r="F221" s="13"/>
      <c r="G221" s="13"/>
    </row>
    <row r="222">
      <c r="A222" s="16"/>
      <c r="B222" s="17"/>
      <c r="C222" s="13"/>
      <c r="D222" s="13"/>
      <c r="E222" s="14"/>
      <c r="F222" s="13"/>
      <c r="G222" s="13"/>
    </row>
    <row r="223">
      <c r="A223" s="16"/>
      <c r="B223" s="17"/>
      <c r="C223" s="13"/>
      <c r="D223" s="13"/>
      <c r="E223" s="14"/>
      <c r="F223" s="13"/>
      <c r="G223" s="13"/>
    </row>
    <row r="224">
      <c r="A224" s="16"/>
      <c r="B224" s="17"/>
      <c r="C224" s="13"/>
      <c r="D224" s="13"/>
      <c r="E224" s="14"/>
      <c r="F224" s="13"/>
      <c r="G224" s="13"/>
    </row>
    <row r="225">
      <c r="A225" s="16"/>
      <c r="B225" s="17"/>
      <c r="C225" s="13"/>
      <c r="D225" s="13"/>
      <c r="E225" s="14"/>
      <c r="F225" s="13"/>
      <c r="G225" s="13"/>
    </row>
    <row r="226">
      <c r="A226" s="16"/>
      <c r="B226" s="17"/>
      <c r="C226" s="13"/>
      <c r="D226" s="13"/>
      <c r="E226" s="14"/>
      <c r="F226" s="13"/>
      <c r="G226" s="13"/>
    </row>
    <row r="227">
      <c r="A227" s="16"/>
      <c r="B227" s="17"/>
      <c r="C227" s="13"/>
      <c r="D227" s="13"/>
      <c r="E227" s="14"/>
      <c r="F227" s="13"/>
      <c r="G227" s="13"/>
    </row>
    <row r="228">
      <c r="A228" s="16"/>
      <c r="B228" s="17"/>
      <c r="C228" s="13"/>
      <c r="D228" s="13"/>
      <c r="E228" s="14"/>
      <c r="F228" s="13"/>
      <c r="G228" s="13"/>
    </row>
    <row r="229">
      <c r="A229" s="16"/>
      <c r="B229" s="17"/>
      <c r="C229" s="13"/>
      <c r="D229" s="13"/>
      <c r="E229" s="14"/>
      <c r="F229" s="13"/>
      <c r="G229" s="13"/>
    </row>
    <row r="230">
      <c r="A230" s="16"/>
      <c r="B230" s="17"/>
      <c r="C230" s="13"/>
      <c r="D230" s="13"/>
      <c r="E230" s="14"/>
      <c r="F230" s="13"/>
      <c r="G230" s="13"/>
    </row>
    <row r="231">
      <c r="A231" s="16"/>
      <c r="B231" s="17"/>
      <c r="C231" s="13"/>
      <c r="D231" s="13"/>
      <c r="E231" s="14"/>
      <c r="F231" s="13"/>
      <c r="G231" s="13"/>
    </row>
    <row r="232">
      <c r="A232" s="16"/>
      <c r="B232" s="17"/>
      <c r="C232" s="13"/>
      <c r="D232" s="13"/>
      <c r="E232" s="14"/>
      <c r="F232" s="13"/>
      <c r="G232" s="13"/>
    </row>
    <row r="233">
      <c r="A233" s="16"/>
      <c r="B233" s="17"/>
      <c r="C233" s="13"/>
      <c r="D233" s="13"/>
      <c r="E233" s="14"/>
      <c r="F233" s="13"/>
      <c r="G233" s="13"/>
    </row>
    <row r="234">
      <c r="A234" s="16"/>
      <c r="B234" s="17"/>
      <c r="C234" s="13"/>
      <c r="D234" s="13"/>
      <c r="E234" s="14"/>
      <c r="F234" s="13"/>
      <c r="G234" s="13"/>
    </row>
    <row r="235">
      <c r="A235" s="16"/>
      <c r="B235" s="17"/>
      <c r="C235" s="13"/>
      <c r="D235" s="13"/>
      <c r="E235" s="14"/>
      <c r="F235" s="13"/>
      <c r="G235" s="13"/>
    </row>
    <row r="236">
      <c r="A236" s="16"/>
      <c r="B236" s="17"/>
      <c r="C236" s="13"/>
      <c r="D236" s="13"/>
      <c r="E236" s="14"/>
      <c r="F236" s="13"/>
      <c r="G236" s="13"/>
    </row>
    <row r="237">
      <c r="A237" s="16"/>
      <c r="B237" s="17"/>
      <c r="C237" s="13"/>
      <c r="D237" s="13"/>
      <c r="E237" s="14"/>
      <c r="F237" s="13"/>
      <c r="G237" s="13"/>
    </row>
    <row r="238">
      <c r="A238" s="16"/>
      <c r="B238" s="17"/>
      <c r="C238" s="13"/>
      <c r="D238" s="13"/>
      <c r="E238" s="14"/>
      <c r="F238" s="13"/>
      <c r="G238" s="13"/>
    </row>
    <row r="239">
      <c r="A239" s="16"/>
      <c r="B239" s="17"/>
      <c r="C239" s="13"/>
      <c r="D239" s="13"/>
      <c r="E239" s="14"/>
      <c r="F239" s="13"/>
      <c r="G239" s="13"/>
    </row>
    <row r="240">
      <c r="A240" s="16"/>
      <c r="B240" s="17"/>
      <c r="C240" s="13"/>
      <c r="D240" s="13"/>
      <c r="E240" s="14"/>
      <c r="F240" s="13"/>
      <c r="G240" s="13"/>
    </row>
    <row r="241">
      <c r="A241" s="16"/>
      <c r="B241" s="17"/>
      <c r="C241" s="13"/>
      <c r="D241" s="13"/>
      <c r="E241" s="14"/>
      <c r="F241" s="13"/>
      <c r="G241" s="13"/>
    </row>
    <row r="242">
      <c r="A242" s="16"/>
      <c r="B242" s="17"/>
      <c r="C242" s="13"/>
      <c r="D242" s="13"/>
      <c r="E242" s="14"/>
      <c r="F242" s="13"/>
      <c r="G242" s="13"/>
    </row>
    <row r="243">
      <c r="A243" s="16"/>
      <c r="B243" s="17"/>
      <c r="C243" s="13"/>
      <c r="D243" s="13"/>
      <c r="E243" s="14"/>
      <c r="F243" s="13"/>
      <c r="G243" s="13"/>
    </row>
    <row r="244">
      <c r="A244" s="16"/>
      <c r="B244" s="17"/>
      <c r="C244" s="13"/>
      <c r="D244" s="13"/>
      <c r="E244" s="14"/>
      <c r="F244" s="13"/>
      <c r="G244" s="13"/>
    </row>
    <row r="245">
      <c r="A245" s="16"/>
      <c r="B245" s="17"/>
      <c r="C245" s="13"/>
      <c r="D245" s="13"/>
      <c r="E245" s="14"/>
      <c r="F245" s="13"/>
      <c r="G245" s="13"/>
    </row>
    <row r="246">
      <c r="A246" s="16"/>
      <c r="B246" s="17"/>
      <c r="C246" s="13"/>
      <c r="D246" s="13"/>
      <c r="E246" s="14"/>
      <c r="F246" s="13"/>
      <c r="G246" s="13"/>
    </row>
    <row r="247">
      <c r="A247" s="16"/>
      <c r="B247" s="17"/>
      <c r="C247" s="13"/>
      <c r="D247" s="13"/>
      <c r="E247" s="14"/>
      <c r="F247" s="13"/>
      <c r="G247" s="13"/>
    </row>
    <row r="248">
      <c r="A248" s="16"/>
      <c r="B248" s="17"/>
      <c r="C248" s="13"/>
      <c r="D248" s="13"/>
      <c r="E248" s="14"/>
      <c r="F248" s="13"/>
      <c r="G248" s="13"/>
    </row>
    <row r="249">
      <c r="A249" s="16"/>
      <c r="B249" s="17"/>
      <c r="C249" s="13"/>
      <c r="D249" s="13"/>
      <c r="E249" s="14"/>
      <c r="F249" s="13"/>
      <c r="G249" s="13"/>
    </row>
    <row r="250">
      <c r="A250" s="16"/>
      <c r="B250" s="17"/>
      <c r="C250" s="13"/>
      <c r="D250" s="13"/>
      <c r="E250" s="14"/>
      <c r="F250" s="13"/>
      <c r="G250" s="13"/>
    </row>
    <row r="251">
      <c r="A251" s="16"/>
      <c r="B251" s="17"/>
      <c r="C251" s="13"/>
      <c r="D251" s="13"/>
      <c r="E251" s="14"/>
      <c r="F251" s="13"/>
      <c r="G251" s="13"/>
    </row>
    <row r="252">
      <c r="A252" s="16"/>
      <c r="B252" s="17"/>
      <c r="C252" s="13"/>
      <c r="D252" s="13"/>
      <c r="E252" s="14"/>
      <c r="F252" s="13"/>
      <c r="G252" s="13"/>
    </row>
    <row r="253">
      <c r="A253" s="16"/>
      <c r="B253" s="17"/>
      <c r="C253" s="13"/>
      <c r="D253" s="13"/>
      <c r="E253" s="14"/>
      <c r="F253" s="13"/>
      <c r="G253" s="13"/>
    </row>
    <row r="254">
      <c r="A254" s="16"/>
      <c r="B254" s="17"/>
      <c r="C254" s="13"/>
      <c r="D254" s="13"/>
      <c r="E254" s="14"/>
      <c r="F254" s="13"/>
      <c r="G254" s="13"/>
    </row>
    <row r="255">
      <c r="A255" s="16"/>
      <c r="B255" s="17"/>
      <c r="C255" s="13"/>
      <c r="D255" s="13"/>
      <c r="E255" s="14"/>
      <c r="F255" s="13"/>
      <c r="G255" s="13"/>
    </row>
    <row r="256">
      <c r="A256" s="16"/>
      <c r="B256" s="17"/>
      <c r="C256" s="13"/>
      <c r="D256" s="13"/>
      <c r="E256" s="14"/>
      <c r="F256" s="13"/>
      <c r="G256" s="13"/>
    </row>
    <row r="257">
      <c r="A257" s="16"/>
      <c r="B257" s="17"/>
      <c r="C257" s="13"/>
      <c r="D257" s="13"/>
      <c r="E257" s="14"/>
      <c r="F257" s="13"/>
      <c r="G257" s="13"/>
    </row>
    <row r="258">
      <c r="A258" s="16"/>
      <c r="B258" s="17"/>
      <c r="C258" s="13"/>
      <c r="D258" s="13"/>
      <c r="E258" s="14"/>
      <c r="F258" s="13"/>
      <c r="G258" s="13"/>
    </row>
    <row r="259">
      <c r="A259" s="16"/>
      <c r="B259" s="17"/>
      <c r="C259" s="13"/>
      <c r="D259" s="13"/>
      <c r="E259" s="14"/>
      <c r="F259" s="13"/>
      <c r="G259" s="13"/>
    </row>
    <row r="260">
      <c r="A260" s="16"/>
      <c r="B260" s="17"/>
      <c r="C260" s="13"/>
      <c r="D260" s="13"/>
      <c r="E260" s="14"/>
      <c r="F260" s="13"/>
      <c r="G260" s="13"/>
    </row>
    <row r="261">
      <c r="A261" s="16"/>
      <c r="B261" s="17"/>
      <c r="C261" s="13"/>
      <c r="D261" s="13"/>
      <c r="E261" s="14"/>
      <c r="F261" s="13"/>
      <c r="G261" s="13"/>
    </row>
    <row r="262">
      <c r="A262" s="16"/>
      <c r="B262" s="17"/>
      <c r="C262" s="13"/>
      <c r="D262" s="13"/>
      <c r="E262" s="14"/>
      <c r="F262" s="13"/>
      <c r="G262" s="13"/>
    </row>
    <row r="263">
      <c r="A263" s="16"/>
      <c r="B263" s="17"/>
      <c r="C263" s="13"/>
      <c r="D263" s="13"/>
      <c r="E263" s="14"/>
      <c r="F263" s="13"/>
      <c r="G263" s="13"/>
    </row>
    <row r="264">
      <c r="A264" s="16"/>
      <c r="B264" s="17"/>
      <c r="C264" s="13"/>
      <c r="D264" s="13"/>
      <c r="E264" s="14"/>
      <c r="F264" s="13"/>
      <c r="G264" s="13"/>
    </row>
    <row r="265">
      <c r="A265" s="16"/>
      <c r="B265" s="17"/>
      <c r="C265" s="13"/>
      <c r="D265" s="13"/>
      <c r="E265" s="14"/>
      <c r="F265" s="13"/>
      <c r="G265" s="13"/>
    </row>
    <row r="266">
      <c r="A266" s="16"/>
      <c r="B266" s="17"/>
      <c r="C266" s="13"/>
      <c r="D266" s="13"/>
      <c r="E266" s="14"/>
      <c r="F266" s="13"/>
      <c r="G266" s="13"/>
    </row>
    <row r="267">
      <c r="A267" s="16"/>
      <c r="B267" s="17"/>
      <c r="C267" s="13"/>
      <c r="D267" s="13"/>
      <c r="E267" s="14"/>
      <c r="F267" s="13"/>
      <c r="G267" s="13"/>
    </row>
    <row r="268">
      <c r="A268" s="16"/>
      <c r="B268" s="17"/>
      <c r="C268" s="13"/>
      <c r="D268" s="13"/>
      <c r="E268" s="14"/>
      <c r="F268" s="13"/>
      <c r="G268" s="13"/>
    </row>
    <row r="269">
      <c r="A269" s="16"/>
      <c r="B269" s="17"/>
      <c r="C269" s="13"/>
      <c r="D269" s="13"/>
      <c r="E269" s="14"/>
      <c r="F269" s="13"/>
      <c r="G269" s="13"/>
    </row>
    <row r="270">
      <c r="A270" s="16"/>
      <c r="B270" s="17"/>
      <c r="C270" s="13"/>
      <c r="D270" s="13"/>
      <c r="E270" s="14"/>
      <c r="F270" s="13"/>
      <c r="G270" s="13"/>
    </row>
    <row r="271">
      <c r="A271" s="16"/>
      <c r="B271" s="17"/>
      <c r="C271" s="13"/>
      <c r="D271" s="13"/>
      <c r="E271" s="14"/>
      <c r="F271" s="13"/>
      <c r="G271" s="13"/>
    </row>
    <row r="272">
      <c r="A272" s="16"/>
      <c r="B272" s="17"/>
      <c r="C272" s="13"/>
      <c r="D272" s="13"/>
      <c r="E272" s="14"/>
      <c r="F272" s="13"/>
      <c r="G272" s="13"/>
    </row>
    <row r="273">
      <c r="A273" s="16"/>
      <c r="B273" s="17"/>
      <c r="C273" s="13"/>
      <c r="D273" s="13"/>
      <c r="E273" s="14"/>
      <c r="F273" s="13"/>
      <c r="G273" s="13"/>
    </row>
    <row r="274">
      <c r="A274" s="16"/>
      <c r="B274" s="17"/>
      <c r="C274" s="13"/>
      <c r="D274" s="13"/>
      <c r="E274" s="14"/>
      <c r="F274" s="13"/>
      <c r="G274" s="13"/>
    </row>
    <row r="275">
      <c r="A275" s="16"/>
      <c r="B275" s="17"/>
      <c r="C275" s="13"/>
      <c r="D275" s="13"/>
      <c r="E275" s="14"/>
      <c r="F275" s="13"/>
      <c r="G275" s="13"/>
    </row>
    <row r="276">
      <c r="A276" s="16"/>
      <c r="B276" s="17"/>
      <c r="C276" s="13"/>
      <c r="D276" s="13"/>
      <c r="E276" s="14"/>
      <c r="F276" s="13"/>
      <c r="G276" s="13"/>
    </row>
    <row r="277">
      <c r="A277" s="16"/>
      <c r="B277" s="17"/>
      <c r="C277" s="13"/>
      <c r="D277" s="13"/>
      <c r="E277" s="14"/>
      <c r="F277" s="13"/>
      <c r="G277" s="13"/>
    </row>
    <row r="278">
      <c r="A278" s="16"/>
      <c r="B278" s="17"/>
      <c r="C278" s="13"/>
      <c r="D278" s="13"/>
      <c r="E278" s="14"/>
      <c r="F278" s="13"/>
      <c r="G278" s="13"/>
    </row>
    <row r="279">
      <c r="A279" s="16"/>
      <c r="B279" s="17"/>
      <c r="C279" s="13"/>
      <c r="D279" s="13"/>
      <c r="E279" s="14"/>
      <c r="F279" s="13"/>
      <c r="G279" s="13"/>
    </row>
    <row r="280">
      <c r="A280" s="16"/>
      <c r="B280" s="17"/>
      <c r="C280" s="13"/>
      <c r="D280" s="13"/>
      <c r="E280" s="14"/>
      <c r="F280" s="13"/>
      <c r="G280" s="13"/>
    </row>
    <row r="281">
      <c r="A281" s="16"/>
      <c r="B281" s="17"/>
      <c r="C281" s="13"/>
      <c r="D281" s="13"/>
      <c r="E281" s="14"/>
      <c r="F281" s="13"/>
      <c r="G281" s="13"/>
    </row>
    <row r="282">
      <c r="A282" s="16"/>
      <c r="B282" s="17"/>
      <c r="C282" s="13"/>
      <c r="D282" s="13"/>
      <c r="E282" s="14"/>
      <c r="F282" s="13"/>
      <c r="G282" s="13"/>
    </row>
    <row r="283">
      <c r="A283" s="16"/>
      <c r="B283" s="17"/>
      <c r="C283" s="13"/>
      <c r="D283" s="13"/>
      <c r="E283" s="14"/>
      <c r="F283" s="13"/>
      <c r="G283" s="13"/>
    </row>
    <row r="284">
      <c r="A284" s="16"/>
      <c r="B284" s="17"/>
      <c r="C284" s="13"/>
      <c r="D284" s="13"/>
      <c r="E284" s="14"/>
      <c r="F284" s="13"/>
      <c r="G284" s="13"/>
    </row>
    <row r="285">
      <c r="A285" s="16"/>
      <c r="B285" s="17"/>
      <c r="C285" s="13"/>
      <c r="D285" s="13"/>
      <c r="E285" s="14"/>
      <c r="F285" s="13"/>
      <c r="G285" s="13"/>
    </row>
    <row r="286">
      <c r="A286" s="16"/>
      <c r="B286" s="17"/>
      <c r="C286" s="13"/>
      <c r="D286" s="13"/>
      <c r="E286" s="14"/>
      <c r="F286" s="13"/>
      <c r="G286" s="13"/>
    </row>
    <row r="287">
      <c r="A287" s="16"/>
      <c r="B287" s="17"/>
      <c r="C287" s="13"/>
      <c r="D287" s="13"/>
      <c r="E287" s="14"/>
      <c r="F287" s="13"/>
      <c r="G287" s="13"/>
    </row>
    <row r="288">
      <c r="A288" s="16"/>
      <c r="B288" s="17"/>
      <c r="C288" s="13"/>
      <c r="D288" s="13"/>
      <c r="E288" s="14"/>
      <c r="F288" s="13"/>
      <c r="G288" s="13"/>
    </row>
    <row r="289">
      <c r="A289" s="16"/>
      <c r="B289" s="17"/>
      <c r="C289" s="13"/>
      <c r="D289" s="13"/>
      <c r="E289" s="14"/>
      <c r="F289" s="13"/>
      <c r="G289" s="13"/>
    </row>
    <row r="290">
      <c r="A290" s="16"/>
      <c r="B290" s="17"/>
      <c r="C290" s="13"/>
      <c r="D290" s="13"/>
      <c r="E290" s="14"/>
      <c r="F290" s="13"/>
      <c r="G290" s="13"/>
    </row>
    <row r="291">
      <c r="A291" s="16"/>
      <c r="B291" s="17"/>
      <c r="C291" s="13"/>
      <c r="D291" s="13"/>
      <c r="E291" s="14"/>
      <c r="F291" s="13"/>
      <c r="G291" s="13"/>
    </row>
    <row r="292">
      <c r="A292" s="16"/>
      <c r="B292" s="17"/>
      <c r="C292" s="13"/>
      <c r="D292" s="13"/>
      <c r="E292" s="14"/>
      <c r="F292" s="13"/>
      <c r="G292" s="13"/>
    </row>
    <row r="293">
      <c r="A293" s="16"/>
      <c r="B293" s="17"/>
      <c r="C293" s="13"/>
      <c r="D293" s="13"/>
      <c r="E293" s="14"/>
      <c r="F293" s="13"/>
      <c r="G293" s="13"/>
    </row>
    <row r="294">
      <c r="A294" s="16"/>
      <c r="B294" s="17"/>
      <c r="C294" s="13"/>
      <c r="D294" s="13"/>
      <c r="E294" s="14"/>
      <c r="F294" s="13"/>
      <c r="G294" s="13"/>
    </row>
    <row r="295">
      <c r="A295" s="16"/>
      <c r="B295" s="17"/>
      <c r="C295" s="13"/>
      <c r="D295" s="13"/>
      <c r="E295" s="14"/>
      <c r="F295" s="13"/>
      <c r="G295" s="13"/>
    </row>
    <row r="296">
      <c r="A296" s="16"/>
      <c r="B296" s="17"/>
      <c r="C296" s="13"/>
      <c r="D296" s="13"/>
      <c r="E296" s="14"/>
      <c r="F296" s="13"/>
      <c r="G296" s="13"/>
    </row>
    <row r="297">
      <c r="A297" s="16"/>
      <c r="B297" s="17"/>
      <c r="C297" s="13"/>
      <c r="D297" s="13"/>
      <c r="E297" s="14"/>
      <c r="F297" s="13"/>
      <c r="G297" s="13"/>
    </row>
    <row r="298">
      <c r="A298" s="16"/>
      <c r="B298" s="17"/>
      <c r="C298" s="13"/>
      <c r="D298" s="13"/>
      <c r="E298" s="14"/>
      <c r="F298" s="13"/>
      <c r="G298" s="13"/>
    </row>
    <row r="299">
      <c r="A299" s="16"/>
      <c r="B299" s="17"/>
      <c r="C299" s="13"/>
      <c r="D299" s="13"/>
      <c r="E299" s="14"/>
      <c r="F299" s="13"/>
      <c r="G299" s="13"/>
    </row>
    <row r="300">
      <c r="A300" s="16"/>
      <c r="B300" s="17"/>
      <c r="C300" s="13"/>
      <c r="D300" s="13"/>
      <c r="E300" s="14"/>
      <c r="F300" s="13"/>
      <c r="G300" s="13"/>
    </row>
    <row r="301">
      <c r="A301" s="16"/>
      <c r="B301" s="17"/>
      <c r="C301" s="13"/>
      <c r="D301" s="13"/>
      <c r="E301" s="14"/>
      <c r="F301" s="13"/>
      <c r="G301" s="13"/>
    </row>
    <row r="302">
      <c r="A302" s="16"/>
      <c r="B302" s="17"/>
      <c r="C302" s="13"/>
      <c r="D302" s="13"/>
      <c r="E302" s="14"/>
      <c r="F302" s="13"/>
      <c r="G302" s="13"/>
    </row>
    <row r="303">
      <c r="A303" s="16"/>
      <c r="B303" s="17"/>
      <c r="C303" s="13"/>
      <c r="D303" s="13"/>
      <c r="E303" s="14"/>
      <c r="F303" s="13"/>
      <c r="G303" s="13"/>
    </row>
    <row r="304">
      <c r="A304" s="16"/>
      <c r="B304" s="17"/>
      <c r="C304" s="13"/>
      <c r="D304" s="13"/>
      <c r="E304" s="14"/>
      <c r="F304" s="13"/>
      <c r="G304" s="13"/>
    </row>
    <row r="305">
      <c r="A305" s="16"/>
      <c r="B305" s="17"/>
      <c r="C305" s="13"/>
      <c r="D305" s="13"/>
      <c r="E305" s="14"/>
      <c r="F305" s="13"/>
      <c r="G305" s="13"/>
    </row>
    <row r="306">
      <c r="A306" s="16"/>
      <c r="B306" s="17"/>
      <c r="C306" s="13"/>
      <c r="D306" s="13"/>
      <c r="E306" s="14"/>
      <c r="F306" s="13"/>
      <c r="G306" s="13"/>
    </row>
    <row r="307">
      <c r="A307" s="16"/>
      <c r="B307" s="17"/>
      <c r="C307" s="13"/>
      <c r="D307" s="13"/>
      <c r="E307" s="14"/>
      <c r="F307" s="13"/>
      <c r="G307" s="13"/>
    </row>
    <row r="308">
      <c r="A308" s="16"/>
      <c r="B308" s="17"/>
      <c r="C308" s="13"/>
      <c r="D308" s="13"/>
      <c r="E308" s="14"/>
      <c r="F308" s="13"/>
      <c r="G308" s="13"/>
    </row>
    <row r="309">
      <c r="A309" s="16"/>
      <c r="B309" s="17"/>
      <c r="C309" s="13"/>
      <c r="D309" s="13"/>
      <c r="E309" s="14"/>
      <c r="F309" s="13"/>
      <c r="G309" s="13"/>
    </row>
    <row r="310">
      <c r="A310" s="16"/>
      <c r="B310" s="17"/>
      <c r="C310" s="13"/>
      <c r="D310" s="13"/>
      <c r="E310" s="14"/>
      <c r="F310" s="13"/>
      <c r="G310" s="13"/>
    </row>
    <row r="311">
      <c r="A311" s="16"/>
      <c r="B311" s="17"/>
      <c r="C311" s="13"/>
      <c r="D311" s="13"/>
      <c r="E311" s="14"/>
      <c r="F311" s="13"/>
      <c r="G311" s="13"/>
    </row>
    <row r="312">
      <c r="A312" s="16"/>
      <c r="B312" s="17"/>
      <c r="C312" s="13"/>
      <c r="D312" s="13"/>
      <c r="E312" s="14"/>
      <c r="F312" s="13"/>
      <c r="G312" s="13"/>
    </row>
    <row r="313">
      <c r="A313" s="16"/>
      <c r="B313" s="17"/>
      <c r="C313" s="13"/>
      <c r="D313" s="13"/>
      <c r="E313" s="14"/>
      <c r="F313" s="13"/>
      <c r="G313" s="13"/>
    </row>
    <row r="314">
      <c r="A314" s="16"/>
      <c r="B314" s="17"/>
      <c r="C314" s="13"/>
      <c r="D314" s="13"/>
      <c r="E314" s="14"/>
      <c r="F314" s="13"/>
      <c r="G314" s="13"/>
    </row>
    <row r="315">
      <c r="A315" s="16"/>
      <c r="B315" s="17"/>
      <c r="C315" s="13"/>
      <c r="D315" s="13"/>
      <c r="E315" s="14"/>
      <c r="F315" s="13"/>
      <c r="G315" s="13"/>
    </row>
    <row r="316">
      <c r="A316" s="16"/>
      <c r="B316" s="17"/>
      <c r="C316" s="13"/>
      <c r="D316" s="13"/>
      <c r="E316" s="14"/>
      <c r="F316" s="13"/>
      <c r="G316" s="13"/>
    </row>
    <row r="317">
      <c r="A317" s="16"/>
      <c r="B317" s="17"/>
      <c r="C317" s="13"/>
      <c r="D317" s="13"/>
      <c r="E317" s="14"/>
      <c r="F317" s="13"/>
      <c r="G317" s="13"/>
    </row>
    <row r="318">
      <c r="A318" s="16"/>
      <c r="B318" s="17"/>
      <c r="C318" s="13"/>
      <c r="D318" s="13"/>
      <c r="E318" s="14"/>
      <c r="F318" s="13"/>
      <c r="G318" s="13"/>
    </row>
    <row r="319">
      <c r="A319" s="16"/>
      <c r="B319" s="17"/>
      <c r="C319" s="13"/>
      <c r="D319" s="13"/>
      <c r="E319" s="14"/>
      <c r="F319" s="13"/>
      <c r="G319" s="13"/>
    </row>
    <row r="320">
      <c r="A320" s="16"/>
      <c r="B320" s="17"/>
      <c r="C320" s="13"/>
      <c r="D320" s="13"/>
      <c r="E320" s="14"/>
      <c r="F320" s="13"/>
      <c r="G320" s="13"/>
    </row>
    <row r="321">
      <c r="A321" s="16"/>
      <c r="B321" s="17"/>
      <c r="C321" s="13"/>
      <c r="D321" s="13"/>
      <c r="E321" s="14"/>
      <c r="F321" s="13"/>
      <c r="G321" s="13"/>
    </row>
    <row r="322">
      <c r="A322" s="16"/>
      <c r="B322" s="17"/>
      <c r="C322" s="13"/>
      <c r="D322" s="13"/>
      <c r="E322" s="14"/>
      <c r="F322" s="13"/>
      <c r="G322" s="13"/>
    </row>
    <row r="323">
      <c r="A323" s="16"/>
      <c r="B323" s="17"/>
      <c r="C323" s="13"/>
      <c r="D323" s="13"/>
      <c r="E323" s="14"/>
      <c r="F323" s="13"/>
      <c r="G323" s="13"/>
    </row>
    <row r="324">
      <c r="A324" s="16"/>
      <c r="B324" s="17"/>
      <c r="C324" s="13"/>
      <c r="D324" s="13"/>
      <c r="E324" s="14"/>
      <c r="F324" s="13"/>
      <c r="G324" s="13"/>
    </row>
    <row r="325">
      <c r="A325" s="16"/>
      <c r="B325" s="17"/>
      <c r="C325" s="13"/>
      <c r="D325" s="13"/>
      <c r="E325" s="14"/>
      <c r="F325" s="13"/>
      <c r="G325" s="13"/>
    </row>
    <row r="326">
      <c r="A326" s="16"/>
      <c r="B326" s="17"/>
      <c r="C326" s="13"/>
      <c r="D326" s="13"/>
      <c r="E326" s="14"/>
      <c r="F326" s="13"/>
      <c r="G326" s="13"/>
    </row>
    <row r="327">
      <c r="A327" s="16"/>
      <c r="B327" s="17"/>
      <c r="C327" s="13"/>
      <c r="D327" s="13"/>
      <c r="E327" s="14"/>
      <c r="F327" s="13"/>
      <c r="G327" s="13"/>
    </row>
    <row r="328">
      <c r="A328" s="16"/>
      <c r="B328" s="17"/>
      <c r="C328" s="13"/>
      <c r="D328" s="13"/>
      <c r="E328" s="14"/>
      <c r="F328" s="13"/>
      <c r="G328" s="13"/>
    </row>
    <row r="329">
      <c r="A329" s="16"/>
      <c r="B329" s="17"/>
      <c r="C329" s="13"/>
      <c r="D329" s="13"/>
      <c r="E329" s="14"/>
      <c r="F329" s="13"/>
      <c r="G329" s="13"/>
    </row>
    <row r="330">
      <c r="A330" s="16"/>
      <c r="B330" s="17"/>
      <c r="C330" s="13"/>
      <c r="D330" s="13"/>
      <c r="E330" s="14"/>
      <c r="F330" s="13"/>
      <c r="G330" s="13"/>
    </row>
    <row r="331">
      <c r="A331" s="16"/>
      <c r="B331" s="17"/>
      <c r="C331" s="13"/>
      <c r="D331" s="13"/>
      <c r="E331" s="14"/>
      <c r="F331" s="13"/>
      <c r="G331" s="13"/>
    </row>
    <row r="332">
      <c r="A332" s="16"/>
      <c r="B332" s="17"/>
      <c r="C332" s="13"/>
      <c r="D332" s="13"/>
      <c r="E332" s="14"/>
      <c r="F332" s="13"/>
      <c r="G332" s="13"/>
    </row>
    <row r="333">
      <c r="A333" s="16"/>
      <c r="B333" s="17"/>
      <c r="C333" s="13"/>
      <c r="D333" s="13"/>
      <c r="E333" s="14"/>
      <c r="F333" s="13"/>
      <c r="G333" s="13"/>
    </row>
    <row r="334">
      <c r="A334" s="16"/>
      <c r="B334" s="17"/>
      <c r="C334" s="13"/>
      <c r="D334" s="13"/>
      <c r="E334" s="14"/>
      <c r="F334" s="13"/>
      <c r="G334" s="13"/>
    </row>
    <row r="335">
      <c r="A335" s="16"/>
      <c r="B335" s="17"/>
      <c r="C335" s="13"/>
      <c r="D335" s="13"/>
      <c r="E335" s="14"/>
      <c r="F335" s="13"/>
      <c r="G335" s="13"/>
    </row>
    <row r="336">
      <c r="A336" s="16"/>
      <c r="B336" s="17"/>
      <c r="C336" s="13"/>
      <c r="D336" s="13"/>
      <c r="E336" s="14"/>
      <c r="F336" s="13"/>
      <c r="G336" s="13"/>
    </row>
    <row r="337">
      <c r="A337" s="16"/>
      <c r="B337" s="17"/>
      <c r="C337" s="13"/>
      <c r="D337" s="13"/>
      <c r="E337" s="14"/>
      <c r="F337" s="13"/>
      <c r="G337" s="13"/>
    </row>
    <row r="338">
      <c r="A338" s="16"/>
      <c r="B338" s="17"/>
      <c r="C338" s="13"/>
      <c r="D338" s="13"/>
      <c r="E338" s="14"/>
      <c r="F338" s="13"/>
      <c r="G338" s="13"/>
    </row>
    <row r="339">
      <c r="A339" s="16"/>
      <c r="B339" s="17"/>
      <c r="C339" s="13"/>
      <c r="D339" s="13"/>
      <c r="E339" s="14"/>
      <c r="F339" s="13"/>
      <c r="G339" s="13"/>
    </row>
    <row r="340">
      <c r="A340" s="16"/>
      <c r="B340" s="17"/>
      <c r="C340" s="13"/>
      <c r="D340" s="13"/>
      <c r="E340" s="14"/>
      <c r="F340" s="13"/>
      <c r="G340" s="13"/>
    </row>
    <row r="341">
      <c r="A341" s="16"/>
      <c r="B341" s="17"/>
      <c r="C341" s="13"/>
      <c r="D341" s="13"/>
      <c r="E341" s="14"/>
      <c r="F341" s="13"/>
      <c r="G341" s="13"/>
    </row>
    <row r="342">
      <c r="A342" s="16"/>
      <c r="B342" s="17"/>
      <c r="C342" s="13"/>
      <c r="D342" s="13"/>
      <c r="E342" s="14"/>
      <c r="F342" s="13"/>
      <c r="G342" s="13"/>
    </row>
    <row r="343">
      <c r="A343" s="16"/>
      <c r="B343" s="17"/>
      <c r="C343" s="13"/>
      <c r="D343" s="13"/>
      <c r="E343" s="14"/>
      <c r="F343" s="13"/>
      <c r="G343" s="13"/>
    </row>
    <row r="344">
      <c r="A344" s="16"/>
      <c r="B344" s="17"/>
      <c r="C344" s="13"/>
      <c r="D344" s="13"/>
      <c r="E344" s="14"/>
      <c r="F344" s="13"/>
      <c r="G344" s="13"/>
    </row>
    <row r="345">
      <c r="A345" s="16"/>
      <c r="B345" s="17"/>
      <c r="C345" s="13"/>
      <c r="D345" s="13"/>
      <c r="E345" s="14"/>
      <c r="F345" s="13"/>
      <c r="G345" s="13"/>
    </row>
    <row r="346">
      <c r="A346" s="16"/>
      <c r="B346" s="17"/>
      <c r="C346" s="13"/>
      <c r="D346" s="13"/>
      <c r="E346" s="14"/>
      <c r="F346" s="13"/>
      <c r="G346" s="13"/>
    </row>
    <row r="347">
      <c r="A347" s="16"/>
      <c r="B347" s="17"/>
      <c r="C347" s="13"/>
      <c r="D347" s="13"/>
      <c r="E347" s="14"/>
      <c r="F347" s="13"/>
      <c r="G347" s="13"/>
    </row>
    <row r="348">
      <c r="A348" s="16"/>
      <c r="B348" s="17"/>
      <c r="C348" s="13"/>
      <c r="D348" s="13"/>
      <c r="E348" s="14"/>
      <c r="F348" s="13"/>
      <c r="G348" s="13"/>
    </row>
    <row r="349">
      <c r="A349" s="16"/>
      <c r="B349" s="17"/>
      <c r="C349" s="13"/>
      <c r="D349" s="13"/>
      <c r="E349" s="14"/>
      <c r="F349" s="13"/>
      <c r="G349" s="13"/>
    </row>
    <row r="350">
      <c r="A350" s="16"/>
      <c r="B350" s="17"/>
      <c r="C350" s="13"/>
      <c r="D350" s="13"/>
      <c r="E350" s="14"/>
      <c r="F350" s="13"/>
      <c r="G350" s="13"/>
    </row>
    <row r="351">
      <c r="A351" s="16"/>
      <c r="B351" s="17"/>
      <c r="C351" s="13"/>
      <c r="D351" s="13"/>
      <c r="E351" s="14"/>
      <c r="F351" s="13"/>
      <c r="G351" s="13"/>
    </row>
    <row r="352">
      <c r="A352" s="16"/>
      <c r="B352" s="17"/>
      <c r="C352" s="13"/>
      <c r="D352" s="13"/>
      <c r="E352" s="14"/>
      <c r="F352" s="13"/>
      <c r="G352" s="13"/>
    </row>
    <row r="353">
      <c r="A353" s="16"/>
      <c r="B353" s="17"/>
      <c r="C353" s="13"/>
      <c r="D353" s="13"/>
      <c r="E353" s="14"/>
      <c r="F353" s="13"/>
      <c r="G353" s="13"/>
    </row>
    <row r="354">
      <c r="A354" s="16"/>
      <c r="B354" s="17"/>
      <c r="C354" s="13"/>
      <c r="D354" s="13"/>
      <c r="E354" s="14"/>
      <c r="F354" s="13"/>
      <c r="G354" s="13"/>
    </row>
    <row r="355">
      <c r="A355" s="16"/>
      <c r="B355" s="17"/>
      <c r="C355" s="13"/>
      <c r="D355" s="13"/>
      <c r="E355" s="14"/>
      <c r="F355" s="13"/>
      <c r="G355" s="13"/>
    </row>
    <row r="356">
      <c r="A356" s="16"/>
      <c r="B356" s="17"/>
      <c r="C356" s="13"/>
      <c r="D356" s="13"/>
      <c r="E356" s="14"/>
      <c r="F356" s="13"/>
      <c r="G356" s="13"/>
    </row>
    <row r="357">
      <c r="A357" s="16"/>
      <c r="B357" s="17"/>
      <c r="C357" s="13"/>
      <c r="D357" s="13"/>
      <c r="E357" s="14"/>
      <c r="F357" s="13"/>
      <c r="G357" s="13"/>
    </row>
    <row r="358">
      <c r="A358" s="16"/>
      <c r="B358" s="17"/>
      <c r="C358" s="13"/>
      <c r="D358" s="13"/>
      <c r="E358" s="14"/>
      <c r="F358" s="13"/>
      <c r="G358" s="13"/>
    </row>
    <row r="359">
      <c r="A359" s="16"/>
      <c r="B359" s="17"/>
      <c r="C359" s="13"/>
      <c r="D359" s="13"/>
      <c r="E359" s="14"/>
      <c r="F359" s="13"/>
      <c r="G359" s="13"/>
    </row>
    <row r="360">
      <c r="A360" s="16"/>
      <c r="B360" s="17"/>
      <c r="C360" s="13"/>
      <c r="D360" s="13"/>
      <c r="E360" s="14"/>
      <c r="F360" s="13"/>
      <c r="G360" s="13"/>
    </row>
    <row r="361">
      <c r="A361" s="16"/>
      <c r="B361" s="17"/>
      <c r="C361" s="13"/>
      <c r="D361" s="13"/>
      <c r="E361" s="14"/>
      <c r="F361" s="13"/>
      <c r="G361" s="13"/>
    </row>
    <row r="362">
      <c r="A362" s="16"/>
      <c r="B362" s="17"/>
      <c r="C362" s="13"/>
      <c r="D362" s="13"/>
      <c r="E362" s="14"/>
      <c r="F362" s="13"/>
      <c r="G362" s="13"/>
    </row>
    <row r="363">
      <c r="A363" s="16"/>
      <c r="B363" s="17"/>
      <c r="C363" s="13"/>
      <c r="D363" s="13"/>
      <c r="E363" s="14"/>
      <c r="F363" s="13"/>
      <c r="G363" s="13"/>
    </row>
    <row r="364">
      <c r="A364" s="16"/>
      <c r="B364" s="17"/>
      <c r="C364" s="13"/>
      <c r="D364" s="13"/>
      <c r="E364" s="14"/>
      <c r="F364" s="13"/>
      <c r="G364" s="13"/>
    </row>
    <row r="365">
      <c r="A365" s="16"/>
      <c r="B365" s="17"/>
      <c r="C365" s="13"/>
      <c r="D365" s="13"/>
      <c r="E365" s="14"/>
      <c r="F365" s="13"/>
      <c r="G365" s="13"/>
    </row>
    <row r="366">
      <c r="A366" s="16"/>
      <c r="B366" s="17"/>
      <c r="C366" s="13"/>
      <c r="D366" s="13"/>
      <c r="E366" s="14"/>
      <c r="F366" s="13"/>
      <c r="G366" s="13"/>
    </row>
    <row r="367">
      <c r="A367" s="16"/>
      <c r="B367" s="17"/>
      <c r="C367" s="13"/>
      <c r="D367" s="13"/>
      <c r="E367" s="14"/>
      <c r="F367" s="13"/>
      <c r="G367" s="13"/>
    </row>
    <row r="368">
      <c r="A368" s="16"/>
      <c r="B368" s="17"/>
      <c r="C368" s="13"/>
      <c r="D368" s="13"/>
      <c r="E368" s="14"/>
      <c r="F368" s="13"/>
      <c r="G368" s="13"/>
    </row>
    <row r="369">
      <c r="A369" s="16"/>
      <c r="B369" s="17"/>
      <c r="C369" s="13"/>
      <c r="D369" s="13"/>
      <c r="E369" s="14"/>
      <c r="F369" s="13"/>
      <c r="G369" s="13"/>
    </row>
    <row r="370">
      <c r="A370" s="16"/>
      <c r="B370" s="17"/>
      <c r="C370" s="13"/>
      <c r="D370" s="13"/>
      <c r="E370" s="14"/>
      <c r="F370" s="13"/>
      <c r="G370" s="13"/>
    </row>
    <row r="371">
      <c r="A371" s="16"/>
      <c r="B371" s="17"/>
      <c r="C371" s="13"/>
      <c r="D371" s="13"/>
      <c r="E371" s="14"/>
      <c r="F371" s="13"/>
      <c r="G371" s="13"/>
    </row>
    <row r="372">
      <c r="A372" s="16"/>
      <c r="B372" s="17"/>
      <c r="C372" s="13"/>
      <c r="D372" s="13"/>
      <c r="E372" s="14"/>
      <c r="F372" s="13"/>
      <c r="G372" s="13"/>
    </row>
    <row r="373">
      <c r="A373" s="16"/>
      <c r="B373" s="17"/>
      <c r="C373" s="13"/>
      <c r="D373" s="13"/>
      <c r="E373" s="14"/>
      <c r="F373" s="13"/>
      <c r="G373" s="13"/>
    </row>
    <row r="374">
      <c r="A374" s="16"/>
      <c r="B374" s="17"/>
      <c r="C374" s="13"/>
      <c r="D374" s="13"/>
      <c r="E374" s="14"/>
      <c r="F374" s="13"/>
      <c r="G374" s="13"/>
    </row>
    <row r="375">
      <c r="A375" s="16"/>
      <c r="B375" s="17"/>
      <c r="C375" s="13"/>
      <c r="D375" s="13"/>
      <c r="E375" s="14"/>
      <c r="F375" s="13"/>
      <c r="G375" s="13"/>
    </row>
    <row r="376">
      <c r="A376" s="16"/>
      <c r="B376" s="17"/>
      <c r="C376" s="13"/>
      <c r="D376" s="13"/>
      <c r="E376" s="14"/>
      <c r="F376" s="13"/>
      <c r="G376" s="13"/>
    </row>
    <row r="377">
      <c r="A377" s="16"/>
      <c r="B377" s="17"/>
      <c r="C377" s="13"/>
      <c r="D377" s="13"/>
      <c r="E377" s="14"/>
      <c r="F377" s="13"/>
      <c r="G377" s="13"/>
    </row>
    <row r="378">
      <c r="A378" s="16"/>
      <c r="B378" s="17"/>
      <c r="C378" s="13"/>
      <c r="D378" s="13"/>
      <c r="E378" s="14"/>
      <c r="F378" s="13"/>
      <c r="G378" s="13"/>
    </row>
    <row r="379">
      <c r="A379" s="16"/>
      <c r="B379" s="17"/>
      <c r="C379" s="13"/>
      <c r="D379" s="13"/>
      <c r="E379" s="14"/>
      <c r="F379" s="13"/>
      <c r="G379" s="13"/>
    </row>
    <row r="380">
      <c r="A380" s="16"/>
      <c r="B380" s="17"/>
      <c r="C380" s="13"/>
      <c r="D380" s="13"/>
      <c r="E380" s="14"/>
      <c r="F380" s="13"/>
      <c r="G380" s="13"/>
    </row>
    <row r="381">
      <c r="A381" s="16"/>
      <c r="B381" s="17"/>
      <c r="C381" s="13"/>
      <c r="D381" s="13"/>
      <c r="E381" s="14"/>
      <c r="F381" s="13"/>
      <c r="G381" s="13"/>
    </row>
    <row r="382">
      <c r="A382" s="16"/>
      <c r="B382" s="17"/>
      <c r="C382" s="13"/>
      <c r="D382" s="13"/>
      <c r="E382" s="14"/>
      <c r="F382" s="13"/>
      <c r="G382" s="13"/>
    </row>
    <row r="383">
      <c r="A383" s="16"/>
      <c r="B383" s="17"/>
      <c r="C383" s="13"/>
      <c r="D383" s="13"/>
      <c r="E383" s="14"/>
      <c r="F383" s="13"/>
      <c r="G383" s="13"/>
    </row>
    <row r="384">
      <c r="A384" s="16"/>
      <c r="B384" s="17"/>
      <c r="C384" s="13"/>
      <c r="D384" s="13"/>
      <c r="E384" s="14"/>
      <c r="F384" s="13"/>
      <c r="G384" s="13"/>
    </row>
    <row r="385">
      <c r="A385" s="16"/>
      <c r="B385" s="17"/>
      <c r="C385" s="13"/>
      <c r="D385" s="13"/>
      <c r="E385" s="14"/>
      <c r="F385" s="13"/>
      <c r="G385" s="13"/>
    </row>
    <row r="386">
      <c r="A386" s="16"/>
      <c r="B386" s="17"/>
      <c r="C386" s="13"/>
      <c r="D386" s="13"/>
      <c r="E386" s="14"/>
      <c r="F386" s="13"/>
      <c r="G386" s="13"/>
    </row>
    <row r="387">
      <c r="A387" s="16"/>
      <c r="B387" s="17"/>
      <c r="C387" s="13"/>
      <c r="D387" s="13"/>
      <c r="E387" s="14"/>
      <c r="F387" s="13"/>
      <c r="G387" s="13"/>
    </row>
    <row r="388">
      <c r="A388" s="16"/>
      <c r="B388" s="17"/>
      <c r="C388" s="13"/>
      <c r="D388" s="13"/>
      <c r="E388" s="14"/>
      <c r="F388" s="13"/>
      <c r="G388" s="13"/>
    </row>
    <row r="389">
      <c r="A389" s="16"/>
      <c r="B389" s="17"/>
      <c r="C389" s="13"/>
      <c r="D389" s="13"/>
      <c r="E389" s="14"/>
      <c r="F389" s="13"/>
      <c r="G389" s="13"/>
    </row>
    <row r="390">
      <c r="A390" s="16"/>
      <c r="B390" s="17"/>
      <c r="C390" s="13"/>
      <c r="D390" s="13"/>
      <c r="E390" s="14"/>
      <c r="F390" s="13"/>
      <c r="G390" s="13"/>
    </row>
    <row r="391">
      <c r="A391" s="16"/>
      <c r="B391" s="17"/>
      <c r="C391" s="13"/>
      <c r="D391" s="13"/>
      <c r="E391" s="14"/>
      <c r="F391" s="13"/>
      <c r="G391" s="13"/>
    </row>
    <row r="392">
      <c r="A392" s="16"/>
      <c r="B392" s="17"/>
      <c r="C392" s="13"/>
      <c r="D392" s="13"/>
      <c r="E392" s="14"/>
      <c r="F392" s="13"/>
      <c r="G392" s="13"/>
    </row>
    <row r="393">
      <c r="A393" s="16"/>
      <c r="B393" s="17"/>
      <c r="C393" s="13"/>
      <c r="D393" s="13"/>
      <c r="E393" s="14"/>
      <c r="F393" s="13"/>
      <c r="G393" s="13"/>
    </row>
    <row r="394">
      <c r="A394" s="16"/>
      <c r="B394" s="17"/>
      <c r="C394" s="13"/>
      <c r="D394" s="13"/>
      <c r="E394" s="14"/>
      <c r="F394" s="13"/>
      <c r="G394" s="13"/>
    </row>
    <row r="395">
      <c r="A395" s="16"/>
      <c r="B395" s="17"/>
      <c r="C395" s="13"/>
      <c r="D395" s="13"/>
      <c r="E395" s="14"/>
      <c r="F395" s="13"/>
      <c r="G395" s="13"/>
    </row>
    <row r="396">
      <c r="A396" s="16"/>
      <c r="B396" s="17"/>
      <c r="C396" s="13"/>
      <c r="D396" s="13"/>
      <c r="E396" s="14"/>
      <c r="F396" s="13"/>
      <c r="G396" s="13"/>
    </row>
    <row r="397">
      <c r="A397" s="16"/>
      <c r="B397" s="17"/>
      <c r="C397" s="13"/>
      <c r="D397" s="13"/>
      <c r="E397" s="14"/>
      <c r="F397" s="13"/>
      <c r="G397" s="13"/>
    </row>
    <row r="398">
      <c r="A398" s="16"/>
      <c r="B398" s="17"/>
      <c r="C398" s="13"/>
      <c r="D398" s="13"/>
      <c r="E398" s="14"/>
      <c r="F398" s="13"/>
      <c r="G398" s="13"/>
    </row>
    <row r="399">
      <c r="A399" s="16"/>
      <c r="B399" s="17"/>
      <c r="C399" s="13"/>
      <c r="D399" s="13"/>
      <c r="E399" s="14"/>
      <c r="F399" s="13"/>
      <c r="G399" s="13"/>
    </row>
    <row r="400">
      <c r="A400" s="16"/>
      <c r="B400" s="17"/>
      <c r="C400" s="13"/>
      <c r="D400" s="13"/>
      <c r="E400" s="14"/>
      <c r="F400" s="13"/>
      <c r="G400" s="13"/>
    </row>
    <row r="401">
      <c r="A401" s="16"/>
      <c r="B401" s="17"/>
      <c r="C401" s="13"/>
      <c r="D401" s="13"/>
      <c r="E401" s="14"/>
      <c r="F401" s="13"/>
      <c r="G401" s="13"/>
    </row>
    <row r="402">
      <c r="A402" s="16"/>
      <c r="B402" s="17"/>
      <c r="C402" s="13"/>
      <c r="D402" s="13"/>
      <c r="E402" s="14"/>
      <c r="F402" s="13"/>
      <c r="G402" s="13"/>
    </row>
    <row r="403">
      <c r="A403" s="16"/>
      <c r="B403" s="17"/>
      <c r="C403" s="13"/>
      <c r="D403" s="13"/>
      <c r="E403" s="14"/>
      <c r="F403" s="13"/>
      <c r="G403" s="13"/>
    </row>
    <row r="404">
      <c r="A404" s="16"/>
      <c r="B404" s="17"/>
      <c r="C404" s="13"/>
      <c r="D404" s="13"/>
      <c r="E404" s="14"/>
      <c r="F404" s="13"/>
      <c r="G404" s="13"/>
    </row>
    <row r="405">
      <c r="A405" s="16"/>
      <c r="B405" s="17"/>
      <c r="C405" s="13"/>
      <c r="D405" s="13"/>
      <c r="E405" s="14"/>
      <c r="F405" s="13"/>
      <c r="G405" s="13"/>
    </row>
    <row r="406">
      <c r="A406" s="16"/>
      <c r="B406" s="17"/>
      <c r="C406" s="13"/>
      <c r="D406" s="13"/>
      <c r="E406" s="14"/>
      <c r="F406" s="13"/>
      <c r="G406" s="13"/>
    </row>
    <row r="407">
      <c r="A407" s="16"/>
      <c r="B407" s="17"/>
      <c r="C407" s="13"/>
      <c r="D407" s="13"/>
      <c r="E407" s="14"/>
      <c r="F407" s="13"/>
      <c r="G407" s="13"/>
    </row>
    <row r="408">
      <c r="A408" s="16"/>
      <c r="B408" s="17"/>
      <c r="C408" s="13"/>
      <c r="D408" s="13"/>
      <c r="E408" s="14"/>
      <c r="F408" s="13"/>
      <c r="G408" s="13"/>
    </row>
    <row r="409">
      <c r="A409" s="16"/>
      <c r="B409" s="17"/>
      <c r="C409" s="13"/>
      <c r="D409" s="13"/>
      <c r="E409" s="14"/>
      <c r="F409" s="13"/>
      <c r="G409" s="13"/>
    </row>
    <row r="410">
      <c r="A410" s="16"/>
      <c r="B410" s="17"/>
      <c r="C410" s="13"/>
      <c r="D410" s="13"/>
      <c r="E410" s="14"/>
      <c r="F410" s="13"/>
      <c r="G410" s="13"/>
    </row>
    <row r="411">
      <c r="A411" s="16"/>
      <c r="B411" s="17"/>
      <c r="C411" s="13"/>
      <c r="D411" s="13"/>
      <c r="E411" s="14"/>
      <c r="F411" s="13"/>
      <c r="G411" s="13"/>
    </row>
    <row r="412">
      <c r="A412" s="16"/>
      <c r="B412" s="17"/>
      <c r="C412" s="13"/>
      <c r="D412" s="13"/>
      <c r="E412" s="14"/>
      <c r="F412" s="13"/>
      <c r="G412" s="13"/>
    </row>
    <row r="413">
      <c r="A413" s="16"/>
      <c r="B413" s="17"/>
      <c r="C413" s="13"/>
      <c r="D413" s="13"/>
      <c r="E413" s="14"/>
      <c r="F413" s="13"/>
      <c r="G413" s="13"/>
    </row>
    <row r="414">
      <c r="A414" s="16"/>
      <c r="B414" s="17"/>
      <c r="C414" s="13"/>
      <c r="D414" s="13"/>
      <c r="E414" s="14"/>
      <c r="F414" s="13"/>
      <c r="G414" s="13"/>
    </row>
    <row r="415">
      <c r="A415" s="16"/>
      <c r="B415" s="17"/>
      <c r="C415" s="13"/>
      <c r="D415" s="13"/>
      <c r="E415" s="14"/>
      <c r="F415" s="13"/>
      <c r="G415" s="13"/>
    </row>
    <row r="416">
      <c r="A416" s="16"/>
      <c r="B416" s="17"/>
      <c r="C416" s="13"/>
      <c r="D416" s="13"/>
      <c r="E416" s="14"/>
      <c r="F416" s="13"/>
      <c r="G416" s="13"/>
    </row>
    <row r="417">
      <c r="A417" s="16"/>
      <c r="B417" s="17"/>
      <c r="C417" s="13"/>
      <c r="D417" s="13"/>
      <c r="E417" s="14"/>
      <c r="F417" s="13"/>
      <c r="G417" s="13"/>
    </row>
    <row r="418">
      <c r="A418" s="16"/>
      <c r="B418" s="17"/>
      <c r="C418" s="13"/>
      <c r="D418" s="13"/>
      <c r="E418" s="14"/>
      <c r="F418" s="13"/>
      <c r="G418" s="13"/>
    </row>
    <row r="419">
      <c r="A419" s="16"/>
      <c r="B419" s="17"/>
      <c r="C419" s="13"/>
      <c r="D419" s="13"/>
      <c r="E419" s="14"/>
      <c r="F419" s="13"/>
      <c r="G419" s="13"/>
    </row>
    <row r="420">
      <c r="A420" s="16"/>
      <c r="B420" s="17"/>
      <c r="C420" s="13"/>
      <c r="D420" s="13"/>
      <c r="E420" s="14"/>
      <c r="F420" s="13"/>
      <c r="G420" s="13"/>
    </row>
    <row r="421">
      <c r="A421" s="16"/>
      <c r="B421" s="17"/>
      <c r="C421" s="13"/>
      <c r="D421" s="13"/>
      <c r="E421" s="14"/>
      <c r="F421" s="13"/>
      <c r="G421" s="13"/>
    </row>
    <row r="422">
      <c r="A422" s="16"/>
      <c r="B422" s="17"/>
      <c r="C422" s="13"/>
      <c r="D422" s="13"/>
      <c r="E422" s="14"/>
      <c r="F422" s="13"/>
      <c r="G422" s="13"/>
    </row>
    <row r="423">
      <c r="A423" s="16"/>
      <c r="B423" s="17"/>
      <c r="C423" s="13"/>
      <c r="D423" s="13"/>
      <c r="E423" s="14"/>
      <c r="F423" s="13"/>
      <c r="G423" s="13"/>
    </row>
    <row r="424">
      <c r="A424" s="16"/>
      <c r="B424" s="17"/>
      <c r="C424" s="13"/>
      <c r="D424" s="13"/>
      <c r="E424" s="14"/>
      <c r="F424" s="13"/>
      <c r="G424" s="13"/>
    </row>
    <row r="425">
      <c r="A425" s="16"/>
      <c r="B425" s="17"/>
      <c r="C425" s="13"/>
      <c r="D425" s="13"/>
      <c r="E425" s="14"/>
      <c r="F425" s="13"/>
      <c r="G425" s="13"/>
    </row>
    <row r="426">
      <c r="A426" s="16"/>
      <c r="B426" s="17"/>
      <c r="C426" s="13"/>
      <c r="D426" s="13"/>
      <c r="E426" s="14"/>
      <c r="F426" s="13"/>
      <c r="G426" s="13"/>
    </row>
    <row r="427">
      <c r="A427" s="16"/>
      <c r="B427" s="17"/>
      <c r="C427" s="13"/>
      <c r="D427" s="13"/>
      <c r="E427" s="14"/>
      <c r="F427" s="13"/>
      <c r="G427" s="13"/>
    </row>
    <row r="428">
      <c r="A428" s="16"/>
      <c r="B428" s="17"/>
      <c r="C428" s="13"/>
      <c r="D428" s="13"/>
      <c r="E428" s="14"/>
      <c r="F428" s="13"/>
      <c r="G428" s="13"/>
    </row>
    <row r="429">
      <c r="A429" s="16"/>
      <c r="B429" s="17"/>
      <c r="C429" s="13"/>
      <c r="D429" s="13"/>
      <c r="E429" s="14"/>
      <c r="F429" s="13"/>
      <c r="G429" s="13"/>
    </row>
    <row r="430">
      <c r="A430" s="16"/>
      <c r="B430" s="17"/>
      <c r="C430" s="13"/>
      <c r="D430" s="13"/>
      <c r="E430" s="14"/>
      <c r="F430" s="13"/>
      <c r="G430" s="13"/>
    </row>
    <row r="431">
      <c r="A431" s="16"/>
      <c r="B431" s="17"/>
      <c r="C431" s="13"/>
      <c r="D431" s="13"/>
      <c r="E431" s="14"/>
      <c r="F431" s="13"/>
      <c r="G431" s="13"/>
    </row>
    <row r="432">
      <c r="A432" s="16"/>
      <c r="B432" s="17"/>
      <c r="C432" s="13"/>
      <c r="D432" s="13"/>
      <c r="E432" s="14"/>
      <c r="F432" s="13"/>
      <c r="G432" s="13"/>
    </row>
    <row r="433">
      <c r="A433" s="16"/>
      <c r="B433" s="17"/>
      <c r="C433" s="13"/>
      <c r="D433" s="13"/>
      <c r="E433" s="14"/>
      <c r="F433" s="13"/>
      <c r="G433" s="13"/>
    </row>
    <row r="434">
      <c r="A434" s="16"/>
      <c r="B434" s="17"/>
      <c r="C434" s="13"/>
      <c r="D434" s="13"/>
      <c r="E434" s="14"/>
      <c r="F434" s="13"/>
      <c r="G434" s="13"/>
    </row>
    <row r="435">
      <c r="A435" s="16"/>
      <c r="B435" s="17"/>
      <c r="C435" s="13"/>
      <c r="D435" s="13"/>
      <c r="E435" s="14"/>
      <c r="F435" s="13"/>
      <c r="G435" s="13"/>
    </row>
    <row r="436">
      <c r="A436" s="16"/>
      <c r="B436" s="17"/>
      <c r="C436" s="13"/>
      <c r="D436" s="13"/>
      <c r="E436" s="14"/>
      <c r="F436" s="13"/>
      <c r="G436" s="13"/>
    </row>
    <row r="437">
      <c r="A437" s="16"/>
      <c r="B437" s="17"/>
      <c r="C437" s="13"/>
      <c r="D437" s="13"/>
      <c r="E437" s="14"/>
      <c r="F437" s="13"/>
      <c r="G437" s="13"/>
    </row>
    <row r="438">
      <c r="A438" s="16"/>
      <c r="B438" s="17"/>
      <c r="C438" s="13"/>
      <c r="D438" s="13"/>
      <c r="E438" s="14"/>
      <c r="F438" s="13"/>
      <c r="G438" s="13"/>
    </row>
    <row r="439">
      <c r="A439" s="16"/>
      <c r="B439" s="17"/>
      <c r="C439" s="13"/>
      <c r="D439" s="13"/>
      <c r="E439" s="14"/>
      <c r="F439" s="13"/>
      <c r="G439" s="13"/>
    </row>
    <row r="440">
      <c r="A440" s="16"/>
      <c r="B440" s="17"/>
      <c r="C440" s="13"/>
      <c r="D440" s="13"/>
      <c r="E440" s="14"/>
      <c r="F440" s="13"/>
      <c r="G440" s="13"/>
    </row>
    <row r="441">
      <c r="A441" s="16"/>
      <c r="B441" s="17"/>
      <c r="C441" s="13"/>
      <c r="D441" s="13"/>
      <c r="E441" s="14"/>
      <c r="F441" s="13"/>
      <c r="G441" s="13"/>
    </row>
    <row r="442">
      <c r="A442" s="16"/>
      <c r="B442" s="17"/>
      <c r="C442" s="13"/>
      <c r="D442" s="13"/>
      <c r="E442" s="14"/>
      <c r="F442" s="13"/>
      <c r="G442" s="13"/>
    </row>
    <row r="443">
      <c r="A443" s="16"/>
      <c r="B443" s="17"/>
      <c r="C443" s="13"/>
      <c r="D443" s="13"/>
      <c r="E443" s="14"/>
      <c r="F443" s="13"/>
      <c r="G443" s="13"/>
    </row>
    <row r="444">
      <c r="A444" s="16"/>
      <c r="B444" s="17"/>
      <c r="C444" s="13"/>
      <c r="D444" s="13"/>
      <c r="E444" s="14"/>
      <c r="F444" s="13"/>
      <c r="G444" s="13"/>
    </row>
    <row r="445">
      <c r="A445" s="16"/>
      <c r="B445" s="17"/>
      <c r="C445" s="13"/>
      <c r="D445" s="13"/>
      <c r="E445" s="14"/>
      <c r="F445" s="13"/>
      <c r="G445" s="13"/>
    </row>
    <row r="446">
      <c r="A446" s="16"/>
      <c r="B446" s="17"/>
      <c r="C446" s="13"/>
      <c r="D446" s="13"/>
      <c r="E446" s="14"/>
      <c r="F446" s="13"/>
      <c r="G446" s="13"/>
    </row>
    <row r="447">
      <c r="A447" s="16"/>
      <c r="B447" s="17"/>
      <c r="C447" s="13"/>
      <c r="D447" s="13"/>
      <c r="E447" s="14"/>
      <c r="F447" s="13"/>
      <c r="G447" s="13"/>
    </row>
    <row r="448">
      <c r="A448" s="16"/>
      <c r="B448" s="17"/>
      <c r="C448" s="13"/>
      <c r="D448" s="13"/>
      <c r="E448" s="14"/>
      <c r="F448" s="13"/>
      <c r="G448" s="13"/>
    </row>
    <row r="449">
      <c r="A449" s="16"/>
      <c r="B449" s="17"/>
      <c r="C449" s="13"/>
      <c r="D449" s="13"/>
      <c r="E449" s="14"/>
      <c r="F449" s="13"/>
      <c r="G449" s="13"/>
    </row>
    <row r="450">
      <c r="A450" s="16"/>
      <c r="B450" s="17"/>
      <c r="C450" s="13"/>
      <c r="D450" s="13"/>
      <c r="E450" s="14"/>
      <c r="F450" s="13"/>
      <c r="G450" s="13"/>
    </row>
    <row r="451">
      <c r="A451" s="16"/>
      <c r="B451" s="17"/>
      <c r="C451" s="13"/>
      <c r="D451" s="13"/>
      <c r="E451" s="14"/>
      <c r="F451" s="13"/>
      <c r="G451" s="13"/>
    </row>
    <row r="452">
      <c r="A452" s="16"/>
      <c r="B452" s="17"/>
      <c r="C452" s="13"/>
      <c r="D452" s="13"/>
      <c r="E452" s="14"/>
      <c r="F452" s="13"/>
      <c r="G452" s="13"/>
    </row>
    <row r="453">
      <c r="A453" s="16"/>
      <c r="B453" s="17"/>
      <c r="C453" s="13"/>
      <c r="D453" s="13"/>
      <c r="E453" s="14"/>
      <c r="F453" s="13"/>
      <c r="G453" s="13"/>
    </row>
    <row r="454">
      <c r="A454" s="16"/>
      <c r="B454" s="17"/>
      <c r="C454" s="13"/>
      <c r="D454" s="13"/>
      <c r="E454" s="14"/>
      <c r="F454" s="13"/>
      <c r="G454" s="13"/>
    </row>
    <row r="455">
      <c r="A455" s="16"/>
      <c r="B455" s="17"/>
      <c r="C455" s="13"/>
      <c r="D455" s="13"/>
      <c r="E455" s="14"/>
      <c r="F455" s="13"/>
      <c r="G455" s="13"/>
    </row>
    <row r="456">
      <c r="A456" s="16"/>
      <c r="B456" s="17"/>
      <c r="C456" s="13"/>
      <c r="D456" s="13"/>
      <c r="E456" s="14"/>
      <c r="F456" s="13"/>
      <c r="G456" s="13"/>
    </row>
    <row r="457">
      <c r="A457" s="16"/>
      <c r="B457" s="17"/>
      <c r="C457" s="13"/>
      <c r="D457" s="13"/>
      <c r="E457" s="14"/>
      <c r="F457" s="13"/>
      <c r="G457" s="13"/>
    </row>
    <row r="458">
      <c r="A458" s="16"/>
      <c r="B458" s="17"/>
      <c r="C458" s="13"/>
      <c r="D458" s="13"/>
      <c r="E458" s="14"/>
      <c r="F458" s="13"/>
      <c r="G458" s="13"/>
    </row>
    <row r="459">
      <c r="A459" s="16"/>
      <c r="B459" s="17"/>
      <c r="C459" s="13"/>
      <c r="D459" s="13"/>
      <c r="E459" s="14"/>
      <c r="F459" s="13"/>
      <c r="G459" s="13"/>
    </row>
    <row r="460">
      <c r="A460" s="16"/>
      <c r="B460" s="17"/>
      <c r="C460" s="13"/>
      <c r="D460" s="13"/>
      <c r="E460" s="14"/>
      <c r="F460" s="13"/>
      <c r="G460" s="13"/>
    </row>
    <row r="461">
      <c r="A461" s="16"/>
      <c r="B461" s="17"/>
      <c r="C461" s="13"/>
      <c r="D461" s="13"/>
      <c r="E461" s="14"/>
      <c r="F461" s="13"/>
      <c r="G461" s="13"/>
    </row>
    <row r="462">
      <c r="A462" s="16"/>
      <c r="B462" s="17"/>
      <c r="C462" s="13"/>
      <c r="D462" s="13"/>
      <c r="E462" s="14"/>
      <c r="F462" s="13"/>
      <c r="G462" s="13"/>
    </row>
    <row r="463">
      <c r="A463" s="16"/>
      <c r="B463" s="17"/>
      <c r="C463" s="13"/>
      <c r="D463" s="13"/>
      <c r="E463" s="14"/>
      <c r="F463" s="13"/>
      <c r="G463" s="13"/>
    </row>
    <row r="464">
      <c r="A464" s="16"/>
      <c r="B464" s="17"/>
      <c r="C464" s="13"/>
      <c r="D464" s="13"/>
      <c r="E464" s="14"/>
      <c r="F464" s="13"/>
      <c r="G464" s="13"/>
    </row>
    <row r="465">
      <c r="A465" s="16"/>
      <c r="B465" s="17"/>
      <c r="C465" s="13"/>
      <c r="D465" s="13"/>
      <c r="E465" s="14"/>
      <c r="F465" s="13"/>
      <c r="G465" s="13"/>
    </row>
    <row r="466">
      <c r="A466" s="16"/>
      <c r="B466" s="17"/>
      <c r="C466" s="13"/>
      <c r="D466" s="13"/>
      <c r="E466" s="14"/>
      <c r="F466" s="13"/>
      <c r="G466" s="13"/>
    </row>
    <row r="467">
      <c r="A467" s="16"/>
      <c r="B467" s="17"/>
      <c r="C467" s="13"/>
      <c r="D467" s="13"/>
      <c r="E467" s="14"/>
      <c r="F467" s="13"/>
      <c r="G467" s="13"/>
    </row>
    <row r="468">
      <c r="A468" s="16"/>
      <c r="B468" s="17"/>
      <c r="C468" s="13"/>
      <c r="D468" s="13"/>
      <c r="E468" s="14"/>
      <c r="F468" s="13"/>
      <c r="G468" s="13"/>
    </row>
    <row r="469">
      <c r="A469" s="16"/>
      <c r="B469" s="17"/>
      <c r="C469" s="13"/>
      <c r="D469" s="13"/>
      <c r="E469" s="14"/>
      <c r="F469" s="13"/>
      <c r="G469" s="13"/>
    </row>
    <row r="470">
      <c r="A470" s="16"/>
      <c r="B470" s="17"/>
      <c r="C470" s="13"/>
      <c r="D470" s="13"/>
      <c r="E470" s="14"/>
      <c r="F470" s="13"/>
      <c r="G470" s="13"/>
    </row>
    <row r="471">
      <c r="A471" s="16"/>
      <c r="B471" s="17"/>
      <c r="C471" s="13"/>
      <c r="D471" s="13"/>
      <c r="E471" s="14"/>
      <c r="F471" s="13"/>
      <c r="G471" s="13"/>
    </row>
    <row r="472">
      <c r="A472" s="16"/>
      <c r="B472" s="17"/>
      <c r="C472" s="13"/>
      <c r="D472" s="13"/>
      <c r="E472" s="14"/>
      <c r="F472" s="13"/>
      <c r="G472" s="13"/>
    </row>
    <row r="473">
      <c r="A473" s="16"/>
      <c r="B473" s="17"/>
      <c r="C473" s="13"/>
      <c r="D473" s="13"/>
      <c r="E473" s="14"/>
      <c r="F473" s="13"/>
      <c r="G473" s="13"/>
    </row>
    <row r="474">
      <c r="A474" s="16"/>
      <c r="B474" s="17"/>
      <c r="C474" s="13"/>
      <c r="D474" s="13"/>
      <c r="E474" s="14"/>
      <c r="F474" s="13"/>
      <c r="G474" s="13"/>
    </row>
    <row r="475">
      <c r="A475" s="16"/>
      <c r="B475" s="17"/>
      <c r="C475" s="13"/>
      <c r="D475" s="13"/>
      <c r="E475" s="14"/>
      <c r="F475" s="13"/>
      <c r="G475" s="13"/>
    </row>
    <row r="476">
      <c r="A476" s="16"/>
      <c r="B476" s="17"/>
      <c r="C476" s="13"/>
      <c r="D476" s="13"/>
      <c r="E476" s="14"/>
      <c r="F476" s="13"/>
      <c r="G476" s="13"/>
    </row>
    <row r="477">
      <c r="A477" s="16"/>
      <c r="B477" s="17"/>
      <c r="C477" s="13"/>
      <c r="D477" s="13"/>
      <c r="E477" s="14"/>
      <c r="F477" s="13"/>
      <c r="G477" s="13"/>
    </row>
    <row r="478">
      <c r="A478" s="16"/>
      <c r="B478" s="17"/>
      <c r="C478" s="13"/>
      <c r="D478" s="13"/>
      <c r="E478" s="14"/>
      <c r="F478" s="13"/>
      <c r="G478" s="13"/>
    </row>
    <row r="479">
      <c r="A479" s="16"/>
      <c r="B479" s="17"/>
      <c r="C479" s="13"/>
      <c r="D479" s="13"/>
      <c r="E479" s="14"/>
      <c r="F479" s="13"/>
      <c r="G479" s="13"/>
    </row>
    <row r="480">
      <c r="A480" s="16"/>
      <c r="B480" s="17"/>
      <c r="C480" s="13"/>
      <c r="D480" s="13"/>
      <c r="E480" s="14"/>
      <c r="F480" s="13"/>
      <c r="G480" s="13"/>
    </row>
    <row r="481">
      <c r="A481" s="16"/>
      <c r="B481" s="17"/>
      <c r="C481" s="13"/>
      <c r="D481" s="13"/>
      <c r="E481" s="14"/>
      <c r="F481" s="13"/>
      <c r="G481" s="13"/>
    </row>
    <row r="482">
      <c r="A482" s="16"/>
      <c r="B482" s="17"/>
      <c r="C482" s="13"/>
      <c r="D482" s="13"/>
      <c r="E482" s="14"/>
      <c r="F482" s="13"/>
      <c r="G482" s="13"/>
    </row>
    <row r="483">
      <c r="A483" s="16"/>
      <c r="B483" s="17"/>
      <c r="C483" s="13"/>
      <c r="D483" s="13"/>
      <c r="E483" s="14"/>
      <c r="F483" s="13"/>
      <c r="G483" s="13"/>
    </row>
    <row r="484">
      <c r="A484" s="16"/>
      <c r="B484" s="17"/>
      <c r="C484" s="13"/>
      <c r="D484" s="13"/>
      <c r="E484" s="14"/>
      <c r="F484" s="13"/>
      <c r="G484" s="13"/>
    </row>
    <row r="485">
      <c r="A485" s="16"/>
      <c r="B485" s="17"/>
      <c r="C485" s="13"/>
      <c r="D485" s="13"/>
      <c r="E485" s="14"/>
      <c r="F485" s="13"/>
      <c r="G485" s="13"/>
    </row>
    <row r="486">
      <c r="A486" s="16"/>
      <c r="B486" s="17"/>
      <c r="C486" s="13"/>
      <c r="D486" s="13"/>
      <c r="E486" s="14"/>
      <c r="F486" s="13"/>
      <c r="G486" s="13"/>
    </row>
    <row r="487">
      <c r="A487" s="16"/>
      <c r="B487" s="17"/>
      <c r="C487" s="13"/>
      <c r="D487" s="13"/>
      <c r="E487" s="14"/>
      <c r="F487" s="13"/>
      <c r="G487" s="13"/>
    </row>
    <row r="488">
      <c r="A488" s="16"/>
      <c r="B488" s="17"/>
      <c r="C488" s="13"/>
      <c r="D488" s="13"/>
      <c r="E488" s="14"/>
      <c r="F488" s="13"/>
      <c r="G488" s="13"/>
    </row>
    <row r="489">
      <c r="A489" s="16"/>
      <c r="B489" s="17"/>
      <c r="C489" s="13"/>
      <c r="D489" s="13"/>
      <c r="E489" s="14"/>
      <c r="F489" s="13"/>
      <c r="G489" s="13"/>
    </row>
    <row r="490">
      <c r="A490" s="16"/>
      <c r="B490" s="17"/>
      <c r="C490" s="13"/>
      <c r="D490" s="13"/>
      <c r="E490" s="14"/>
      <c r="F490" s="13"/>
      <c r="G490" s="13"/>
    </row>
    <row r="491">
      <c r="A491" s="16"/>
      <c r="B491" s="17"/>
      <c r="C491" s="13"/>
      <c r="D491" s="13"/>
      <c r="E491" s="14"/>
      <c r="F491" s="13"/>
      <c r="G491" s="13"/>
    </row>
    <row r="492">
      <c r="A492" s="16"/>
      <c r="B492" s="17"/>
      <c r="C492" s="13"/>
      <c r="D492" s="13"/>
      <c r="E492" s="14"/>
      <c r="F492" s="13"/>
      <c r="G492" s="13"/>
    </row>
    <row r="493">
      <c r="A493" s="16"/>
      <c r="B493" s="17"/>
      <c r="C493" s="13"/>
      <c r="D493" s="13"/>
      <c r="E493" s="14"/>
      <c r="F493" s="13"/>
      <c r="G493" s="13"/>
    </row>
    <row r="494">
      <c r="A494" s="16"/>
      <c r="B494" s="17"/>
      <c r="C494" s="13"/>
      <c r="D494" s="13"/>
      <c r="E494" s="14"/>
      <c r="F494" s="13"/>
      <c r="G494" s="13"/>
    </row>
    <row r="495">
      <c r="A495" s="16"/>
      <c r="B495" s="17"/>
      <c r="C495" s="13"/>
      <c r="D495" s="13"/>
      <c r="E495" s="14"/>
      <c r="F495" s="13"/>
      <c r="G495" s="13"/>
    </row>
    <row r="496">
      <c r="A496" s="16"/>
      <c r="B496" s="17"/>
      <c r="C496" s="13"/>
      <c r="D496" s="13"/>
      <c r="E496" s="14"/>
      <c r="F496" s="13"/>
      <c r="G496" s="13"/>
    </row>
    <row r="497">
      <c r="A497" s="16"/>
      <c r="B497" s="17"/>
      <c r="C497" s="13"/>
      <c r="D497" s="13"/>
      <c r="E497" s="14"/>
      <c r="F497" s="13"/>
      <c r="G497" s="13"/>
    </row>
    <row r="498">
      <c r="A498" s="16"/>
      <c r="B498" s="17"/>
      <c r="C498" s="13"/>
      <c r="D498" s="13"/>
      <c r="E498" s="14"/>
      <c r="F498" s="13"/>
      <c r="G498" s="13"/>
    </row>
    <row r="499">
      <c r="A499" s="16"/>
      <c r="B499" s="17"/>
      <c r="C499" s="13"/>
      <c r="D499" s="13"/>
      <c r="E499" s="14"/>
      <c r="F499" s="13"/>
      <c r="G499" s="13"/>
    </row>
    <row r="500">
      <c r="A500" s="16"/>
      <c r="B500" s="17"/>
      <c r="C500" s="13"/>
      <c r="D500" s="13"/>
      <c r="E500" s="14"/>
      <c r="F500" s="13"/>
      <c r="G500" s="13"/>
    </row>
  </sheetData>
  <mergeCells count="1">
    <mergeCell ref="C1:G1"/>
  </mergeCells>
  <drawing r:id="rId1"/>
</worksheet>
</file>