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candicekou/Desktop/Data - Final version/"/>
    </mc:Choice>
  </mc:AlternateContent>
  <xr:revisionPtr revIDLastSave="0" documentId="13_ncr:1_{04312CC0-AA6E-FE4E-A967-9D665610A73B}" xr6:coauthVersionLast="47" xr6:coauthVersionMax="47" xr10:uidLastSave="{00000000-0000-0000-0000-000000000000}"/>
  <bookViews>
    <workbookView xWindow="0" yWindow="760" windowWidth="34560" windowHeight="20380" activeTab="2" xr2:uid="{6732BEAB-FFD1-D940-8F53-849EC420BDB2}"/>
  </bookViews>
  <sheets>
    <sheet name="Summary" sheetId="55" r:id="rId1"/>
    <sheet name="Tariff - New data" sheetId="1" r:id="rId2"/>
    <sheet name="Multi-tier matrix" sheetId="5" r:id="rId3"/>
    <sheet name="Angola" sheetId="4" r:id="rId4"/>
    <sheet name="Benin" sheetId="6" r:id="rId5"/>
    <sheet name="Botswana" sheetId="7" r:id="rId6"/>
    <sheet name="Burkina Faso" sheetId="8" r:id="rId7"/>
    <sheet name="Burundi" sheetId="9" r:id="rId8"/>
    <sheet name="Central African Republic" sheetId="12" r:id="rId9"/>
    <sheet name="Cabo Verde" sheetId="11" r:id="rId10"/>
    <sheet name="Cameroon" sheetId="10" r:id="rId11"/>
    <sheet name="Chad" sheetId="13" r:id="rId12"/>
    <sheet name="Comoros" sheetId="14" r:id="rId13"/>
    <sheet name="Cote d'Ivoire" sheetId="19" r:id="rId14"/>
    <sheet name="Democratic Republic of the Cong" sheetId="15" r:id="rId15"/>
    <sheet name="Equatorial Guinea" sheetId="20" r:id="rId16"/>
    <sheet name="Eritrea" sheetId="22" r:id="rId17"/>
    <sheet name="Eswatini" sheetId="49" r:id="rId18"/>
    <sheet name="Ethiopia" sheetId="21" r:id="rId19"/>
    <sheet name="Gabon" sheetId="23" r:id="rId20"/>
    <sheet name="Gambia" sheetId="24" r:id="rId21"/>
    <sheet name="Ghana" sheetId="25" r:id="rId22"/>
    <sheet name="Guinea" sheetId="26" r:id="rId23"/>
    <sheet name="Guinea-Bissau" sheetId="27" r:id="rId24"/>
    <sheet name="Kenya" sheetId="28" r:id="rId25"/>
    <sheet name="Lesotho" sheetId="29" r:id="rId26"/>
    <sheet name="Liberia" sheetId="30" r:id="rId27"/>
    <sheet name="Madagascar" sheetId="31" r:id="rId28"/>
    <sheet name="Malawi" sheetId="32" r:id="rId29"/>
    <sheet name="Mali" sheetId="33" r:id="rId30"/>
    <sheet name="Mauritania" sheetId="34" r:id="rId31"/>
    <sheet name="Mauritius" sheetId="35" r:id="rId32"/>
    <sheet name="Mozambique" sheetId="36" r:id="rId33"/>
    <sheet name="Namibia" sheetId="37" r:id="rId34"/>
    <sheet name="Niger" sheetId="38" r:id="rId35"/>
    <sheet name="Nigeria" sheetId="39" r:id="rId36"/>
    <sheet name="Republic of the Congo" sheetId="17" r:id="rId37"/>
    <sheet name="Rwanda" sheetId="40" r:id="rId38"/>
    <sheet name="Senegal" sheetId="42" r:id="rId39"/>
    <sheet name="Seychelles" sheetId="43" r:id="rId40"/>
    <sheet name="Sierra Leone" sheetId="44" r:id="rId41"/>
    <sheet name="Somalia" sheetId="45" r:id="rId42"/>
    <sheet name="South Africa" sheetId="46" r:id="rId43"/>
    <sheet name="South Sudan" sheetId="47" r:id="rId44"/>
    <sheet name="Sudan" sheetId="48" r:id="rId45"/>
    <sheet name="São Tomé and Príncipe" sheetId="41" r:id="rId46"/>
    <sheet name="Tanzania" sheetId="50" r:id="rId47"/>
    <sheet name="Togo" sheetId="51" r:id="rId48"/>
    <sheet name="Uganda" sheetId="52" r:id="rId49"/>
    <sheet name="Zambia" sheetId="53" r:id="rId50"/>
    <sheet name="Zimbabwe" sheetId="54" r:id="rId51"/>
  </sheets>
  <definedNames>
    <definedName name="_xlnm._FilterDatabase" localSheetId="1" hidden="1">'Tariff - New data'!$A$1:$T$49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42" l="1"/>
  <c r="G22" i="51"/>
  <c r="E20" i="51"/>
  <c r="I34" i="41"/>
  <c r="I29" i="41"/>
  <c r="G28" i="41"/>
  <c r="F28" i="41"/>
  <c r="G33" i="41"/>
  <c r="E40" i="41"/>
  <c r="E60" i="46"/>
  <c r="F59" i="46"/>
  <c r="F58" i="46"/>
  <c r="G58" i="46"/>
  <c r="G59" i="46"/>
  <c r="E61" i="46"/>
  <c r="G29" i="43"/>
  <c r="G28" i="43"/>
  <c r="E27" i="43"/>
  <c r="G23" i="42"/>
  <c r="E20" i="42"/>
  <c r="E22" i="42"/>
  <c r="E26" i="17"/>
  <c r="F29" i="39"/>
  <c r="F28" i="39"/>
  <c r="F27" i="39"/>
  <c r="F26" i="39"/>
  <c r="D25" i="39"/>
  <c r="I13" i="38"/>
  <c r="K15" i="38"/>
  <c r="K16" i="38"/>
  <c r="K17" i="38"/>
  <c r="G42" i="37"/>
  <c r="E33" i="37"/>
  <c r="F42" i="37"/>
  <c r="F45" i="37"/>
  <c r="E45" i="37"/>
  <c r="G15" i="36"/>
  <c r="G14" i="36"/>
  <c r="E13" i="36"/>
  <c r="G39" i="35"/>
  <c r="E36" i="35"/>
  <c r="G37" i="34"/>
  <c r="G36" i="34"/>
  <c r="G35" i="34"/>
  <c r="E34" i="34"/>
  <c r="G30" i="33"/>
  <c r="G39" i="33"/>
  <c r="G31" i="33"/>
  <c r="F41" i="33"/>
  <c r="E40" i="33"/>
  <c r="F29" i="33"/>
  <c r="G17" i="32"/>
  <c r="F17" i="32"/>
  <c r="G50" i="31"/>
  <c r="G46" i="31"/>
  <c r="G30" i="31"/>
  <c r="G40" i="31"/>
  <c r="G36" i="31"/>
  <c r="G35" i="31"/>
  <c r="G31" i="31"/>
  <c r="G41" i="31"/>
  <c r="E30" i="31"/>
  <c r="E40" i="31"/>
  <c r="E45" i="31"/>
  <c r="E50" i="31"/>
  <c r="F15" i="30"/>
  <c r="F14" i="30"/>
  <c r="E13" i="30"/>
  <c r="E14" i="29"/>
  <c r="E31" i="28"/>
  <c r="G19" i="26"/>
  <c r="E19" i="26"/>
  <c r="E18" i="26"/>
  <c r="F19" i="26"/>
  <c r="F18" i="26"/>
  <c r="G16" i="25"/>
  <c r="E15" i="25"/>
  <c r="E16" i="23"/>
  <c r="G13" i="21"/>
  <c r="G12" i="21"/>
  <c r="E13" i="21"/>
  <c r="E12" i="21"/>
  <c r="E16" i="21"/>
  <c r="E13" i="49"/>
  <c r="E14" i="49"/>
  <c r="E17" i="49"/>
  <c r="G13" i="10"/>
  <c r="E13" i="10"/>
  <c r="G12" i="12"/>
  <c r="G53" i="8"/>
  <c r="G51" i="8"/>
  <c r="E52" i="8"/>
  <c r="E56" i="8"/>
  <c r="G9" i="7"/>
  <c r="E9" i="7"/>
  <c r="F12" i="12" l="1"/>
  <c r="E16" i="6" l="1"/>
  <c r="H28" i="41"/>
  <c r="H33" i="41"/>
  <c r="F40" i="41"/>
  <c r="G18" i="36" l="1"/>
  <c r="F18" i="36"/>
  <c r="E18" i="36"/>
  <c r="D18" i="36"/>
  <c r="C18" i="36"/>
  <c r="F15" i="36"/>
  <c r="F14" i="36"/>
  <c r="D12" i="36"/>
  <c r="F18" i="30"/>
  <c r="F22" i="26"/>
  <c r="F52" i="8"/>
  <c r="F50" i="8"/>
  <c r="F9" i="7"/>
  <c r="F15" i="4" l="1"/>
  <c r="G8" i="8"/>
  <c r="G7" i="8"/>
  <c r="F34" i="39" l="1"/>
  <c r="E34" i="39"/>
  <c r="C16" i="21"/>
  <c r="F74" i="46"/>
  <c r="G74" i="46"/>
  <c r="G26" i="42"/>
  <c r="K22" i="38"/>
  <c r="C15" i="6"/>
  <c r="D15" i="6"/>
  <c r="G33" i="37"/>
  <c r="D42" i="37"/>
  <c r="G32" i="37"/>
  <c r="F33" i="37"/>
  <c r="F34" i="37"/>
  <c r="D33" i="37"/>
  <c r="C33" i="37"/>
  <c r="D32" i="37"/>
  <c r="G35" i="37"/>
  <c r="E32" i="37"/>
  <c r="G3" i="42"/>
  <c r="F3" i="42"/>
  <c r="E3" i="42"/>
  <c r="D3" i="42"/>
  <c r="C3" i="42"/>
  <c r="C19" i="42" s="1"/>
  <c r="D19" i="42"/>
  <c r="I15" i="46"/>
  <c r="C60" i="46"/>
  <c r="C20" i="51" l="1"/>
  <c r="F20" i="51"/>
  <c r="C11" i="54" l="1"/>
  <c r="F11" i="54"/>
  <c r="F12" i="53"/>
  <c r="C11" i="53"/>
  <c r="F9" i="52"/>
  <c r="C9" i="52"/>
  <c r="F10" i="50"/>
  <c r="C10" i="50"/>
  <c r="E33" i="41"/>
  <c r="F12" i="47"/>
  <c r="E12" i="47"/>
  <c r="E12" i="44"/>
  <c r="D11" i="44"/>
  <c r="C11" i="44"/>
  <c r="E9" i="40"/>
  <c r="F26" i="17"/>
  <c r="C25" i="39"/>
  <c r="E28" i="39"/>
  <c r="J14" i="38"/>
  <c r="C13" i="36"/>
  <c r="C12" i="36"/>
  <c r="F38" i="35"/>
  <c r="D36" i="35"/>
  <c r="C36" i="35"/>
  <c r="E42" i="35"/>
  <c r="F34" i="34"/>
  <c r="C34" i="34"/>
  <c r="C40" i="33"/>
  <c r="E17" i="32"/>
  <c r="C13" i="30"/>
  <c r="F10" i="29"/>
  <c r="C11" i="29"/>
  <c r="C23" i="28"/>
  <c r="C22" i="28"/>
  <c r="C28" i="28"/>
  <c r="C11" i="27"/>
  <c r="G18" i="26"/>
  <c r="D22" i="26"/>
  <c r="E22" i="26"/>
  <c r="G22" i="26"/>
  <c r="C22" i="26"/>
  <c r="D19" i="26"/>
  <c r="C19" i="26"/>
  <c r="D18" i="26"/>
  <c r="C18" i="26"/>
  <c r="G5" i="26"/>
  <c r="G3" i="26"/>
  <c r="F3" i="26"/>
  <c r="E3" i="26"/>
  <c r="D3" i="26"/>
  <c r="C3" i="26"/>
  <c r="G18" i="23"/>
  <c r="F13" i="21"/>
  <c r="E9" i="22"/>
  <c r="F9" i="15"/>
  <c r="E9" i="15"/>
  <c r="E5" i="15"/>
  <c r="M6" i="8"/>
  <c r="N6" i="8" s="1"/>
  <c r="K6" i="8"/>
  <c r="J6" i="8"/>
  <c r="C49" i="8"/>
  <c r="J7" i="8"/>
  <c r="D49" i="8"/>
  <c r="G20" i="4"/>
  <c r="G17" i="4"/>
  <c r="G16" i="4"/>
  <c r="E14" i="4"/>
  <c r="E28" i="41" l="1"/>
  <c r="F17" i="23"/>
  <c r="E9" i="14"/>
  <c r="G16" i="6"/>
  <c r="D17" i="32" l="1"/>
  <c r="C17" i="32"/>
  <c r="G15" i="30"/>
  <c r="E11" i="29"/>
  <c r="F28" i="28"/>
  <c r="F31" i="28" s="1"/>
  <c r="D28" i="28"/>
  <c r="E25" i="28"/>
  <c r="E24" i="28"/>
  <c r="C24" i="28"/>
  <c r="D24" i="28"/>
  <c r="E23" i="28"/>
  <c r="E22" i="28"/>
  <c r="F21" i="28"/>
  <c r="E21" i="28"/>
  <c r="F3" i="28"/>
  <c r="E28" i="28"/>
  <c r="D11" i="27"/>
  <c r="F16" i="25"/>
  <c r="F14" i="49"/>
  <c r="C14" i="49"/>
  <c r="C13" i="49"/>
  <c r="E9" i="20"/>
  <c r="F9" i="20"/>
  <c r="C10" i="13"/>
  <c r="E10" i="13"/>
  <c r="D10" i="13"/>
  <c r="F13" i="10"/>
  <c r="C12" i="12"/>
  <c r="E50" i="8"/>
  <c r="F16" i="6"/>
  <c r="E20" i="4" l="1"/>
  <c r="F26" i="42"/>
  <c r="G45" i="37"/>
  <c r="G26" i="17"/>
  <c r="F16" i="21"/>
  <c r="G16" i="21"/>
  <c r="D16" i="21"/>
  <c r="F12" i="21"/>
  <c r="D13" i="21"/>
  <c r="C13" i="21"/>
  <c r="F17" i="49" l="1"/>
  <c r="C40" i="41"/>
  <c r="D40" i="41"/>
  <c r="G40" i="41"/>
  <c r="F33" i="41"/>
  <c r="F12" i="44"/>
  <c r="F27" i="43"/>
  <c r="F36" i="37"/>
  <c r="F32" i="37"/>
  <c r="F31" i="37"/>
  <c r="D42" i="35"/>
  <c r="G46" i="34"/>
  <c r="D34" i="34"/>
  <c r="F14" i="29"/>
  <c r="F23" i="28"/>
  <c r="F22" i="28"/>
  <c r="F9" i="24"/>
  <c r="E12" i="12" l="1"/>
  <c r="F56" i="8"/>
  <c r="D45" i="37"/>
  <c r="C45" i="37"/>
  <c r="E42" i="37"/>
  <c r="C42" i="37"/>
  <c r="G25" i="51"/>
  <c r="D20" i="51"/>
  <c r="G5" i="51"/>
  <c r="F5" i="51"/>
  <c r="E5" i="51"/>
  <c r="D5" i="51"/>
  <c r="C5" i="51"/>
  <c r="G3" i="51"/>
  <c r="F3" i="51"/>
  <c r="E3" i="51"/>
  <c r="D3" i="51"/>
  <c r="C3" i="51"/>
  <c r="G6" i="41"/>
  <c r="F6" i="41"/>
  <c r="E6" i="41"/>
  <c r="D6" i="41"/>
  <c r="C6" i="41"/>
  <c r="G5" i="41"/>
  <c r="F5" i="41"/>
  <c r="E5" i="41"/>
  <c r="D5" i="41"/>
  <c r="C5" i="41"/>
  <c r="G3" i="41"/>
  <c r="F3" i="41"/>
  <c r="E3" i="41"/>
  <c r="D3" i="41"/>
  <c r="C3" i="41"/>
  <c r="E74" i="46"/>
  <c r="D74" i="46"/>
  <c r="C74" i="46"/>
  <c r="G65" i="46"/>
  <c r="F65" i="46"/>
  <c r="F64" i="46"/>
  <c r="D69" i="46"/>
  <c r="E69" i="46"/>
  <c r="C69" i="46"/>
  <c r="D68" i="46"/>
  <c r="E68" i="46"/>
  <c r="C68" i="46"/>
  <c r="G64" i="46"/>
  <c r="D61" i="46"/>
  <c r="C61" i="46"/>
  <c r="D60" i="46"/>
  <c r="D54" i="46"/>
  <c r="D53" i="46"/>
  <c r="D52" i="46"/>
  <c r="D51" i="46"/>
  <c r="C54" i="46"/>
  <c r="C53" i="46"/>
  <c r="C52" i="46"/>
  <c r="C51" i="46"/>
  <c r="B54" i="46"/>
  <c r="B53" i="46"/>
  <c r="B52" i="46"/>
  <c r="B51" i="46"/>
  <c r="C44" i="46"/>
  <c r="C43" i="46"/>
  <c r="C42" i="46"/>
  <c r="C41" i="46"/>
  <c r="D44" i="46"/>
  <c r="D43" i="46"/>
  <c r="D42" i="46"/>
  <c r="D41" i="46"/>
  <c r="B46" i="46"/>
  <c r="B45" i="46"/>
  <c r="B44" i="46"/>
  <c r="B43" i="46"/>
  <c r="B42" i="46"/>
  <c r="B41" i="46"/>
  <c r="C36" i="46"/>
  <c r="C35" i="46"/>
  <c r="B36" i="46"/>
  <c r="B35" i="46"/>
  <c r="C21" i="46"/>
  <c r="C20" i="46"/>
  <c r="C19" i="46"/>
  <c r="C18" i="46"/>
  <c r="B21" i="46"/>
  <c r="B20" i="46"/>
  <c r="B19" i="46"/>
  <c r="B18" i="46"/>
  <c r="C14" i="46"/>
  <c r="C13" i="46"/>
  <c r="C12" i="46"/>
  <c r="C11" i="46"/>
  <c r="B14" i="46"/>
  <c r="B13" i="46"/>
  <c r="B12" i="46"/>
  <c r="B11" i="46"/>
  <c r="G5" i="46" l="1"/>
  <c r="F5" i="46"/>
  <c r="E5" i="46"/>
  <c r="D5" i="46"/>
  <c r="C5" i="46"/>
  <c r="G6" i="46"/>
  <c r="F6" i="46"/>
  <c r="E6" i="46"/>
  <c r="D6" i="46"/>
  <c r="C6" i="46"/>
  <c r="G3" i="46"/>
  <c r="F3" i="46"/>
  <c r="E3" i="46"/>
  <c r="D3" i="46"/>
  <c r="C3" i="46"/>
  <c r="G32" i="43"/>
  <c r="G5" i="43"/>
  <c r="F5" i="43"/>
  <c r="E5" i="43"/>
  <c r="D5" i="43"/>
  <c r="C5" i="43"/>
  <c r="G3" i="43"/>
  <c r="F3" i="43"/>
  <c r="E3" i="43"/>
  <c r="D3" i="43"/>
  <c r="C3" i="43"/>
  <c r="C26" i="17"/>
  <c r="G3" i="17"/>
  <c r="F3" i="17"/>
  <c r="E3" i="17"/>
  <c r="D3" i="17"/>
  <c r="C3" i="17"/>
  <c r="D34" i="39"/>
  <c r="G5" i="38"/>
  <c r="F5" i="38"/>
  <c r="E5" i="38"/>
  <c r="D5" i="38"/>
  <c r="C5" i="38"/>
  <c r="G3" i="38"/>
  <c r="F3" i="38"/>
  <c r="E3" i="38"/>
  <c r="D3" i="38"/>
  <c r="C3" i="38"/>
  <c r="G6" i="37"/>
  <c r="F6" i="37"/>
  <c r="E6" i="37"/>
  <c r="D6" i="37"/>
  <c r="C6" i="37"/>
  <c r="G5" i="37"/>
  <c r="F5" i="37"/>
  <c r="E5" i="37"/>
  <c r="D5" i="37"/>
  <c r="C5" i="37"/>
  <c r="C42" i="35"/>
  <c r="G5" i="34"/>
  <c r="F5" i="34"/>
  <c r="E5" i="34"/>
  <c r="D5" i="34"/>
  <c r="C5" i="34"/>
  <c r="G34" i="33"/>
  <c r="G44" i="33"/>
  <c r="F44" i="33"/>
  <c r="E44" i="33"/>
  <c r="D44" i="33"/>
  <c r="C44" i="33"/>
  <c r="G41" i="33"/>
  <c r="D40" i="33"/>
  <c r="G6" i="33"/>
  <c r="F6" i="33"/>
  <c r="E6" i="33"/>
  <c r="D6" i="33"/>
  <c r="C6" i="33"/>
  <c r="G5" i="33"/>
  <c r="G14" i="29"/>
  <c r="D14" i="29"/>
  <c r="C14" i="29"/>
  <c r="G11" i="27"/>
  <c r="G9" i="24"/>
  <c r="G24" i="23"/>
  <c r="C16" i="23"/>
  <c r="G21" i="23"/>
  <c r="F7" i="8"/>
  <c r="E7" i="8"/>
  <c r="D7" i="8"/>
  <c r="C7" i="8"/>
  <c r="E22" i="6"/>
  <c r="B24" i="5"/>
  <c r="C24" i="5"/>
  <c r="B25" i="5" l="1"/>
  <c r="G7" i="19"/>
  <c r="F7" i="19"/>
  <c r="E7" i="19"/>
  <c r="D7" i="19"/>
  <c r="C7" i="19"/>
  <c r="C9" i="14"/>
  <c r="F8" i="11"/>
  <c r="G6" i="8"/>
  <c r="F6" i="8"/>
  <c r="E6" i="8"/>
  <c r="D6" i="8"/>
  <c r="C6" i="8"/>
  <c r="C9" i="7"/>
  <c r="G3" i="7"/>
  <c r="F3" i="7"/>
  <c r="E3" i="7"/>
  <c r="D3" i="7"/>
  <c r="C3" i="7"/>
  <c r="D22" i="6"/>
  <c r="C22" i="6"/>
  <c r="G22" i="6"/>
  <c r="F22" i="6"/>
  <c r="G5" i="6"/>
  <c r="G10" i="5"/>
  <c r="G5" i="4"/>
  <c r="G10" i="29"/>
  <c r="G17" i="49"/>
  <c r="D17" i="49"/>
  <c r="C17" i="49"/>
  <c r="D12" i="12" l="1"/>
  <c r="G38" i="33" l="1"/>
  <c r="G37" i="33"/>
  <c r="F5" i="33"/>
  <c r="E5" i="33"/>
  <c r="D5" i="33"/>
  <c r="C5" i="33"/>
  <c r="G3" i="33"/>
  <c r="G33" i="33" s="1"/>
  <c r="F3" i="33"/>
  <c r="E3" i="33"/>
  <c r="D3" i="33"/>
  <c r="C3" i="33"/>
  <c r="D11" i="29"/>
  <c r="G35" i="33" l="1"/>
  <c r="G36" i="33"/>
  <c r="G32" i="33"/>
  <c r="D23" i="28" l="1"/>
  <c r="G23" i="28"/>
  <c r="G4" i="19"/>
  <c r="F4" i="19"/>
  <c r="E4" i="19"/>
  <c r="E117" i="19" s="1"/>
  <c r="D4" i="19"/>
  <c r="D117" i="19" s="1"/>
  <c r="C4" i="19"/>
  <c r="G3" i="19"/>
  <c r="F3" i="19"/>
  <c r="E3" i="19"/>
  <c r="D3" i="19"/>
  <c r="C3" i="19"/>
  <c r="G9" i="52"/>
  <c r="C129" i="19" l="1"/>
  <c r="C117" i="19"/>
  <c r="C141" i="19" s="1"/>
  <c r="F119" i="19"/>
  <c r="F141" i="19" s="1"/>
  <c r="F131" i="19"/>
  <c r="G132" i="19"/>
  <c r="G120" i="19"/>
  <c r="G141" i="19" s="1"/>
  <c r="D129" i="19"/>
  <c r="D141" i="19" s="1"/>
  <c r="E129" i="19"/>
  <c r="E141" i="19" s="1"/>
  <c r="D9" i="48" l="1"/>
  <c r="E9" i="48"/>
  <c r="F9" i="48"/>
  <c r="G9" i="48"/>
  <c r="C9" i="48"/>
  <c r="G12" i="47"/>
  <c r="D12" i="47"/>
  <c r="C12" i="47"/>
  <c r="E26" i="42"/>
  <c r="D26" i="42"/>
  <c r="C26" i="42"/>
  <c r="D21" i="42"/>
  <c r="C21" i="42"/>
  <c r="D9" i="40"/>
  <c r="C9" i="40"/>
  <c r="D26" i="17"/>
  <c r="F9" i="17"/>
  <c r="E27" i="39"/>
  <c r="G14" i="30"/>
  <c r="D13" i="30"/>
  <c r="D15" i="25"/>
  <c r="C15" i="25"/>
  <c r="B8" i="25"/>
  <c r="B7" i="25"/>
  <c r="D11" i="25"/>
  <c r="B11" i="25"/>
  <c r="B6" i="25"/>
  <c r="D16" i="23"/>
  <c r="G3" i="23"/>
  <c r="G19" i="23" s="1"/>
  <c r="F3" i="23"/>
  <c r="E3" i="23"/>
  <c r="D3" i="23"/>
  <c r="C3" i="23"/>
  <c r="G14" i="49"/>
  <c r="D14" i="49"/>
  <c r="D13" i="49"/>
  <c r="G9" i="20"/>
  <c r="D9" i="20"/>
  <c r="C9" i="20"/>
  <c r="G10" i="13"/>
  <c r="F10" i="13"/>
  <c r="E8" i="11"/>
  <c r="D8" i="11"/>
  <c r="C8" i="11"/>
  <c r="G12" i="9"/>
  <c r="F12" i="9"/>
  <c r="E12" i="9"/>
  <c r="D12" i="9"/>
  <c r="C12" i="9"/>
  <c r="D9" i="7"/>
  <c r="F10" i="5"/>
  <c r="E10" i="5"/>
  <c r="D10" i="5"/>
  <c r="C10" i="5"/>
  <c r="C8" i="5"/>
  <c r="G20" i="23" l="1"/>
  <c r="E9" i="24" l="1"/>
  <c r="D9" i="24"/>
  <c r="G11" i="54" l="1"/>
  <c r="G3" i="4" l="1"/>
  <c r="B20" i="51" l="1"/>
  <c r="B9" i="20" l="1"/>
  <c r="G3" i="54"/>
  <c r="F3" i="54"/>
  <c r="E3" i="54"/>
  <c r="E11" i="54" s="1"/>
  <c r="D3" i="54"/>
  <c r="D11" i="54" s="1"/>
  <c r="C3" i="54"/>
  <c r="D27" i="43"/>
  <c r="C27" i="43"/>
  <c r="J22" i="41"/>
  <c r="J23" i="41"/>
  <c r="J21" i="41"/>
  <c r="E29" i="39"/>
  <c r="B25" i="39"/>
  <c r="H13" i="38"/>
  <c r="G13" i="38"/>
  <c r="D40" i="31"/>
  <c r="G3" i="31"/>
  <c r="F3" i="31"/>
  <c r="E3" i="31"/>
  <c r="E35" i="31" s="1"/>
  <c r="D3" i="31"/>
  <c r="D35" i="31" s="1"/>
  <c r="C3" i="31"/>
  <c r="D45" i="31" l="1"/>
  <c r="C45" i="31"/>
  <c r="C35" i="31"/>
  <c r="C30" i="31"/>
  <c r="C40" i="31"/>
  <c r="F45" i="31"/>
  <c r="F40" i="31"/>
  <c r="F35" i="31"/>
  <c r="F30" i="31"/>
  <c r="F50" i="31" s="1"/>
  <c r="G45" i="31"/>
  <c r="D30" i="31"/>
  <c r="D50" i="31" s="1"/>
  <c r="C50" i="31" l="1"/>
  <c r="G3" i="37"/>
  <c r="F3" i="37"/>
  <c r="E3" i="37"/>
  <c r="D3" i="37"/>
  <c r="C3" i="37"/>
  <c r="G3" i="34"/>
  <c r="F3" i="34"/>
  <c r="E3" i="34"/>
  <c r="D3" i="34"/>
  <c r="C3" i="34"/>
  <c r="G8" i="5"/>
  <c r="F8" i="5"/>
  <c r="E8" i="5"/>
  <c r="D8" i="5"/>
  <c r="F11" i="27"/>
  <c r="G3" i="27"/>
  <c r="F3" i="27"/>
  <c r="E3" i="27"/>
  <c r="E11" i="27" s="1"/>
  <c r="D3" i="27"/>
  <c r="C3" i="27"/>
  <c r="G3" i="8"/>
  <c r="F3" i="8"/>
  <c r="E3" i="8"/>
  <c r="D3" i="8"/>
  <c r="C3" i="8"/>
  <c r="G3" i="6"/>
  <c r="F3" i="6"/>
  <c r="E3" i="6"/>
  <c r="D3" i="6"/>
  <c r="C3" i="6"/>
  <c r="F3" i="4"/>
  <c r="E3" i="4"/>
  <c r="D3" i="4"/>
  <c r="C3" i="4"/>
  <c r="E5" i="45"/>
  <c r="E5" i="22"/>
  <c r="B9" i="15"/>
  <c r="E11" i="53"/>
  <c r="D9" i="52"/>
  <c r="G10" i="50"/>
  <c r="G9" i="40"/>
  <c r="F9" i="40"/>
  <c r="C3" i="36"/>
  <c r="G3" i="53"/>
  <c r="G12" i="53" s="1"/>
  <c r="F3" i="53"/>
  <c r="E3" i="53"/>
  <c r="D3" i="53"/>
  <c r="D11" i="53" s="1"/>
  <c r="C3" i="53"/>
  <c r="G3" i="52"/>
  <c r="F3" i="52"/>
  <c r="E3" i="52"/>
  <c r="E9" i="52" s="1"/>
  <c r="D3" i="52"/>
  <c r="C3" i="52"/>
  <c r="G3" i="50"/>
  <c r="F3" i="50"/>
  <c r="E3" i="50"/>
  <c r="E10" i="50" s="1"/>
  <c r="D3" i="50"/>
  <c r="D10" i="50" s="1"/>
  <c r="C3" i="50"/>
  <c r="G3" i="49"/>
  <c r="F3" i="49"/>
  <c r="E3" i="49"/>
  <c r="D3" i="49"/>
  <c r="C3" i="49"/>
  <c r="G3" i="48"/>
  <c r="F3" i="48"/>
  <c r="E3" i="48"/>
  <c r="D3" i="48"/>
  <c r="C3" i="48"/>
  <c r="G3" i="47"/>
  <c r="F3" i="47"/>
  <c r="E3" i="47"/>
  <c r="D3" i="47"/>
  <c r="C3" i="47"/>
  <c r="G3" i="45"/>
  <c r="F3" i="45"/>
  <c r="E3" i="45"/>
  <c r="D3" i="45"/>
  <c r="C3" i="45"/>
  <c r="G3" i="44"/>
  <c r="G13" i="44" s="1"/>
  <c r="F3" i="44"/>
  <c r="E3" i="44"/>
  <c r="D3" i="44"/>
  <c r="C3" i="44"/>
  <c r="G3" i="40"/>
  <c r="F3" i="40"/>
  <c r="E3" i="40"/>
  <c r="D3" i="40"/>
  <c r="C3" i="40"/>
  <c r="G3" i="39"/>
  <c r="F3" i="39"/>
  <c r="E3" i="39"/>
  <c r="D3" i="39"/>
  <c r="C3" i="39"/>
  <c r="G3" i="36"/>
  <c r="F3" i="36"/>
  <c r="E3" i="36"/>
  <c r="D3" i="36"/>
  <c r="G3" i="35"/>
  <c r="F3" i="35"/>
  <c r="E3" i="35"/>
  <c r="D3" i="35"/>
  <c r="C3" i="35"/>
  <c r="B13" i="30"/>
  <c r="G3" i="32"/>
  <c r="F3" i="32"/>
  <c r="E3" i="32"/>
  <c r="D3" i="32"/>
  <c r="C3" i="32"/>
  <c r="G3" i="30"/>
  <c r="F3" i="30"/>
  <c r="E3" i="30"/>
  <c r="D3" i="30"/>
  <c r="C3" i="30"/>
  <c r="B10" i="29"/>
  <c r="G3" i="29"/>
  <c r="F3" i="29"/>
  <c r="E3" i="29"/>
  <c r="D3" i="29"/>
  <c r="C3" i="29"/>
  <c r="G3" i="28"/>
  <c r="E3" i="28"/>
  <c r="D3" i="28"/>
  <c r="C3" i="28"/>
  <c r="C27" i="28" s="1"/>
  <c r="G3" i="25"/>
  <c r="F3" i="25"/>
  <c r="E3" i="25"/>
  <c r="D3" i="25"/>
  <c r="C3" i="25"/>
  <c r="B9" i="24"/>
  <c r="G3" i="24"/>
  <c r="F3" i="24"/>
  <c r="E3" i="24"/>
  <c r="D3" i="24"/>
  <c r="C3" i="24"/>
  <c r="C9" i="24" s="1"/>
  <c r="G3" i="21"/>
  <c r="F3" i="21"/>
  <c r="E3" i="21"/>
  <c r="D3" i="21"/>
  <c r="C3" i="21"/>
  <c r="G3" i="22"/>
  <c r="F3" i="22"/>
  <c r="E3" i="22"/>
  <c r="D3" i="22"/>
  <c r="C3" i="22"/>
  <c r="G3" i="20"/>
  <c r="F3" i="20"/>
  <c r="E3" i="20"/>
  <c r="D3" i="20"/>
  <c r="C3" i="20"/>
  <c r="G3" i="15"/>
  <c r="F3" i="15"/>
  <c r="E3" i="15"/>
  <c r="D3" i="15"/>
  <c r="D9" i="15" s="1"/>
  <c r="C3" i="15"/>
  <c r="G3" i="14"/>
  <c r="G9" i="14" s="1"/>
  <c r="F3" i="14"/>
  <c r="F9" i="14" s="1"/>
  <c r="E3" i="14"/>
  <c r="D3" i="14"/>
  <c r="D9" i="14" s="1"/>
  <c r="C3" i="14"/>
  <c r="G3" i="13"/>
  <c r="F3" i="13"/>
  <c r="E3" i="13"/>
  <c r="D3" i="13"/>
  <c r="C3" i="13"/>
  <c r="G3" i="12"/>
  <c r="F3" i="12"/>
  <c r="E3" i="12"/>
  <c r="D3" i="12"/>
  <c r="C3" i="12"/>
  <c r="B8" i="11"/>
  <c r="G3" i="11"/>
  <c r="G8" i="11" s="1"/>
  <c r="F3" i="11"/>
  <c r="E3" i="11"/>
  <c r="D3" i="11"/>
  <c r="C3" i="11"/>
  <c r="B13" i="10"/>
  <c r="G3" i="10"/>
  <c r="F3" i="10"/>
  <c r="E3" i="10"/>
  <c r="D3" i="10"/>
  <c r="D13" i="10" s="1"/>
  <c r="C3" i="10"/>
  <c r="C13" i="10" s="1"/>
  <c r="G3" i="9"/>
  <c r="F3" i="9"/>
  <c r="E3" i="9"/>
  <c r="D3" i="9"/>
  <c r="C3" i="9"/>
  <c r="C12" i="21" l="1"/>
  <c r="D12" i="21"/>
  <c r="D13" i="36"/>
  <c r="E12" i="36"/>
  <c r="G41" i="37"/>
  <c r="C39" i="37"/>
  <c r="C40" i="37"/>
  <c r="D39" i="37"/>
  <c r="D40" i="37"/>
  <c r="E39" i="37"/>
  <c r="E40" i="37"/>
  <c r="F39" i="37"/>
  <c r="F40" i="37"/>
  <c r="G39" i="37"/>
  <c r="E38" i="37"/>
  <c r="E34" i="37"/>
  <c r="E36" i="37"/>
  <c r="E31" i="37"/>
  <c r="E37" i="37"/>
  <c r="F38" i="37"/>
  <c r="F37" i="37"/>
  <c r="C32" i="37"/>
  <c r="C31" i="37"/>
  <c r="C38" i="37"/>
  <c r="C36" i="37"/>
  <c r="C34" i="37"/>
  <c r="C37" i="37"/>
  <c r="D31" i="37"/>
  <c r="D36" i="37"/>
  <c r="D34" i="37"/>
  <c r="D37" i="37"/>
  <c r="D38" i="37"/>
  <c r="G38" i="37"/>
  <c r="G37" i="37"/>
  <c r="G36" i="37"/>
  <c r="C20" i="4"/>
  <c r="C14" i="4"/>
  <c r="D20" i="4"/>
  <c r="D14" i="4"/>
  <c r="C25" i="28"/>
  <c r="C26" i="28"/>
  <c r="C21" i="28"/>
  <c r="E27" i="28"/>
  <c r="F27" i="28"/>
  <c r="D27" i="28"/>
  <c r="D21" i="28"/>
  <c r="G25" i="28"/>
  <c r="G21" i="28"/>
  <c r="F24" i="28"/>
  <c r="F26" i="28"/>
  <c r="D26" i="28"/>
  <c r="G24" i="28"/>
  <c r="G26" i="28"/>
  <c r="E26" i="28"/>
  <c r="F25" i="28"/>
  <c r="G27" i="28"/>
  <c r="D25" i="28"/>
  <c r="G18" i="30"/>
  <c r="G9" i="22"/>
  <c r="C9" i="15"/>
  <c r="C9" i="22"/>
  <c r="G9" i="45"/>
  <c r="G9" i="15"/>
  <c r="B28" i="33"/>
  <c r="B9" i="45"/>
  <c r="C9" i="45"/>
  <c r="D9" i="45"/>
  <c r="E9" i="45"/>
  <c r="F9" i="45"/>
  <c r="B9" i="22"/>
  <c r="D9" i="22"/>
  <c r="F9" i="22"/>
  <c r="G56" i="8" l="1"/>
  <c r="D22" i="28"/>
  <c r="D31" i="28"/>
  <c r="G22" i="28"/>
  <c r="G28" i="28"/>
  <c r="G31" i="28" s="1"/>
  <c r="C31" i="28"/>
</calcChain>
</file>

<file path=xl/sharedStrings.xml><?xml version="1.0" encoding="utf-8"?>
<sst xmlns="http://schemas.openxmlformats.org/spreadsheetml/2006/main" count="3670" uniqueCount="1147">
  <si>
    <t>Angola</t>
  </si>
  <si>
    <t>Benin</t>
  </si>
  <si>
    <t>Botswana</t>
  </si>
  <si>
    <t>Burkina Faso</t>
  </si>
  <si>
    <t>Burundi</t>
  </si>
  <si>
    <t>Cameroon</t>
  </si>
  <si>
    <t>Chad</t>
  </si>
  <si>
    <t>Comoros</t>
  </si>
  <si>
    <t>Côte d'Ivoire</t>
  </si>
  <si>
    <t>Ethiopia</t>
  </si>
  <si>
    <t>Country</t>
  </si>
  <si>
    <t>Gabon</t>
  </si>
  <si>
    <t>Gambia</t>
  </si>
  <si>
    <t>Ghana</t>
  </si>
  <si>
    <t>Guinea</t>
  </si>
  <si>
    <t>Kenya</t>
  </si>
  <si>
    <t>Lesotho</t>
  </si>
  <si>
    <t>Liberia</t>
  </si>
  <si>
    <t>Madagascar</t>
  </si>
  <si>
    <t>Malawi</t>
  </si>
  <si>
    <t>Mali</t>
  </si>
  <si>
    <t>Mauritania</t>
  </si>
  <si>
    <t>Mozambique</t>
  </si>
  <si>
    <t>Namibia</t>
  </si>
  <si>
    <t>Niger</t>
  </si>
  <si>
    <t>Nigeria</t>
  </si>
  <si>
    <t>Rwanda</t>
  </si>
  <si>
    <t>Senegal</t>
  </si>
  <si>
    <t>Seychelles</t>
  </si>
  <si>
    <t>Sierra Leone</t>
  </si>
  <si>
    <t>South Africa</t>
  </si>
  <si>
    <t>South Sudan</t>
  </si>
  <si>
    <t>Tanzania</t>
  </si>
  <si>
    <t>Togo</t>
  </si>
  <si>
    <t>Uganda</t>
  </si>
  <si>
    <t>Zambia</t>
  </si>
  <si>
    <t>Zimbabwe</t>
  </si>
  <si>
    <t>Central African Republic</t>
  </si>
  <si>
    <t>Democratic Republic of the Congo</t>
  </si>
  <si>
    <t>Republic of the Congo</t>
  </si>
  <si>
    <t>Equatorial Guinea</t>
  </si>
  <si>
    <t>Eritrea</t>
  </si>
  <si>
    <t>Guinea-Bissau</t>
  </si>
  <si>
    <t>Sudan</t>
  </si>
  <si>
    <t>Somalia</t>
  </si>
  <si>
    <t>Mauritius</t>
  </si>
  <si>
    <t>Tariff Effective date</t>
  </si>
  <si>
    <t>Social Tariff</t>
  </si>
  <si>
    <t xml:space="preserve">Data source </t>
  </si>
  <si>
    <t xml:space="preserve">Customer classification </t>
  </si>
  <si>
    <t>Residential tariff type IBT/DBT/VDT/Linear (IBT: Increasing block tariff; DBT: Decreasing block tariff; VDT: volume differentiated tariff)</t>
  </si>
  <si>
    <t>Linear</t>
  </si>
  <si>
    <t>VAT</t>
  </si>
  <si>
    <t>IBT</t>
  </si>
  <si>
    <t>https://www.bpc.bw/customer-service/tariffs</t>
  </si>
  <si>
    <t xml:space="preserve">Fixed Charge </t>
  </si>
  <si>
    <t>Other Fee</t>
  </si>
  <si>
    <t>Assumed tax rate applied to bill</t>
  </si>
  <si>
    <t>N/A</t>
  </si>
  <si>
    <t xml:space="preserve">Domestic </t>
  </si>
  <si>
    <t>domestic</t>
  </si>
  <si>
    <t>14%(included)</t>
  </si>
  <si>
    <t>https://eneocameroon.cm/index.php/en/clients-particuliers-vos-factures-et-paiement-en/clients-particuliers-vos-factures-et-paiement-tarifs-delectricite-en</t>
  </si>
  <si>
    <t>https://www.electra.cv/frontend/web/index.php?r=site%2Ftarifa</t>
  </si>
  <si>
    <t>https://pura.gm/economic-regulations/tariff/electricity-tariff/</t>
  </si>
  <si>
    <t>Nill</t>
  </si>
  <si>
    <t>https://www.escom.mw/tariffs-and-charges/</t>
  </si>
  <si>
    <t xml:space="preserve"> per month              27.991                                 6kVA: 165.072         9kVA: 340.439                 12kVA: 701.473         18kVA:  1485.321       24kVA: 2723.517       30kVA: 4539.302       36kVA: 7428.857                    </t>
  </si>
  <si>
    <t>ADVANCE ON CONSUMPTION                      390                                       1520                                     2470                                      3810                                              6650                                    10220                                 14960                                  22090</t>
  </si>
  <si>
    <t>https://somelec.mr/?q=node/1414</t>
  </si>
  <si>
    <t xml:space="preserve">Tariff 110A( low income) </t>
  </si>
  <si>
    <t xml:space="preserve">minimum charge applicable per month                Tariff 110A: 31.00         Tariff 110: 44.00          Tariff 120: 184.00            Tariff 140: 369.00            </t>
  </si>
  <si>
    <t>security deposit:            Tariff 110: 200                 Tairff 120: 600                Tairff 140: 1200</t>
  </si>
  <si>
    <t>https://ceb.mu/files/files/tariffs/154_Main_171222_URA.pdf</t>
  </si>
  <si>
    <t>https://www.edm.co.mz/en/website/page/electricity-tariffs</t>
  </si>
  <si>
    <t>per month                                     Nill                                               6900</t>
  </si>
  <si>
    <t xml:space="preserve">IBT </t>
  </si>
  <si>
    <t>https://www.lewa.org.ls/tariffs-determinations/</t>
  </si>
  <si>
    <t>Domestic</t>
  </si>
  <si>
    <t>ECB Levy: 0.0212 N$/kWh                               NEF Levy: 0.0160 N$/kWh</t>
  </si>
  <si>
    <t>https://www.reg.rw/customer-service/tariffs/</t>
  </si>
  <si>
    <t>Power demand charge SR/ kVA            Tariff 110: 0               Tariff 120: 4.9          Tariff 130: 9.85</t>
  </si>
  <si>
    <t>https://www.puc.sc/electricity-tariffs/</t>
  </si>
  <si>
    <t xml:space="preserve">domestic </t>
  </si>
  <si>
    <t>https://ewrc.gov.sl/tariff/electricity-tariff/</t>
  </si>
  <si>
    <t>15%(include GST)</t>
  </si>
  <si>
    <t>EWURA: 1%                  REP: 3% (from excel,no avaliable source)</t>
  </si>
  <si>
    <t>https://www.tanesco.co.tz/attachments/customer_services/_unewEou3Ea2ea5kfxYK7GX9H0qhcjnO_2022_11_30_07_10_00.pdf</t>
  </si>
  <si>
    <t xml:space="preserve">Government excise duty:3%                  </t>
  </si>
  <si>
    <t>https://www.erb.org.zm/wp-content/uploads/files/Tariffs/Approved-ZESCO-Multi-Year-Tariffs-2024-2027.pdf</t>
  </si>
  <si>
    <t xml:space="preserve"> Rural Electrification Levy: 6%</t>
  </si>
  <si>
    <t>NESC (LCU/kWh):0.05</t>
  </si>
  <si>
    <t>https://www.sonabel.bf/wp-content/uploads/2023/12/Grille-Tarifaire.pdf</t>
  </si>
  <si>
    <t>https://www.stimatracker.com/</t>
  </si>
  <si>
    <t>Government special levy (LCU/kWh):</t>
  </si>
  <si>
    <t>Government special levy (LCU/kWh):0.0001 Street light levy (LCU/kWh):  0.0002   (from excel, no available source)</t>
  </si>
  <si>
    <t xml:space="preserve">Service charge:               1.1 post paid:                   up to 50kwh  10.00     Above 50 kwh  42.00     1.2 prepaid :                      up to 50 kwh  3.50     Above 50 kwh 14.70  </t>
  </si>
  <si>
    <t xml:space="preserve">Tier 0 </t>
  </si>
  <si>
    <t>Tier 1</t>
  </si>
  <si>
    <t>Tier 2</t>
  </si>
  <si>
    <t>Tier 3</t>
  </si>
  <si>
    <t>Tier 4</t>
  </si>
  <si>
    <t>Tier 5</t>
  </si>
  <si>
    <t xml:space="preserve">Daily capacity </t>
  </si>
  <si>
    <t>Min 12 Wh</t>
  </si>
  <si>
    <t>Min 200 Wh</t>
  </si>
  <si>
    <t>Min 1 kWh</t>
  </si>
  <si>
    <t>Min 3.4 kWh</t>
  </si>
  <si>
    <t>Min 8.2 kWh</t>
  </si>
  <si>
    <t xml:space="preserve">Electricity bill </t>
  </si>
  <si>
    <t>Monthly capacity (assume 30 days)</t>
  </si>
  <si>
    <t>DM: up to 200 kWh</t>
  </si>
  <si>
    <t>DM: more than 200 kWh</t>
  </si>
  <si>
    <t xml:space="preserve"> BWP/kWh</t>
  </si>
  <si>
    <t>DM: up to 110 kWh</t>
  </si>
  <si>
    <t>DM : from 111-400 kWh</t>
  </si>
  <si>
    <t>DM: from 401-800 kWh</t>
  </si>
  <si>
    <t>DM: from 801-2000 kWh</t>
  </si>
  <si>
    <t>Bracket</t>
  </si>
  <si>
    <t>Tariff (in FCFA)</t>
  </si>
  <si>
    <t>From 111 KWH to 220 KWH</t>
  </si>
  <si>
    <t>From 221 KWH to 400 KWH</t>
  </si>
  <si>
    <t>From 401 KWH to 800 KWH</t>
  </si>
  <si>
    <t>From 801 KWH to 2000 KWH</t>
  </si>
  <si>
    <t>From 0 to 110 KWH</t>
  </si>
  <si>
    <t xml:space="preserve">DM: up to 60 kWh                                            </t>
  </si>
  <si>
    <t xml:space="preserve">DM : from 60 kWh </t>
  </si>
  <si>
    <t>KIP</t>
  </si>
  <si>
    <t>Iluminação Pública (CIP)(VAT inclusive)</t>
  </si>
  <si>
    <t>CIP</t>
  </si>
  <si>
    <t>Application of CIP</t>
  </si>
  <si>
    <t>http://www.asemana.publ.cv/spip.php?article86062</t>
  </si>
  <si>
    <t>CIP = ECONS x KIP x TARIP</t>
  </si>
  <si>
    <t xml:space="preserve">VAT 15% included </t>
  </si>
  <si>
    <t>VAT 14% included</t>
  </si>
  <si>
    <t>DM: up to 50 kWh</t>
  </si>
  <si>
    <t xml:space="preserve">DM: above 500 kwh  </t>
  </si>
  <si>
    <t xml:space="preserve">Birr/kwh                                                                   </t>
  </si>
  <si>
    <t>postpaid</t>
  </si>
  <si>
    <t>prepaid</t>
  </si>
  <si>
    <t xml:space="preserve">VAT: 0% if not exceeded the max determined </t>
  </si>
  <si>
    <t>DM: up to 300 kWh</t>
  </si>
  <si>
    <t>DM : from 301-600 kWh</t>
  </si>
  <si>
    <t xml:space="preserve">DM : from 601-1000 kWh </t>
  </si>
  <si>
    <t>DM : from 1001 kWh</t>
  </si>
  <si>
    <t>VAT:15%(over 1000kwh)</t>
  </si>
  <si>
    <t xml:space="preserve">GHp/kWh   </t>
  </si>
  <si>
    <t xml:space="preserve">Service charge (GHp/mo)  </t>
  </si>
  <si>
    <t>DM: 0-30 kWh(lifeline)</t>
  </si>
  <si>
    <t xml:space="preserve">VAT:0% </t>
  </si>
  <si>
    <t>domestic( lifeline)</t>
  </si>
  <si>
    <t xml:space="preserve">DM: up to 30 kWh(lifeline) </t>
  </si>
  <si>
    <t xml:space="preserve"> Street light levy (LCU/kWh):</t>
  </si>
  <si>
    <t>VAT:16%</t>
  </si>
  <si>
    <t>M/kWh</t>
  </si>
  <si>
    <t>VAT:10%</t>
  </si>
  <si>
    <t>Social customer means a customer whose monthly energy consumption is either less than or equal to 50 kWh.</t>
  </si>
  <si>
    <t xml:space="preserve">Social customer </t>
  </si>
  <si>
    <t>prepaid customer</t>
  </si>
  <si>
    <t>postpaid customer</t>
  </si>
  <si>
    <t xml:space="preserve">fixed charger per month </t>
  </si>
  <si>
    <t xml:space="preserve">social </t>
  </si>
  <si>
    <t>LERC levy(US$/kWh)</t>
  </si>
  <si>
    <t>US$/kWh  us dollar</t>
  </si>
  <si>
    <t xml:space="preserve">Mk/kWh   </t>
  </si>
  <si>
    <t>Single Phase supply</t>
  </si>
  <si>
    <t>DM: Above 50 kWh</t>
  </si>
  <si>
    <t xml:space="preserve">Prepaid </t>
  </si>
  <si>
    <t>Postpaid</t>
  </si>
  <si>
    <t>Three Phase Supply</t>
  </si>
  <si>
    <t>Prepaid</t>
  </si>
  <si>
    <t>Fixed charge</t>
  </si>
  <si>
    <t>prepaid-single phase</t>
  </si>
  <si>
    <t>VAT: 16.5%</t>
  </si>
  <si>
    <t>Tariff 110A</t>
  </si>
  <si>
    <t xml:space="preserve">  DM: up to 25kWh            </t>
  </si>
  <si>
    <t>DM: from 25 to 50</t>
  </si>
  <si>
    <t xml:space="preserve">DM: from  50-75 </t>
  </si>
  <si>
    <t xml:space="preserve">DM: from 75-100 </t>
  </si>
  <si>
    <t>DM: from 100-200</t>
  </si>
  <si>
    <t>DM: from 200-250</t>
  </si>
  <si>
    <t xml:space="preserve">DM: from 250-300     </t>
  </si>
  <si>
    <t xml:space="preserve">DM: from 300-500 </t>
  </si>
  <si>
    <t xml:space="preserve">DM: from 500-1000 </t>
  </si>
  <si>
    <t>DM: from 1000-1500</t>
  </si>
  <si>
    <t>DM: from 1500-2000</t>
  </si>
  <si>
    <t xml:space="preserve">DM: above 2000 </t>
  </si>
  <si>
    <t xml:space="preserve">minimum charge applicable per month                </t>
  </si>
  <si>
    <t>security deposit</t>
  </si>
  <si>
    <t>Tariff 110</t>
  </si>
  <si>
    <t>Tariff 140</t>
  </si>
  <si>
    <t xml:space="preserve">Tariff 110:declared connected load of 300W or less   </t>
  </si>
  <si>
    <t xml:space="preserve"> Tariff 120:declared connected load of 301 to 5000W inclusive</t>
  </si>
  <si>
    <t xml:space="preserve"> Tariff 140: declared connected load of exceeding 5000W</t>
  </si>
  <si>
    <t xml:space="preserve">Power </t>
  </si>
  <si>
    <t>Min 3W</t>
  </si>
  <si>
    <t>Min 50W</t>
  </si>
  <si>
    <t>Min 200W</t>
  </si>
  <si>
    <t>Min 800W</t>
  </si>
  <si>
    <t xml:space="preserve">unit </t>
  </si>
  <si>
    <t>(kWh)</t>
  </si>
  <si>
    <t>kW</t>
  </si>
  <si>
    <t>W</t>
  </si>
  <si>
    <t>i) The average monthly consumption under the yearly assessment period shall not exceed 85 kWh.</t>
  </si>
  <si>
    <t>ii) The electricity consumption in any one month during the assessment period should not exceed 120 kWh.</t>
  </si>
  <si>
    <t>iii) The customer place of abode (residence) is not unoccupied. This condition is applicable only to accounts having a declared load above 300 watts. Residences with electricity accounts categorized under Tariff 120, having consumption of 15 kWh or less during each of the last 3 consecutive months, are considered as unoccupied.</t>
  </si>
  <si>
    <t>CEB domestic customers (households only) registered under Tariffs 110 and 120, excluding SSDG owners, who must have a minimum of 6 consecutive monthly consumptions. The conditions are as follows:</t>
  </si>
  <si>
    <t>VAT: 0%</t>
  </si>
  <si>
    <t>Mt/kWh</t>
  </si>
  <si>
    <t>DM: from 0-200</t>
  </si>
  <si>
    <t xml:space="preserve">DM:  from 201-500 </t>
  </si>
  <si>
    <t xml:space="preserve">DM: above 500 </t>
  </si>
  <si>
    <t>Household Tariff</t>
  </si>
  <si>
    <t>DM: from 0-100</t>
  </si>
  <si>
    <t>VAT:0%</t>
  </si>
  <si>
    <t xml:space="preserve">household </t>
  </si>
  <si>
    <t>VAT:17%(included)</t>
  </si>
  <si>
    <t>A</t>
  </si>
  <si>
    <t>FRW/KWH </t>
  </si>
  <si>
    <t>DM: 0-15 kWh</t>
  </si>
  <si>
    <t>DM: &gt;15-50</t>
  </si>
  <si>
    <t>DM: &gt;50</t>
  </si>
  <si>
    <t>VAT:18%</t>
  </si>
  <si>
    <t xml:space="preserve">DM: 0-200 </t>
  </si>
  <si>
    <t>DM: 201-300</t>
  </si>
  <si>
    <t>DM: 301-400</t>
  </si>
  <si>
    <t>DM:401-600</t>
  </si>
  <si>
    <t>DM: exceeding 600</t>
  </si>
  <si>
    <t>Power demand charge Sr/ kVA</t>
  </si>
  <si>
    <t>energy chargeSR/ KWH</t>
  </si>
  <si>
    <t>Tariff 120</t>
  </si>
  <si>
    <t>Tariff 130</t>
  </si>
  <si>
    <t>DEMAND OF 2.4 KVA OR LESS</t>
  </si>
  <si>
    <t>DEMAND EXCEEDING 2.4 KVA LESS THAN 9.6 KVA</t>
  </si>
  <si>
    <r>
      <t xml:space="preserve">
</t>
    </r>
    <r>
      <rPr>
        <sz val="12"/>
        <color theme="4" tint="0.39997558519241921"/>
        <rFont val="Aptos Narrow (Body)"/>
      </rPr>
      <t>DEMAND OF 9.6 KVA OR MORE</t>
    </r>
  </si>
  <si>
    <t>T1 Social Band</t>
  </si>
  <si>
    <t xml:space="preserve">SLL/kWh </t>
  </si>
  <si>
    <t>DM: 0-25 (T1 Social Band)</t>
  </si>
  <si>
    <t>DM:25-200 (T1 Normal Band)</t>
  </si>
  <si>
    <t>DM: Above 200 (T1 High-End Users)</t>
  </si>
  <si>
    <t>VAT:15%(include GST)</t>
  </si>
  <si>
    <t>EDSA Tariff</t>
  </si>
  <si>
    <t>T1 Normal Band</t>
  </si>
  <si>
    <t>T1 High-End Users</t>
  </si>
  <si>
    <t xml:space="preserve">E/kWh  </t>
  </si>
  <si>
    <t>DM:0-75 kWh</t>
  </si>
  <si>
    <t>DM:76-100 kWh</t>
  </si>
  <si>
    <t>DM:&gt;100 kWh</t>
  </si>
  <si>
    <t>S10 lifeline</t>
  </si>
  <si>
    <t>S1 Domestic</t>
  </si>
  <si>
    <t>E/kWh</t>
  </si>
  <si>
    <t>TZS/kWh</t>
  </si>
  <si>
    <t xml:space="preserve">DM: 0-75  </t>
  </si>
  <si>
    <t>DM:  above 75</t>
  </si>
  <si>
    <t>shs/ kWh</t>
  </si>
  <si>
    <t xml:space="preserve"> DM: first 15 kWh</t>
  </si>
  <si>
    <t xml:space="preserve">   DM: 16-80 </t>
  </si>
  <si>
    <t xml:space="preserve">   DM: 81-150 </t>
  </si>
  <si>
    <t xml:space="preserve">DM: &gt;150 </t>
  </si>
  <si>
    <t>(K/kWh)</t>
  </si>
  <si>
    <t xml:space="preserve">R1: up to 100kWh </t>
  </si>
  <si>
    <t>R2: above 100-300</t>
  </si>
  <si>
    <t>R3: above 300-500</t>
  </si>
  <si>
    <t>R4: above 500</t>
  </si>
  <si>
    <t>R1</t>
  </si>
  <si>
    <t>R2</t>
  </si>
  <si>
    <t>R3</t>
  </si>
  <si>
    <t>R4</t>
  </si>
  <si>
    <t xml:space="preserve"> </t>
  </si>
  <si>
    <t xml:space="preserve"> Domestic metered customers</t>
  </si>
  <si>
    <t xml:space="preserve"> DM: first 50 kWh </t>
  </si>
  <si>
    <t>LCU/kWh</t>
  </si>
  <si>
    <t xml:space="preserve">ADVANCE ON CONSUMPTION </t>
  </si>
  <si>
    <t xml:space="preserve"> fixed charge per month  </t>
  </si>
  <si>
    <t xml:space="preserve">TARIF SOCIAL     5102              </t>
  </si>
  <si>
    <t xml:space="preserve">DOMESTIQUE 6 KVA 5106    </t>
  </si>
  <si>
    <t xml:space="preserve">DOMESTIQUE 9 KVA 5109   </t>
  </si>
  <si>
    <t xml:space="preserve">DOMESTIQUE 12 KVA 5112  </t>
  </si>
  <si>
    <t xml:space="preserve">DOMESTIQUE 18 KVA 5118 </t>
  </si>
  <si>
    <t xml:space="preserve">DOMESTIQUE 24 KVA 5124  </t>
  </si>
  <si>
    <t xml:space="preserve">DOMESTIQUE 30 KVA 5130  </t>
  </si>
  <si>
    <t xml:space="preserve">DOMESTIQUE 36 KVA 5136  </t>
  </si>
  <si>
    <t>USD/MWh</t>
  </si>
  <si>
    <t>USD/kWh</t>
  </si>
  <si>
    <t>Based on 2022 currency exchange rate</t>
  </si>
  <si>
    <t>https://www.global-climatescope.org/markets/cd/</t>
  </si>
  <si>
    <t>Average electricity price</t>
  </si>
  <si>
    <t>https://www.global-climatescope.org/markets/er/</t>
  </si>
  <si>
    <t>https://www.global-climatescope.org/markets/so/</t>
  </si>
  <si>
    <t>Average electricity price    79.42 USD/MWh</t>
  </si>
  <si>
    <t>CFAF/kWh</t>
  </si>
  <si>
    <t>&lt;1.3 KVA</t>
  </si>
  <si>
    <t>Kz/kWh</t>
  </si>
  <si>
    <t>3kVA</t>
  </si>
  <si>
    <t>Kz/KVA</t>
  </si>
  <si>
    <t xml:space="preserve">14% VAT </t>
  </si>
  <si>
    <t>https://www.beama.org.uk/static/uploaded/080037a7-4dd8-4776-a6a5abb0988269ba.pdf</t>
  </si>
  <si>
    <t>Active power</t>
  </si>
  <si>
    <t xml:space="preserve">Domestic power factor correlation </t>
  </si>
  <si>
    <t>kW = kVA x PF</t>
  </si>
  <si>
    <t>kVA</t>
  </si>
  <si>
    <t>0.8≤P&lt;2</t>
  </si>
  <si>
    <t>0.2≤P&lt;0.8</t>
  </si>
  <si>
    <t>0.05≤P&lt;0.2</t>
  </si>
  <si>
    <t>0.003≤P&lt;0.05</t>
  </si>
  <si>
    <t>https://www.mofcom.gov.cn/dl/gbdqzn/upload/angela.pdf</t>
  </si>
  <si>
    <t xml:space="preserve"> Tariff information </t>
  </si>
  <si>
    <t>Third party source -Ministry of Commerce</t>
  </si>
  <si>
    <t>Official Website of the Power Utility Company</t>
  </si>
  <si>
    <t>DM: 0-75 kWh</t>
  </si>
  <si>
    <t>CFA/kWh</t>
  </si>
  <si>
    <t>DM: 76-100 kWh</t>
  </si>
  <si>
    <t>CFA</t>
  </si>
  <si>
    <t>3 375 + K</t>
  </si>
  <si>
    <t>Tariff type A(monophase 2wire social) - 1A to 3A</t>
  </si>
  <si>
    <t>DM: 0-50 kWh</t>
  </si>
  <si>
    <t>DM: 51-200 kWh</t>
  </si>
  <si>
    <t>DM:&gt;200 kWh</t>
  </si>
  <si>
    <t>CFA/amp</t>
  </si>
  <si>
    <t>1135 per amp+ K</t>
  </si>
  <si>
    <t>Tariff type B2(monophase 2wire special) -5A to15A</t>
  </si>
  <si>
    <t>flat rate</t>
  </si>
  <si>
    <t>Tariff type B2(monophase 2wire special) -20A to 30A</t>
  </si>
  <si>
    <t>Tariff type C1(Triphase 4wire normal) -10A to15A</t>
  </si>
  <si>
    <t>5130 per amp+ K</t>
  </si>
  <si>
    <t>Tariff type C1(Triphase 4wire normal) -20A to 30A</t>
  </si>
  <si>
    <t>Tariff A- social</t>
  </si>
  <si>
    <t>Tariff type C2(Triphase 4wire special) -10A to 15A</t>
  </si>
  <si>
    <t>Tariff type C2(Triphase 4wire special) -20A to 30A</t>
  </si>
  <si>
    <t>Tariff type B1(monophase 2wire normal) -5A to15A</t>
  </si>
  <si>
    <t>Tariff type B1(monophase 2wire normal) -20A to 30A</t>
  </si>
  <si>
    <t>K = Policy Fees + Taxes and Duties</t>
  </si>
  <si>
    <t>Penalty if Power Factor &lt; 0.93</t>
  </si>
  <si>
    <t xml:space="preserve"> Current-single phase</t>
  </si>
  <si>
    <t>https://www.mofcom.gov.cn/dl/gbdqzn/upload/bulongdi.pdf</t>
  </si>
  <si>
    <t>BIF/kWh</t>
  </si>
  <si>
    <t>DM: 50-150 kWh</t>
  </si>
  <si>
    <t>DM: &gt;150  kWh</t>
  </si>
  <si>
    <t>VAT applies to non-residential only =0%</t>
  </si>
  <si>
    <t>Third party source -Climatescope by BloombergNEF</t>
  </si>
  <si>
    <t>DM: 0-40 kWh</t>
  </si>
  <si>
    <t>GNF/kWh</t>
  </si>
  <si>
    <t>DM: 41-330 kWh</t>
  </si>
  <si>
    <t>DM: &gt;330  kWh</t>
  </si>
  <si>
    <t>VAT =18%</t>
  </si>
  <si>
    <t>DM: 50-200 kWh</t>
  </si>
  <si>
    <t>DM: &gt;200  kWh</t>
  </si>
  <si>
    <t>https://www.mofcom.gov.cn/dl/gbdqzn/upload/jineiyabishao.pdf</t>
  </si>
  <si>
    <t>VAT =15%</t>
  </si>
  <si>
    <t>https://www.jirama.mg/wp-content/uploads/2020/05/Tarif_ELEC_JIRAMA.2018.01.pdf</t>
  </si>
  <si>
    <t>VAT (18%)</t>
  </si>
  <si>
    <t>Any user of the public electricity service, subscribed to the Domestic Social Low Voltage Tariff in post-payment mode with an average energy consumption exceeding 200 kWh over a period of three (3) consecutive bi-monthly periods, will automatically be switched and billed at the General Domestic Tariff, in post-payment mode with a 5A circuit breaker setting and the RTT fee of 2.0 FCFA/kWh.</t>
  </si>
  <si>
    <r>
      <t xml:space="preserve">Eligible for the Domestic Social </t>
    </r>
    <r>
      <rPr>
        <sz val="12"/>
        <color rgb="FF0070C0"/>
        <rFont val="Aptos Narrow (Body)"/>
      </rPr>
      <t>Low Voltage 5A Tariff i</t>
    </r>
    <r>
      <rPr>
        <sz val="12"/>
        <color theme="1"/>
        <rFont val="Aptos Narrow"/>
        <family val="2"/>
        <scheme val="minor"/>
      </rPr>
      <t xml:space="preserve">n post-payment mode are all users of the public electricity service, for domestic and non-professional use, subscribed to a power of </t>
    </r>
    <r>
      <rPr>
        <sz val="12"/>
        <color rgb="FF0070C0"/>
        <rFont val="Aptos Narrow (Body)"/>
      </rPr>
      <t xml:space="preserve">1.1 kVA (5A) </t>
    </r>
    <r>
      <rPr>
        <sz val="12"/>
        <color theme="1"/>
        <rFont val="Aptos Narrow"/>
        <family val="2"/>
        <scheme val="minor"/>
      </rPr>
      <t xml:space="preserve">and whose </t>
    </r>
    <r>
      <rPr>
        <sz val="12"/>
        <color rgb="FF0070C0"/>
        <rFont val="Aptos Narrow (Body)"/>
      </rPr>
      <t>average energy consumption does not exceed 200 kWh</t>
    </r>
    <r>
      <rPr>
        <sz val="12"/>
        <color theme="1"/>
        <rFont val="Aptos Narrow"/>
        <family val="2"/>
        <scheme val="minor"/>
      </rPr>
      <t xml:space="preserve"> </t>
    </r>
    <r>
      <rPr>
        <sz val="12"/>
        <color rgb="FF0070C0"/>
        <rFont val="Aptos Narrow (Body)"/>
      </rPr>
      <t>per bi-monthly period,</t>
    </r>
    <r>
      <rPr>
        <sz val="12"/>
        <color theme="1"/>
        <rFont val="Aptos Narrow"/>
        <family val="2"/>
        <scheme val="minor"/>
      </rPr>
      <t xml:space="preserve"> calculated based on consumption recorded over a period of three (3) consecutive bi-monthly periods.</t>
    </r>
  </si>
  <si>
    <t>FCFA (Excl. Tax)</t>
  </si>
  <si>
    <t>FCFA (Incl. Tax)</t>
  </si>
  <si>
    <t>Fixed kVA rate per two months</t>
  </si>
  <si>
    <t>Price per kWh &lt;= 180 x Subscribed Power per two months</t>
  </si>
  <si>
    <t>Price per kWh &gt; 180 x Subscribed Power per two months</t>
  </si>
  <si>
    <t>Rural Electrification Fee per two months</t>
  </si>
  <si>
    <t>Rural Electrification Fee per kWh</t>
  </si>
  <si>
    <t>RTI Fee per kWh</t>
  </si>
  <si>
    <t>Remuneration Tax for Garbage Collection - Abidjan per kWh</t>
  </si>
  <si>
    <t>Remuneration Tax for Garbage Collection - Other Municipalities per kWh</t>
  </si>
  <si>
    <t>General Domestic Single-phase 5A (postpaid)</t>
  </si>
  <si>
    <t>General Domestic Single-phase 10A (postpaid)</t>
  </si>
  <si>
    <t>Fixed rate per two months</t>
  </si>
  <si>
    <t>Price per kWh &lt;= 80 kWh/ two months</t>
  </si>
  <si>
    <t>Price per kWh &gt; 80 kWh/ two months</t>
  </si>
  <si>
    <t>RTI Fee per two months</t>
  </si>
  <si>
    <t>General Domestic Single-phase 15A (postpaid)</t>
  </si>
  <si>
    <t>General Domestic Three-phase (postpaid)</t>
  </si>
  <si>
    <t>The domestic social single-phase 5 A (prepaid)</t>
  </si>
  <si>
    <t>FCFA/kWh</t>
  </si>
  <si>
    <t>Exempt energy portion</t>
  </si>
  <si>
    <t>Taxable energy portion</t>
  </si>
  <si>
    <t>Fixed Rate per Subscribed Power Linearized: PF (kVA)</t>
  </si>
  <si>
    <t>Rural Electrification Fee</t>
  </si>
  <si>
    <t>RTI Fee</t>
  </si>
  <si>
    <t>Remuneration Tax for Garbage Collection - Abidjan</t>
  </si>
  <si>
    <t>Remuneration Tax for Garbage Collection - Other Municipalities</t>
  </si>
  <si>
    <r>
      <t xml:space="preserve">Eligible for the Social Domestic Low Voltage Prepaid Tariff are users of the public electricity service who, for domestic and non-professional use, subscribe to a </t>
    </r>
    <r>
      <rPr>
        <sz val="12"/>
        <color rgb="FF0070C0"/>
        <rFont val="Aptos Narrow (Body)"/>
      </rPr>
      <t xml:space="preserve">power of 1.1 kVA (5 A) </t>
    </r>
    <r>
      <rPr>
        <sz val="12"/>
        <color theme="1"/>
        <rFont val="Aptos Narrow"/>
        <family val="2"/>
        <scheme val="minor"/>
      </rPr>
      <t xml:space="preserve">and whose </t>
    </r>
    <r>
      <rPr>
        <sz val="12"/>
        <color rgb="FF0070C0"/>
        <rFont val="Aptos Narrow (Body)"/>
      </rPr>
      <t>average energy consumption does not exceed 100 kWh per month</t>
    </r>
    <r>
      <rPr>
        <sz val="12"/>
        <color theme="1"/>
        <rFont val="Aptos Narrow"/>
        <family val="2"/>
        <scheme val="minor"/>
      </rPr>
      <t>, calculated from consumption recorded over a minimum period of six (6) consecutive months.</t>
    </r>
  </si>
  <si>
    <t>Any user of the public electricity service subscribed to the Social Domestic Low Voltage Prepaid Tariff whose average energy consumption over a period of six (6) consecutive months exceeds 100 kWh per month, will be automatically switched and billed at the General Domestic Tariff, in pre-payment mode with an RTI fee of 2.0 FCFA/kWh, and adjusted to a 5 A circuit breaker setting.</t>
  </si>
  <si>
    <t>General Domestic Single-phase 5 A (prepaid)</t>
  </si>
  <si>
    <t>Energy Portion</t>
  </si>
  <si>
    <t>PF (kVA) = 6.90 + 0.20 x [(kVA - 1.1) / 1.1]</t>
  </si>
  <si>
    <t>(*)</t>
  </si>
  <si>
    <t>(*): Value to be calculated based on the subscribed power of the customer.</t>
  </si>
  <si>
    <t>General Domestic Single-phase 10 A (prepaid)</t>
  </si>
  <si>
    <t>General Domestic Single-phase 15 A (prepaid)</t>
  </si>
  <si>
    <t>PF (kVA) = 7.59 + 0.22 x [(kVA - 1.1) / 1.1]</t>
  </si>
  <si>
    <t>Two month capacity (assume 60 days)</t>
  </si>
  <si>
    <t xml:space="preserve">Electricity bill/ per month </t>
  </si>
  <si>
    <t>General Domestic Three-phase (prepaid)</t>
  </si>
  <si>
    <t>PF (kVA) = 10.18 + 0.17 x [(kVA - 3.3) / 3.3]</t>
  </si>
  <si>
    <t>Abidjan</t>
  </si>
  <si>
    <t>General Domestic Single-phase 10A (postpaid)/2.185kVA</t>
  </si>
  <si>
    <t>General Domestic Single-phase 15A (postpaid)/3.28kVA</t>
  </si>
  <si>
    <t>The domestic social single-phase 5 A (prepaid)/1.1kVA</t>
  </si>
  <si>
    <t>General Domestic Single-phase 5A (postpaid)/1.1kVA</t>
  </si>
  <si>
    <t>General Domestic Single-phase 10 A (prepaid)/2.185kVA</t>
  </si>
  <si>
    <t>General Domestic Single-phase 5 A (prepaid)/1.1kVA</t>
  </si>
  <si>
    <t>General Domestic Single-phase 15 A (prepaid)/3.28kVA</t>
  </si>
  <si>
    <t>Domestic social 5A (postpaid)</t>
  </si>
  <si>
    <t>Other Municipalities</t>
  </si>
  <si>
    <t>REP</t>
  </si>
  <si>
    <t>ERC</t>
  </si>
  <si>
    <t>Fuel cost charge</t>
  </si>
  <si>
    <t>WARMA levy</t>
  </si>
  <si>
    <t>Electricity bill</t>
  </si>
  <si>
    <t>GENERAL Résidentiel</t>
  </si>
  <si>
    <t>Fixed charge(Ar/kW)</t>
  </si>
  <si>
    <t>Energy price T1&lt;130kWh (Ar/kWh)</t>
  </si>
  <si>
    <t>Energy price T2&gt;130kWh (Ar/kWh)</t>
  </si>
  <si>
    <t xml:space="preserve">Fee (Ar/month)	</t>
  </si>
  <si>
    <t>Zone1</t>
  </si>
  <si>
    <t>Zone 1 bis</t>
  </si>
  <si>
    <t>Zone 2</t>
  </si>
  <si>
    <t>Zone 3</t>
  </si>
  <si>
    <t>Eco Tariff - Residential Ps &lt; 3 kW</t>
  </si>
  <si>
    <t>Energy price T1&lt;25kWh (Ar/kWh)</t>
  </si>
  <si>
    <t>Energy price T2&gt;25kWh (Ar/kWh)</t>
  </si>
  <si>
    <t>GENERAL Résidentiel(less than 5kW)</t>
  </si>
  <si>
    <t>Energy price T1&lt;70kWh (Ar/kWh)</t>
  </si>
  <si>
    <t>Energy price T2&gt;70kWh (Ar/kWh)</t>
  </si>
  <si>
    <t>VAT=0%</t>
  </si>
  <si>
    <t>VAT=18%</t>
  </si>
  <si>
    <t xml:space="preserve">The reactive power is too large </t>
  </si>
  <si>
    <t>Component</t>
  </si>
  <si>
    <t>Unit</t>
  </si>
  <si>
    <t>Rate</t>
  </si>
  <si>
    <t>Fixed Charge</t>
  </si>
  <si>
    <t>FCFA/Subscriber/Month</t>
  </si>
  <si>
    <t>Energy Price</t>
  </si>
  <si>
    <t>0-50 kWh</t>
  </si>
  <si>
    <t>BT - Social</t>
  </si>
  <si>
    <t>BT - General 3 kW</t>
  </si>
  <si>
    <t>0-150 kWh</t>
  </si>
  <si>
    <t>151-300 kWh</t>
  </si>
  <si>
    <t>&gt; 300 kWh</t>
  </si>
  <si>
    <t>BT - General 6 kW</t>
  </si>
  <si>
    <t>BT - General 12 kW</t>
  </si>
  <si>
    <t>0-500 kWh</t>
  </si>
  <si>
    <t>&gt; 500 kWh</t>
  </si>
  <si>
    <t>BT - General 18 kW</t>
  </si>
  <si>
    <t>BT - General 30 kW</t>
  </si>
  <si>
    <t>Residential tariff for less than 150 kWh, VAT exempt</t>
  </si>
  <si>
    <t>0%( if less than 150kwh) 19%(if greater than 150kwh)</t>
  </si>
  <si>
    <t>https://rise.esmap.org/data/files/library/niger/Electricity%20Access/Niger_Decree%20796%20Electricity%20Tariffs_%202017.pdf</t>
  </si>
  <si>
    <t>Electricty bill</t>
  </si>
  <si>
    <t>Social</t>
  </si>
  <si>
    <t>VAT=19%</t>
  </si>
  <si>
    <t>Band A Non-MD</t>
  </si>
  <si>
    <t>Band A MD1</t>
  </si>
  <si>
    <t>Band A MD2</t>
  </si>
  <si>
    <t>Service Band A (Minimum of 20 hours/day)</t>
  </si>
  <si>
    <t>A - Non-MD: Customers within Band-A Service Level Feeders.</t>
  </si>
  <si>
    <t>A - MD 1: Customers with LV connections in Band-A.</t>
  </si>
  <si>
    <t>A - MD 2: Customers with MV/HV connections (11/33kV) in Band-A, typically large industrial operations.</t>
  </si>
  <si>
    <t>Band B Non-MD</t>
  </si>
  <si>
    <t>Band B MD1</t>
  </si>
  <si>
    <t>Band B MD2</t>
  </si>
  <si>
    <t>Band C Non-MD</t>
  </si>
  <si>
    <t>Band C MD1</t>
  </si>
  <si>
    <t>Band C MD2</t>
  </si>
  <si>
    <t>Band D Non-MD</t>
  </si>
  <si>
    <t>Band D MD1</t>
  </si>
  <si>
    <t>Band D MD2</t>
  </si>
  <si>
    <t>Approved allowed tariff (NGN/kWh)</t>
  </si>
  <si>
    <t>Lifline</t>
  </si>
  <si>
    <t>Service Band B (Minimum of 16 hours/day)</t>
  </si>
  <si>
    <t>B - Non-MD: Customers within Band-B Service Level Feeders.</t>
  </si>
  <si>
    <t>B - MD 1: Customers with LV connections in Band-B.</t>
  </si>
  <si>
    <t>B - MD 2: Customers with MV/HV connections (11/33kV) in Band-B.</t>
  </si>
  <si>
    <t>Service Band C (Minimum of 12 hours/day)</t>
  </si>
  <si>
    <t>C - Non-MD: Customers within Band-C Service Level Feeders.</t>
  </si>
  <si>
    <t>C - MD 1: Customers with LV connections in Band-C.</t>
  </si>
  <si>
    <t>C - MD 2: Customers with MV/HV connections (11/33kV) in Band-C.</t>
  </si>
  <si>
    <t>Service Band D (Minimum of 8 hours/day)</t>
  </si>
  <si>
    <t>D - Non-MD: Customers within Band-D Service Level Feeders.</t>
  </si>
  <si>
    <t>D - MD 1: Customers with LV connections in Band-D.</t>
  </si>
  <si>
    <t>D - MD 2: Customers with MV/HV connections (11/33kV) in Band-D.</t>
  </si>
  <si>
    <t>Lifeline (R1): Customers consuming no more than 50 kWh/month.</t>
  </si>
  <si>
    <t>https://nerc.gov.ng/wp-content/uploads/2024/06/YEDC-MYTO-ORDER-JUNE-2024.pdf</t>
  </si>
  <si>
    <t>Duration</t>
  </si>
  <si>
    <t>Min 4 hrs</t>
  </si>
  <si>
    <t>Min 8 hrs</t>
  </si>
  <si>
    <t>Min 16 hrs</t>
  </si>
  <si>
    <t>Min 23 hrs</t>
  </si>
  <si>
    <t>Non-Maximum Demand (Non-MD): Customers are typically residential or small commercial users who consume electricity at lower, more consistent rates. They are connected to the grid via single-phase or three-phase connections and do not reach the higher electricity demand levels that would classify them as Maximum Demand consumers.
Maximum Demand (MD): customers are large-scale consumers of electricity, such as industrial plants, large commercial complexes, or high-usage facilities. They are characterized by their occasional or regular spikes in electricity usage, reaching the highest demand levels recorded over a specified period. These customers are typically connected to the grid through Low Voltage (LV) or Medium/High Voltage (MV/HV) systems.</t>
  </si>
  <si>
    <t>VAT:7.5%</t>
  </si>
  <si>
    <t>Price per KWH (in dobras)</t>
  </si>
  <si>
    <t>≤ 100 KWH</t>
  </si>
  <si>
    <t>https://www.emae.st/PT/clientes/tarifarios</t>
  </si>
  <si>
    <t>≤ 300 KWH</t>
  </si>
  <si>
    <t>Postpaid energy tariff structure</t>
  </si>
  <si>
    <t>Prepaid energy tariff structure</t>
  </si>
  <si>
    <t>Single-phase</t>
  </si>
  <si>
    <t>Three-phase</t>
  </si>
  <si>
    <t>Connection fee</t>
  </si>
  <si>
    <t>Service</t>
  </si>
  <si>
    <t>Value (in dobros)</t>
  </si>
  <si>
    <t>Water</t>
  </si>
  <si>
    <t>Energy</t>
  </si>
  <si>
    <t>Reconnection at the pole, period less than 1 year</t>
  </si>
  <si>
    <t>Reconnection at the meter, period less than 1 year</t>
  </si>
  <si>
    <t>Reconnection after a period greater than 1 year</t>
  </si>
  <si>
    <t>Temporary connections – Energy</t>
  </si>
  <si>
    <t>For 1 day – 472.97 Dbs</t>
  </si>
  <si>
    <t>For 2 days – 666.98 Dbs</t>
  </si>
  <si>
    <t>For 3 days – 856.87 Dbs</t>
  </si>
  <si>
    <t>Water and energy bill statement</t>
  </si>
  <si>
    <t>Annual industrial fee (Ind)</t>
  </si>
  <si>
    <t>Designation</t>
  </si>
  <si>
    <t>Ind. Single-phase</t>
  </si>
  <si>
    <t>Ind. Three-phase</t>
  </si>
  <si>
    <t>Ind. Industrial Company</t>
  </si>
  <si>
    <t>Energy meter rental</t>
  </si>
  <si>
    <t>Amperage</t>
  </si>
  <si>
    <t>Value_ Meter Type (dobras)</t>
  </si>
  <si>
    <t>20/60</t>
  </si>
  <si>
    <t>30/90</t>
  </si>
  <si>
    <t>100/5</t>
  </si>
  <si>
    <t>Does not exist</t>
  </si>
  <si>
    <t>200/5</t>
  </si>
  <si>
    <t>Domestic-prepaid</t>
  </si>
  <si>
    <t>10/30</t>
  </si>
  <si>
    <t>Domestic-postpaid</t>
  </si>
  <si>
    <t>Phase</t>
  </si>
  <si>
    <t>single phase</t>
  </si>
  <si>
    <t>&gt; 300 KWH</t>
  </si>
  <si>
    <t>dobros per page</t>
  </si>
  <si>
    <t>Assume the electricity bill is one page and only charge 50 dbs per month</t>
  </si>
  <si>
    <t>Monthly Charge</t>
  </si>
  <si>
    <t>Fixed Monthly Fee</t>
  </si>
  <si>
    <t>PS = Subscribed Power</t>
  </si>
  <si>
    <t xml:space="preserve">Final electricity bill </t>
  </si>
  <si>
    <t>Household</t>
  </si>
  <si>
    <t>Final electricity bill</t>
  </si>
  <si>
    <t xml:space="preserve">The calculation of electricty bill in this report is based on third-party estimates of the average residential electricity price. While this approach offers a useful approximation, it is important to acknowledge its limitations due to regional variations and household usage pattern. </t>
  </si>
  <si>
    <t>Households</t>
  </si>
  <si>
    <t>Tier 0</t>
  </si>
  <si>
    <t>Niger's residential electricity tariffs are divided into two types:
Social Tariff: Targeted at households with electricity consumption less than 50 kWh.
Normal BT Tariff: Charges vary based on different power levels.
For tier 5, as defined by the MTF, this report estimates the electricity bills by averaging the different BT tariff methods.</t>
  </si>
  <si>
    <t>Nigeria's residential electricity tariffs are classified as follows:
Lifeline Tariff: For customers with monthly electricity consumption not exceeding 50 kWh. Service Bands:
Band A: Minimum of 20 hours/day
Band B: Minimum of 16 hours/day
Band C: Minimum of 12 hours/day
Band D: Minimum of 8 hours/day
Based on the MTF standards, this report calculates the electricity costs for each tariff category. The final household electricity bill is determined by averaging the costs across different energy tiers for each tariff type.</t>
  </si>
  <si>
    <t>Seychelles' residential electricity tariffs are categorized into three types based on demand and reactive power:
Tariff 110: Applicable for demand less than 2.4 kVA.
Tariff 120: Applicable for demand between 2.4 kVA and 9.6 kVA.
Tariff 130: Applicable for demand greater than 9.6 kVA.
For each energy tier, the final electricity bills are calculated by averaging the expenditures across these tariff types within the respective tier.</t>
  </si>
  <si>
    <t>Final electricty bill</t>
  </si>
  <si>
    <t>Sierra Leone's residential electricity tariffs are categorized as follows:
T1 Social Band: For low-income households with monthly electricity consumption less than 25 kWh, applicable to tiers 1-3.
T1 Normal Band: For households with monthly electricity consumption between 25-200 kWh, applicable to tiers 3-4.
T1 High-End Users: For households with monthly electricity consumption exceeding 200 kWh, applicable to tier 5.</t>
  </si>
  <si>
    <t>Zambia's residential electricity tariffs are divided into four categories based on monthly electricity consumption:
R1: Monthly consumption less than or equal to 100 kWh.
R2: Monthly consumption between 101 and 300 kWh.
R3: Monthly consumption between 301 and 500 kWh.
R4: Monthly consumption greater than 500 kWh.</t>
  </si>
  <si>
    <t/>
  </si>
  <si>
    <t xml:space="preserve">Subscription Fees </t>
  </si>
  <si>
    <t>TDE (Taxe de Développement de l’Electrification )</t>
  </si>
  <si>
    <t>TDE &amp; TSDAAE</t>
  </si>
  <si>
    <t>TSDAAE</t>
  </si>
  <si>
    <t xml:space="preserve">DM &lt;50kWh </t>
  </si>
  <si>
    <t>DM above 50kWh</t>
  </si>
  <si>
    <t>Tariff B1-5A to 15A</t>
  </si>
  <si>
    <t>Tariff B1-20A to 30A</t>
  </si>
  <si>
    <t>Tariff B2-5A to 15A</t>
  </si>
  <si>
    <t>Tariff B2-20A to 30A</t>
  </si>
  <si>
    <t>Malawi's residential electricity tariffs are divided into postpaid and prepaid types, with two connection methods: single phase and three phase. The basic tariff for three phase connections is significantly higher than that for single phase connections.
As of 2020, Escom has converted 90% of its users to pre-paid meters and plans to complete the conversion of the remaining 10% of post-paid users to pre-paid meters as soon as possible. Therefore, the analysis in this report will only consider the pre-paid meter tariff structure for the majority of cases.</t>
  </si>
  <si>
    <t>Escom Source：https://www.nyasatimes.com/escom-migrates-90-per-cent-of-customers-to-prepaid-billing-system/#:~:text=Electricity%20Supply%20Corporation%20of%20Malawi,billing%20system%20in%20the%20country.</t>
  </si>
  <si>
    <t>DM: 51-100</t>
  </si>
  <si>
    <t>DM : 101-200</t>
  </si>
  <si>
    <t>DM:201-300</t>
  </si>
  <si>
    <t>DM:301-400</t>
  </si>
  <si>
    <t>DM:401 and above</t>
  </si>
  <si>
    <t xml:space="preserve"> see the detail</t>
  </si>
  <si>
    <t>HomePower1</t>
  </si>
  <si>
    <t>HomePower2</t>
  </si>
  <si>
    <t>HomePower3</t>
  </si>
  <si>
    <t>HomePower4</t>
  </si>
  <si>
    <t>Network capacity charge(R/POD/day) VAT incl</t>
  </si>
  <si>
    <t>Suite of electricity tariffs based on the size of the supply that provides a subsidy to low-usage single phase residential supplies in Urbanp and electrification areas and has the following charges:</t>
  </si>
  <si>
    <t>An electricity tariff that provides a subsidy to low-usage single phase supplies in Ruralp areas and is only offered as a prepaid supply and has the following charges</t>
  </si>
  <si>
    <t>1R = 100C</t>
  </si>
  <si>
    <t>Cabo Verde</t>
  </si>
  <si>
    <t>https://www.dgenergie.ci/fichiers_uploades/files/Arrete-Interministeriel-n%C2%B0-0644-MMPE-MEF-MBPE-du-7-juin-2023-fixant-les-tarifs-de-lelectricite-Copier-1.pdf</t>
  </si>
  <si>
    <t>Ghana's residential electricity tariffs are divided into two categories: lifeline and normal, depending on the level of electricity consumption. Based on the MTF's classification of electricity usage, the electricity cost for different energy tiers can be calculated. According to the official website and the billing sample provided, the electricity price should be divided by 100.</t>
  </si>
  <si>
    <t>3≤P&lt;50</t>
  </si>
  <si>
    <t>50≤P&lt;200</t>
  </si>
  <si>
    <t>200≤P&lt;800</t>
  </si>
  <si>
    <t>800≤P&lt;2000</t>
  </si>
  <si>
    <t>Max Apparent power</t>
  </si>
  <si>
    <t>In Zimbabwe, electricity pricing follows an Increasing Block Tariff (IBT), with an additional Rural Electrification Levy imposed. This report calculates household electricity bills based on monthly consumption across different energy tiers.</t>
  </si>
  <si>
    <t xml:space="preserve">Single phase voltage: 220V </t>
  </si>
  <si>
    <t>Three phase voltage: 380V</t>
  </si>
  <si>
    <t>https://www.power-sonic.com/blog/single-phase-and-three-phase-voltage-by-country/</t>
  </si>
  <si>
    <t>Domestic Social Single-Phase 5A (postpaid/1.1kVA)</t>
  </si>
  <si>
    <t xml:space="preserve">Single phase voltage: 230V </t>
  </si>
  <si>
    <t>Three phase voltage: 400V</t>
  </si>
  <si>
    <t>Residential electricity prices in Cote d'Ivoire are primarily categorized into postpaid and prepaid types, and further divided into two regions: Abidjan and other municipalities. Social tariffs, designed for households with minimal electricity usage and low incomes. For normal residential electricity tariffs, there are two connection methods: single phase and three phase, each with different charges based on the current. The possible current size is estimated based on the power specifications outlined in the MTF. The final household electricity bill is calculated by averaging the costs across these various tariff forms.</t>
  </si>
  <si>
    <t>Eswatini</t>
  </si>
  <si>
    <t>São Tomé and Príncipe</t>
  </si>
  <si>
    <t>15% (included)</t>
  </si>
  <si>
    <t xml:space="preserve">Domestic metered customer </t>
  </si>
  <si>
    <t>Public Power Utility</t>
  </si>
  <si>
    <t>ENDE</t>
  </si>
  <si>
    <t>The contracted power is the maximum available capacity and is chosen by the consumer. Each contracted power echelon has a specific price. The contracted power is measured in VA (VoltAmpere). The higher contracted power, the greater number of electrical equipment that can be used at the same time.</t>
  </si>
  <si>
    <t>Single-phase voltage/Three-phase Voltage (Volts)</t>
  </si>
  <si>
    <t>220/380</t>
  </si>
  <si>
    <t>Data source link</t>
  </si>
  <si>
    <t>Notes</t>
  </si>
  <si>
    <t xml:space="preserve">ENDE website is inaccessile, I emailed them waiting the feedback </t>
  </si>
  <si>
    <t>Supported Appliances</t>
  </si>
  <si>
    <t>High-power appliances</t>
  </si>
  <si>
    <t>Medium-power appliances</t>
  </si>
  <si>
    <t>Low-power appliances</t>
  </si>
  <si>
    <t>Very low-power appliances</t>
  </si>
  <si>
    <t>Very high-power appliances</t>
  </si>
  <si>
    <t>Min 2000W</t>
  </si>
  <si>
    <t xml:space="preserve">Tariff structure </t>
  </si>
  <si>
    <t>Given that in Angola, electricity bills are influenced by apparent power, it is assumed that the minimum possible apparent power is determined by the MTF standards for each tier.</t>
  </si>
  <si>
    <t>La Société Béninoise d'Energie Electrique (SBEE)</t>
  </si>
  <si>
    <t>https://sbee.bj/particuliers/tarifications/</t>
  </si>
  <si>
    <t>Postpaid Low Voltage (BT) Residential Tariff Structure</t>
  </si>
  <si>
    <t>Social (0-20 kWh)</t>
  </si>
  <si>
    <t xml:space="preserve">FCFA/kWh                                                                                               </t>
  </si>
  <si>
    <t>FCFA/kVA</t>
  </si>
  <si>
    <t>T1</t>
  </si>
  <si>
    <t>T1 (0-250 kWh)</t>
  </si>
  <si>
    <t>T2 (&gt;250 kWh)</t>
  </si>
  <si>
    <t>Flat rate</t>
  </si>
  <si>
    <t xml:space="preserve">FCFA/kWh                                                                                                                                                                                           </t>
  </si>
  <si>
    <t xml:space="preserve"> Prepaid Low Voltage (BT)  Tariff (small businesses）</t>
  </si>
  <si>
    <t>T2</t>
  </si>
  <si>
    <t xml:space="preserve">Social/Domestic </t>
  </si>
  <si>
    <t>see the detail</t>
  </si>
  <si>
    <t>Social tariff (less than 20 kWh) exemt from VAT(18%)</t>
  </si>
  <si>
    <t>BPC</t>
  </si>
  <si>
    <t>Domestic(TOU 4)</t>
  </si>
  <si>
    <t>NESC</t>
  </si>
  <si>
    <t>230/400</t>
  </si>
  <si>
    <t>NESC (LCU/kWh)</t>
  </si>
  <si>
    <t>SONABEL</t>
  </si>
  <si>
    <t>REGIDESO</t>
  </si>
  <si>
    <t>Electricity bill format</t>
  </si>
  <si>
    <t>Additional Information1</t>
  </si>
  <si>
    <t>Additional Information2</t>
  </si>
  <si>
    <t>Additional information3</t>
  </si>
  <si>
    <t>TDE</t>
  </si>
  <si>
    <t xml:space="preserve">REGIDESO website is inaccessile and email address is invalid. </t>
  </si>
  <si>
    <t>ENERCA</t>
  </si>
  <si>
    <t>ECLAIRAGE</t>
  </si>
  <si>
    <t>http://enerca-rca.com/p/service-tarification</t>
  </si>
  <si>
    <t>Domestic(ECLAIRAGE)</t>
  </si>
  <si>
    <t>T1 (0-50 kWh)</t>
  </si>
  <si>
    <t>T2 (50-100 kWh)</t>
  </si>
  <si>
    <t>T3 (&gt;100 kWh)</t>
  </si>
  <si>
    <t xml:space="preserve"> fixed charge</t>
  </si>
  <si>
    <t>143.35 CFA</t>
  </si>
  <si>
    <t>34.02 BWP</t>
  </si>
  <si>
    <t>220/unavailable</t>
  </si>
  <si>
    <t>240/415</t>
  </si>
  <si>
    <t>120/208</t>
  </si>
  <si>
    <t>220/220</t>
  </si>
  <si>
    <t>230/415</t>
  </si>
  <si>
    <t>240/240</t>
  </si>
  <si>
    <t>ELECTRA</t>
  </si>
  <si>
    <t>Domestic(BT normal)</t>
  </si>
  <si>
    <t xml:space="preserve">CIP (LCU/kWh): </t>
  </si>
  <si>
    <t>CIP (LCU/kWh): 1.16 ( from WB Tariff database)</t>
  </si>
  <si>
    <t>15% (included), change to 8% after 2022 (included)</t>
  </si>
  <si>
    <t>Eneo</t>
  </si>
  <si>
    <t>SNE</t>
  </si>
  <si>
    <t xml:space="preserve">SNE doesn't have website, the email address is invalid. </t>
  </si>
  <si>
    <t>Energy charge (LCU/kWh)</t>
  </si>
  <si>
    <t>&gt;150 kWh</t>
  </si>
  <si>
    <t>The tariff structure is sourced from the World Bank's 2014 tariff database and the Council for Promoting South-South Cooperation 2020.</t>
  </si>
  <si>
    <t>http://www.cpssc.org/uploads/file/2022/1642644295402532.pdf</t>
  </si>
  <si>
    <t>Third party source -the Council for Promoting South-South Cooperation &amp;WB</t>
  </si>
  <si>
    <t>SONELEC</t>
  </si>
  <si>
    <t>emailed SONELEC and wait for their  reponse</t>
  </si>
  <si>
    <t>CIE</t>
  </si>
  <si>
    <t>EEC</t>
  </si>
  <si>
    <t>ECG</t>
  </si>
  <si>
    <t>EDG</t>
  </si>
  <si>
    <t>KPLC</t>
  </si>
  <si>
    <t>LEC</t>
  </si>
  <si>
    <t>EDM</t>
  </si>
  <si>
    <t>SOMELEC</t>
  </si>
  <si>
    <t>CEB</t>
  </si>
  <si>
    <t>NIGELEC</t>
  </si>
  <si>
    <t>SNEL</t>
  </si>
  <si>
    <t xml:space="preserve">Website is inaccessible </t>
  </si>
  <si>
    <t>SEGESA</t>
  </si>
  <si>
    <t xml:space="preserve">Eritrean Electricity Corporation (EEC) </t>
  </si>
  <si>
    <t>Website is inaccessible</t>
  </si>
  <si>
    <t>Not sure</t>
  </si>
  <si>
    <t>Small Customer (not mention only for households)</t>
  </si>
  <si>
    <t>https://www.mofcom.gov.cn/dl/gbdqzn/upload/chidaojineiya.pdf</t>
  </si>
  <si>
    <t>XAF/kWh</t>
  </si>
  <si>
    <t>Small customer energy charge</t>
  </si>
  <si>
    <t>The electricity bill calculation in this report is based on third-party documents, which state that small, standard customers are charged 90 XAF per kWh. We assume this rate applies to household customers as well.</t>
  </si>
  <si>
    <t xml:space="preserve"> Rural Electrification Access Fund: 2.5% (included)</t>
  </si>
  <si>
    <t>https://www.eec.co.sz/domestic/tariffs/</t>
  </si>
  <si>
    <t>Ethiopian Electric Utility</t>
  </si>
  <si>
    <t>Société d'Energie et d'Eau du Gabon (SEEG)</t>
  </si>
  <si>
    <t>S1-(BT Social 1 kW)</t>
  </si>
  <si>
    <t>S2-(BT Social 2 kW)</t>
  </si>
  <si>
    <t>03-(BT 3 kW)</t>
  </si>
  <si>
    <t>06-(BT  6 kW)</t>
  </si>
  <si>
    <t>09-(BT  9 kW)</t>
  </si>
  <si>
    <t>12-(BT 12kW)</t>
  </si>
  <si>
    <t>Energy price(F/kWh) exclude tax</t>
  </si>
  <si>
    <t>Special Contribution(F/kWh) exclude tax</t>
  </si>
  <si>
    <t>COM %</t>
  </si>
  <si>
    <t>7% (***)</t>
  </si>
  <si>
    <t>CONTRIBUTION SPECIALE DE SOLIDARITE</t>
  </si>
  <si>
    <t>0% (*****)</t>
  </si>
  <si>
    <t>1% (******)</t>
  </si>
  <si>
    <t>TVA %</t>
  </si>
  <si>
    <t>10% (**)</t>
  </si>
  <si>
    <t>Energy price(F/kWh) include all tax</t>
  </si>
  <si>
    <t>https://www.seeg-gabon.com/med/trf/Presentation_des_tarifs_1582277618493.pdf</t>
  </si>
  <si>
    <t>Each type corresponds to different energy tiers.</t>
  </si>
  <si>
    <t>connection cost</t>
  </si>
  <si>
    <t>NAWEC</t>
  </si>
  <si>
    <t>15%(over 1000kwh per month)</t>
  </si>
  <si>
    <t>VAT1</t>
  </si>
  <si>
    <t>VAT2</t>
  </si>
  <si>
    <t>VAT3</t>
  </si>
  <si>
    <t xml:space="preserve"> DM : from 0-300 kWh         </t>
  </si>
  <si>
    <t xml:space="preserve"> DM : above 300 kWh         </t>
  </si>
  <si>
    <t>DM: other residenyial consumers</t>
  </si>
  <si>
    <t>service charge:(GHp/mo)      lifeline:  2.13                      normal customer:  10.730886</t>
  </si>
  <si>
    <t>https://www.purc.com.gh/attachment/994532-20241029051019.pdf</t>
  </si>
  <si>
    <t>Single phase</t>
  </si>
  <si>
    <t>Three phase</t>
  </si>
  <si>
    <t>https://edg.com.gn/service/comprendre-ma-facture/</t>
  </si>
  <si>
    <t>Domestic-single phase</t>
  </si>
  <si>
    <t>Eletricidade e Águas da Guiné-Bissau - EAGB</t>
  </si>
  <si>
    <t>Bill information</t>
  </si>
  <si>
    <t>Lesotho Electricity and Water Authority -LEWA</t>
  </si>
  <si>
    <t>Lifeline</t>
  </si>
  <si>
    <t>Energy Charge</t>
  </si>
  <si>
    <t>https://lecliberia.com/customer-service/payment-billing/current-tariff/</t>
  </si>
  <si>
    <t>10% (included)</t>
  </si>
  <si>
    <t>0.01 (included)</t>
  </si>
  <si>
    <t xml:space="preserve">JIRAMA </t>
  </si>
  <si>
    <t>ESCOM</t>
  </si>
  <si>
    <t>Domestic(prepaid)</t>
  </si>
  <si>
    <t>Change to prepaid meter during 2020</t>
  </si>
  <si>
    <t>Official Website of the Power Utility Company &amp; Third party source -Ministry of Commerce</t>
  </si>
  <si>
    <t>110A</t>
  </si>
  <si>
    <t>17% included( from WB database)</t>
  </si>
  <si>
    <t>TCN</t>
  </si>
  <si>
    <t>Énergie électrique du Congo</t>
  </si>
  <si>
    <t>https://www.facebook.com/photo/?fbid=266143958526061&amp;set=a.149542256852899</t>
  </si>
  <si>
    <t>18.9% (not sure if includeed, assume included)</t>
  </si>
  <si>
    <t>3kW-Monophase</t>
  </si>
  <si>
    <t>5kW-Monophase</t>
  </si>
  <si>
    <t>9kW-Monophase</t>
  </si>
  <si>
    <t>11.5kW-Monophase</t>
  </si>
  <si>
    <t>12kW-Triphase</t>
  </si>
  <si>
    <t>Advance on Consumption Amount (FCFA)</t>
  </si>
  <si>
    <t>Circuit Breaker Capacity (Amperes)</t>
  </si>
  <si>
    <t>15kW-Triphase</t>
  </si>
  <si>
    <t>18kW-Triphase</t>
  </si>
  <si>
    <t>24kW-Triphase</t>
  </si>
  <si>
    <t>32.9kW-Triphase</t>
  </si>
  <si>
    <t>36kW-Triphase</t>
  </si>
  <si>
    <t>42kW-Triphase</t>
  </si>
  <si>
    <t>46kW-Triphase</t>
  </si>
  <si>
    <t>52kW-Triphase</t>
  </si>
  <si>
    <t>Under the current payment system, customers must make large payments upfront to access electricity. Additionally, there is no information provided on the energy cost per kWh, making it difficult to differentiate electricity charges across different energy tiers. Therefore, we use the average domestic electricty price for calculation.</t>
  </si>
  <si>
    <t>Average residential price：</t>
  </si>
  <si>
    <t>Average residential price</t>
  </si>
  <si>
    <t>EUCL</t>
  </si>
  <si>
    <t>Senelec</t>
  </si>
  <si>
    <t>https://www.senelec.sn/grille-tarifaire</t>
  </si>
  <si>
    <t>Tariff blocks</t>
  </si>
  <si>
    <t>UD</t>
  </si>
  <si>
    <t>Energy charge (FCFA/kWh)</t>
  </si>
  <si>
    <t>0-150kWh</t>
  </si>
  <si>
    <t>151-250kWh</t>
  </si>
  <si>
    <t>&gt;250kWh</t>
  </si>
  <si>
    <t>Prepaid WOYOFAL</t>
  </si>
  <si>
    <t>DPP(Domestic Low Power)</t>
  </si>
  <si>
    <t>DMP(Domestic Medium Power)</t>
  </si>
  <si>
    <t>DGP(Domestic High Power)</t>
  </si>
  <si>
    <t>High Power Usage</t>
  </si>
  <si>
    <t xml:space="preserve">Off-Peak Hours	</t>
  </si>
  <si>
    <t xml:space="preserve">Peak Hours	</t>
  </si>
  <si>
    <t>Monthly Fixed Charge in FCFA/kW</t>
  </si>
  <si>
    <t>Peak Hours: 7 PM to 11 PM</t>
  </si>
  <si>
    <t>Off-Peak Hours: 12 AM to 7 PM and 11 PM to 12 AM</t>
  </si>
  <si>
    <t>Fixed Prime Charge: In FCFA/kW of Subscribed Power</t>
  </si>
  <si>
    <t>DPP-UD</t>
  </si>
  <si>
    <t>DMP-UD</t>
  </si>
  <si>
    <t>DPP-prepaid</t>
  </si>
  <si>
    <t>DMP-prepaid</t>
  </si>
  <si>
    <t>DGP</t>
  </si>
  <si>
    <t>VAT only apply for &gt;250kWh consumption customers</t>
  </si>
  <si>
    <t>18%(only apply for consumption greater than 250kWh per month)</t>
  </si>
  <si>
    <t>PUC</t>
  </si>
  <si>
    <t>Official Website of the Power Utility Company &amp; Third party source -Climatescope by BloombergNEF</t>
  </si>
  <si>
    <t>EDSA</t>
  </si>
  <si>
    <t>Average residential electricity price    69.00 USD/MWh</t>
  </si>
  <si>
    <t>Average residential electricity price    240 USD/MWh</t>
  </si>
  <si>
    <t>IBT/TOU</t>
  </si>
  <si>
    <t>ESKOM</t>
  </si>
  <si>
    <t>SSEC / JEDCO</t>
  </si>
  <si>
    <t>https://www.jedcopower.com/#pricing</t>
  </si>
  <si>
    <t>Official Website of the Power Utility Company (JEDCO)</t>
  </si>
  <si>
    <t>JEDCO is a Private Public Partnership (PPP) company incorporating EZRA Construction &amp; Development Group (ECGD) holding 52% of the shares and South Sudan Electricity Corporation (SSEC) which holds 48% of the shares, which provide electricity for the capital of the south sudan (Juba). No more information about  SSEC tariff.</t>
  </si>
  <si>
    <t>0-100kWh</t>
  </si>
  <si>
    <t>energy charge USD /kWh</t>
  </si>
  <si>
    <t>&gt;100kWh</t>
  </si>
  <si>
    <t>SEDC</t>
  </si>
  <si>
    <t>Based on 2021 currency exchange rate</t>
  </si>
  <si>
    <t>https://ewsdata.rightsindevelopment.org/files/documents/11/WB-P176711.pdf</t>
  </si>
  <si>
    <t>Average electricity price    0.023 USD/kWh</t>
  </si>
  <si>
    <t>Third party source -The world bank</t>
  </si>
  <si>
    <t>17% (not sure if included)</t>
  </si>
  <si>
    <t>EMAE</t>
  </si>
  <si>
    <t>0% (From WB 2014 database)</t>
  </si>
  <si>
    <t xml:space="preserve">Water and Electricity Bill Statement </t>
  </si>
  <si>
    <t>TANESCO</t>
  </si>
  <si>
    <t>CEET</t>
  </si>
  <si>
    <t>https://www.ceet.tg/tg/?page_id=2921</t>
  </si>
  <si>
    <t>Meter rental 500 FCFA                         Connection Maintenance 500 FCFA</t>
  </si>
  <si>
    <t>EWURA: 1%                  REP: 3% (from WB 2014 database)</t>
  </si>
  <si>
    <t>Power  charge (FCFA/kVA/month)</t>
  </si>
  <si>
    <t>Categories</t>
  </si>
  <si>
    <t>Bands</t>
  </si>
  <si>
    <t>Cost(FCFA)</t>
  </si>
  <si>
    <t xml:space="preserve">Domestic usage </t>
  </si>
  <si>
    <t>Subscribed power in kVA</t>
  </si>
  <si>
    <t>Power charge (FCFA/kVA/month)</t>
  </si>
  <si>
    <t>Energy (FCFA/kWh)</t>
  </si>
  <si>
    <t>Social Band (0-40kWh)</t>
  </si>
  <si>
    <t>Band 1 (41-200kWh)</t>
  </si>
  <si>
    <t>Band 2 (201-350kWh)</t>
  </si>
  <si>
    <t>Band 3 (Above 350kWh)</t>
  </si>
  <si>
    <t>Other monthly charge FCFA</t>
  </si>
  <si>
    <t>Meter rental</t>
  </si>
  <si>
    <t>Connection Maintenance</t>
  </si>
  <si>
    <t>Public lighting charge FCFA/kWh</t>
  </si>
  <si>
    <t>less than and equal to2.2</t>
  </si>
  <si>
    <t>&gt;2.2  &amp;  &lt;13.2</t>
  </si>
  <si>
    <t>more than and equal to  13.2</t>
  </si>
  <si>
    <t xml:space="preserve">
Assuming we use the minimum apparent power for each energy tier, we calculate the electricity bill based on the lowest subscribed power level.</t>
  </si>
  <si>
    <t>UEGCL(generation)      UETCL(transmission)                         Umeme limited (private company for distribution)</t>
  </si>
  <si>
    <t>Only the customers whose consumption does not exceed 100 kWh per month can use lifeline tariff</t>
  </si>
  <si>
    <t>https://www.umeme.co.ug/tariffs</t>
  </si>
  <si>
    <t>ZESCO</t>
  </si>
  <si>
    <t>ZETDC(T&amp;D)                                       ZPC(G)</t>
  </si>
  <si>
    <t>Energy charge per kWh (ZiG/kWh)</t>
  </si>
  <si>
    <t>The Rural Electrification Levey is collected by ZETDC on behalf of REA, an organization in Zimbabwe that focuses on bringing power to the rural parts of Zimbabwe.</t>
  </si>
  <si>
    <t>https://zimpricecheck.com/price-updates/zesa-tariffs/?srsltid=AfmBOopqyE2LszPAz3FVDrn3vbMv8cgspbr4aYOyMjSYsNCM8GVhQRWg</t>
  </si>
  <si>
    <t>ZESA</t>
  </si>
  <si>
    <t>Many private power companies are supervised by the ESWG.</t>
  </si>
  <si>
    <t>5% (not sure if included)</t>
  </si>
  <si>
    <t>It is uncertain whether the flat rate applies to household customers, as it typically applies to small LV businesses. For this analysis, flat rate tariffs are excluded. Additionally, we are not considering the prepaid subscription fee, as the focus is solely on estimating electricity bills across different energy tiers.</t>
  </si>
  <si>
    <t>The tariff is based solely on electricity consumption amount, not on kWh usage. A fixed amount is charged within each usage block.</t>
  </si>
  <si>
    <t>https://www.cif.org/sites/default/files/meeting-documents/comoros_eoi_0.pdf</t>
  </si>
  <si>
    <t>Based on 2014 currency exchange rate</t>
  </si>
  <si>
    <t>Domestic usage  (included the tax)</t>
  </si>
  <si>
    <t>The tariff structure is sourced from a third party and is outdated, with no more recent information available.</t>
  </si>
  <si>
    <t>Third party source - Climate Investment Funds</t>
  </si>
  <si>
    <t>Not sure (included)</t>
  </si>
  <si>
    <t>NO VAT INFORMATION</t>
  </si>
  <si>
    <t>In the tariff document</t>
  </si>
  <si>
    <t>18% (included)</t>
  </si>
  <si>
    <t xml:space="preserve">Tariff </t>
  </si>
  <si>
    <t>Energy charge (KES/kWh)</t>
  </si>
  <si>
    <t>Demand charge (KES/kVA)</t>
  </si>
  <si>
    <t>DC-lifeline 0-30 kWh</t>
  </si>
  <si>
    <t>DC-lifeline 31-100 kWh</t>
  </si>
  <si>
    <t>DC2 - domestic &gt;100 kWh</t>
  </si>
  <si>
    <t>Fuel Cost Charge(KES/kWh)</t>
  </si>
  <si>
    <t>Published monthly by KPLC in the Kenya Gazette (but not on their website!). It is reflective of the cost (to KPLC) of generating electricity during the previous month, here using the WB 2014 database.</t>
  </si>
  <si>
    <t>Inflation Adjustment (IA) (KES/kWh)</t>
  </si>
  <si>
    <t>WARMA Levy (KES/kWh)</t>
  </si>
  <si>
    <t>published monthly by KPLC. It is determined from the amount of energy supplied from hydroelectric facilities in the previous month.</t>
  </si>
  <si>
    <t>ERC (KES/kWh)</t>
  </si>
  <si>
    <t>REP Levy</t>
  </si>
  <si>
    <t xml:space="preserve">Power Factor Surcharge </t>
  </si>
  <si>
    <t>A surcharge applied if the consumer's power factor falls below 0.9. The surcharge applied is 2% of the base rate and the demand charge for every 1 per cent by which the Power Factor is below 0.9.</t>
  </si>
  <si>
    <t>16% on demand charge, fuel energy cost and non-fuel energy cost.</t>
  </si>
  <si>
    <t>Energy Consumption</t>
  </si>
  <si>
    <t>Published monthly by KPLC. Factors include the Underlying Consumer Price Index as posted by Kenya National Bureau of Statistics and the Consumer Prices Index for all urban consumers (CPI - U) for the US city average for all items 1982 - 84 as published by the United States Department of Labour Statistics. We are not certain why the cost of Kenyan electricity depends on how much folks in the USA are spending.</t>
  </si>
  <si>
    <t>IA</t>
  </si>
  <si>
    <t xml:space="preserve">Published monthly by KPLC. This includes the sum of the foreign currency costs incurred by KenGen, sum of the foreign currency costs incurred by KPLC other than those costs relating to Electric Power Producer, and the sum of the foreign currency costs incurred by KenGen. No information is available, estimated </t>
  </si>
  <si>
    <t>FERFA</t>
  </si>
  <si>
    <t>Foreign Exchange Rate Fluctuation Adjustment (KES/kWh)</t>
  </si>
  <si>
    <t>Official Website of the Power Utility Company &amp; Third party source - Electricity cost in Kenya</t>
  </si>
  <si>
    <t>Domestic lifeline</t>
  </si>
  <si>
    <t>Include Customer Levies 0.00423 M/kWh and rural eletrification levy is 0.0200 M/kWh for larger customers and 0.0350 M/kWh for others.</t>
  </si>
  <si>
    <t>Unit pirce(FCFA/kWh)</t>
  </si>
  <si>
    <t>51-100 kWh</t>
  </si>
  <si>
    <t>101-200kWh</t>
  </si>
  <si>
    <t>&gt;= 201 kWh</t>
  </si>
  <si>
    <t>VAT(%)</t>
  </si>
  <si>
    <t>10 amps</t>
  </si>
  <si>
    <t>15 amps</t>
  </si>
  <si>
    <t>20 amps</t>
  </si>
  <si>
    <t>25 amps</t>
  </si>
  <si>
    <t>30 amps</t>
  </si>
  <si>
    <t>35 amps</t>
  </si>
  <si>
    <t>40 amps</t>
  </si>
  <si>
    <t>45 amps</t>
  </si>
  <si>
    <t>50 amps</t>
  </si>
  <si>
    <t>55 amps</t>
  </si>
  <si>
    <t>60 apms</t>
  </si>
  <si>
    <t>&gt;200 FCFA/kWh</t>
  </si>
  <si>
    <t>0-200 FCFA/kWh</t>
  </si>
  <si>
    <t>single phase Voltage:220V</t>
  </si>
  <si>
    <t>social Tariff(2-wire meters, 5A)-postpaid</t>
  </si>
  <si>
    <t>101-200 kWh</t>
  </si>
  <si>
    <t>&gt;200 kWh</t>
  </si>
  <si>
    <t>Unit price(FCFA/kWh)</t>
  </si>
  <si>
    <t>Normal tariff(2-wire meters &gt; 5 Amps and 4-wire meters)-postpaid</t>
  </si>
  <si>
    <t>0-200 kWh</t>
  </si>
  <si>
    <t>&gt; 200 kWh</t>
  </si>
  <si>
    <t>Monthly Fee for rental and maintenance(exclude VAT)</t>
  </si>
  <si>
    <t>Domestic-prepaid -5A</t>
  </si>
  <si>
    <t>Domestic-prepaid -10A</t>
  </si>
  <si>
    <t>Domestic-prepaid -15A</t>
  </si>
  <si>
    <t>Domestic-prepaid -20A</t>
  </si>
  <si>
    <t>Domestic-prepaid -25A</t>
  </si>
  <si>
    <t>Domestic-prepaid -30A</t>
  </si>
  <si>
    <t>Domestic-prepaid -35A</t>
  </si>
  <si>
    <t>Domestic-prepaid -40A</t>
  </si>
  <si>
    <t>Domestic-prepaid -45A</t>
  </si>
  <si>
    <t>Domestic-prepaid -50A</t>
  </si>
  <si>
    <t>Domestic-prepaid -55A</t>
  </si>
  <si>
    <t>Domestic-prepaid -60A</t>
  </si>
  <si>
    <t>Final eletricity bill</t>
  </si>
  <si>
    <t>https://eis.ecowas.int/assets/front/medias/doc/media_20221214094744.pdf</t>
  </si>
  <si>
    <t>NORED(D)/ERONGORED(D)/CENORED(D)                                    Nampower(Vertically Integrated Utility)</t>
  </si>
  <si>
    <t xml:space="preserve">see the additional information </t>
  </si>
  <si>
    <t>NORED</t>
  </si>
  <si>
    <t>Social prepaid - pensioner 15 AMP</t>
  </si>
  <si>
    <t xml:space="preserve">Residential prepaid </t>
  </si>
  <si>
    <t xml:space="preserve">Energy Charge N$/kWh </t>
  </si>
  <si>
    <t>ECB levy N$/kWh</t>
  </si>
  <si>
    <t>NEF levy N$/kWh</t>
  </si>
  <si>
    <t>Support tariff are limited to 15A only .</t>
  </si>
  <si>
    <t>The TOU tariff exists, but it's unclear if the target customers include residential users.</t>
  </si>
  <si>
    <t>ERONGO</t>
  </si>
  <si>
    <t>Domestic Conventional (Single phase)</t>
  </si>
  <si>
    <t>Domestic Prepaid (single phase)-lifeline(up to 20 Amp)</t>
  </si>
  <si>
    <t>Domestic Prepaid (single phase)-lifeline(more than 20 Amp)</t>
  </si>
  <si>
    <t>Pensioner pre-paid (single phase)- up to 40 Amp</t>
  </si>
  <si>
    <t>0-100kWh (N$/kWh)</t>
  </si>
  <si>
    <t>101-400kWh (N$/kWh)</t>
  </si>
  <si>
    <t>&gt;400kWh (N$/kWh)</t>
  </si>
  <si>
    <t>Basic N$/Amp/Month</t>
  </si>
  <si>
    <t>Local Authority Surcharge N$/kWh</t>
  </si>
  <si>
    <t>Pensioner Conventional (Single Phase)-up to 40 Amp</t>
  </si>
  <si>
    <t xml:space="preserve">Net metering small renewable - 1 phase domestic </t>
  </si>
  <si>
    <t>standard  time N$/kWh</t>
  </si>
  <si>
    <t>The TOU tariff exists, residential users are only charged by the standard time price.</t>
  </si>
  <si>
    <t>CENORED</t>
  </si>
  <si>
    <t>Residential Post-paid</t>
  </si>
  <si>
    <t>Energy Charge N$/kWh</t>
  </si>
  <si>
    <t>Basic charge N$/month</t>
  </si>
  <si>
    <t>capacity charge N$/Summated Amp/month</t>
  </si>
  <si>
    <t>Electricity distribution in Namibia is primarily handled by three main private companies: Erongo, NORED, and CENORED. In our analysis, we calculated the average electricity bill for each tier.</t>
  </si>
  <si>
    <t>https://www.eskom.co.za/distribution/wp-content/uploads/2024/05/ESK114-Eskom-Digital-Tariff-Booklet-2024_Final.pdf</t>
  </si>
  <si>
    <t>HomePower(standard local authority charges)</t>
  </si>
  <si>
    <t>HomePower(standard non-local authority charges)</t>
  </si>
  <si>
    <t>Homeflex(Non-local authority charges)</t>
  </si>
  <si>
    <t>High demand session (Jun-Aug)</t>
  </si>
  <si>
    <t>Low demand session (Sep-May)</t>
  </si>
  <si>
    <t>Peak</t>
  </si>
  <si>
    <t>Standard</t>
  </si>
  <si>
    <t xml:space="preserve">off peak </t>
  </si>
  <si>
    <t>Active demand charge (c/kWh) included the tax</t>
  </si>
  <si>
    <t>Homeflex1</t>
  </si>
  <si>
    <t>Homeflex2</t>
  </si>
  <si>
    <t>Homeflex3</t>
  </si>
  <si>
    <t>Homeflex4</t>
  </si>
  <si>
    <t>Transmission network charges [R/kVA/m]</t>
  </si>
  <si>
    <t>Network capacity charge [R/POD/day]</t>
  </si>
  <si>
    <t xml:space="preserve">Homepower 1: dual-phase 32 kVA (80 A per phase) three-phase 25 kVA (40 A per phase)                                                                                                                                                                               Homepower 2: dual-phase 64 kVA (150 A per phase) three-phase 50 kVA (80 A per phase)                                                                                                                                                                         Homepower 3:dual-phase 100 kVA (225 A per phase) three-phase 100 kVA (150 A per phase)                                                                                                                                                                                                     Homepower 4:single-phase 16 kVA (80 A per phase)                                                                    </t>
  </si>
  <si>
    <t xml:space="preserve">Homeflex 1: dual-phase 32 kVA (80 A per phase) three-phase 25 kVA (40 A per phase)                                                                                                                                                                               Homeflex 2: dual-phase 64 kVA (150 A per phase) three-phase 50 kVA (80 A per phase)                                                                                                                                                                         Homeflex 3:dual-phase 100 kVA (225 A per phase) three-phase 100 kVA (150 A per phase)                                                                                                                                                      Homeflex 4:single-phase 16 kVA (80 A per phase)                                                                    </t>
  </si>
  <si>
    <t>HomeLight(Non-local authority charges)</t>
  </si>
  <si>
    <t>Homelight 60A</t>
  </si>
  <si>
    <t>Homelight 20A</t>
  </si>
  <si>
    <t>Block 1 [&gt;0-600 kWh]</t>
  </si>
  <si>
    <t>Block 2 [&gt;600 kWh]</t>
  </si>
  <si>
    <t xml:space="preserve">POD is based on the NMD (size) of the supply </t>
  </si>
  <si>
    <t>HomePower4-local</t>
  </si>
  <si>
    <t>HomePower4-no local</t>
  </si>
  <si>
    <t>Network capacity charge (R/POD/day)</t>
  </si>
  <si>
    <t>Service Charge (R/POD/day)</t>
  </si>
  <si>
    <t>Landrate 1</t>
  </si>
  <si>
    <t>Landrate 2</t>
  </si>
  <si>
    <t>Landrate 3</t>
  </si>
  <si>
    <t>Landrate 4</t>
  </si>
  <si>
    <t>Landlight 20A</t>
  </si>
  <si>
    <t>Landlight 60A</t>
  </si>
  <si>
    <t>Landrate Dx*</t>
  </si>
  <si>
    <t>Landrate (local authority charge)</t>
  </si>
  <si>
    <t>Landrate/Landlight (Non-local authority charge)</t>
  </si>
  <si>
    <t>Landrate1: single-phase 16 kVA (80 A per phase) dual-phase 32 kVA (80 A per phase) three-phase 25 kVA (40 A per phase)                                                                                            Landrate 2: dual-phase 64 kVA (150 A per phase) three-phase 50 kVA (80 A per phase)                                                                                                                                                                                     Landrate 3: dual-phase 100 kVA (225 A per phase) three-phase 100 kVA (150 A per phase)                                                                                                                                                                                      Landrate 4:single-phase 16 kVA (80 A per phase)                                                                                                                                                                                                                                    Landrate Dx: single-phase 5 kVA (limited to 10 A per phase)                                                                                                                                                                                                                          Landlight 20A: single-phase 20A                                                                                                                                                                                                                                                      Landlight 60A:single-phase 60A</t>
  </si>
  <si>
    <t>Landrate 1-local</t>
  </si>
  <si>
    <t>Landrate 1-no local</t>
  </si>
  <si>
    <t>Landrate 4-local</t>
  </si>
  <si>
    <t>Landrate 4- no local</t>
  </si>
  <si>
    <t>Landrate Dx*-local</t>
  </si>
  <si>
    <t>Landrate Dx*-no local</t>
  </si>
  <si>
    <r>
      <t xml:space="preserve">Homelight 20A : 20A supply size (NMD) typically for low-consuming supplies.      Homelight 60A: 60A prepayment or 80A* smart-meter prepayment or 80A post-paid supply size (NMD) typically for medium- to high-consuming supplies.                                                                </t>
    </r>
    <r>
      <rPr>
        <sz val="12"/>
        <color rgb="FFFF0000"/>
        <rFont val="Aptos Narrow (Body)"/>
      </rPr>
      <t xml:space="preserve">Homelight: A subsidized tariff for single-phase residential customers in urban areas with low usage. </t>
    </r>
    <r>
      <rPr>
        <sz val="12"/>
        <color theme="1"/>
        <rFont val="Aptos Narrow"/>
        <family val="2"/>
        <scheme val="minor"/>
      </rPr>
      <t>Homelight tariffs are partly subsidized and don't have capacity charges. Eskom typically supplies Homelight 20A to informal settlements and Homelight 60A to private households.</t>
    </r>
  </si>
  <si>
    <t>Detailed residential tariff structure</t>
  </si>
  <si>
    <t>The world bank (1):</t>
  </si>
  <si>
    <t xml:space="preserve">Official Website of the Power Utility Company </t>
  </si>
  <si>
    <t>DM: 51-100 kwh</t>
  </si>
  <si>
    <t>http://www.eeu.gov.et/electricity-tariff/detail/938?lang=am</t>
  </si>
  <si>
    <t>2020-Valid until now</t>
  </si>
  <si>
    <t>2023-Valid until now</t>
  </si>
  <si>
    <t>DM: 101-200 kwh</t>
  </si>
  <si>
    <t xml:space="preserve">DM: 201-300 kwh </t>
  </si>
  <si>
    <t xml:space="preserve">DM: 301-400 kwh </t>
  </si>
  <si>
    <t>DM: 401-500 kwh</t>
  </si>
  <si>
    <t xml:space="preserve">Final Electricity bill </t>
  </si>
  <si>
    <t>Social tariff definition</t>
  </si>
  <si>
    <t>Connection information</t>
  </si>
  <si>
    <t>Connection fee payment method</t>
  </si>
  <si>
    <t>Pay 40% of the connection cots upfront with the remainder being paid within three months</t>
  </si>
  <si>
    <r>
      <t xml:space="preserve">Current standard connetion fee is </t>
    </r>
    <r>
      <rPr>
        <b/>
        <u/>
        <sz val="12"/>
        <color theme="10"/>
        <rFont val="Aptos Narrow"/>
        <scheme val="minor"/>
      </rPr>
      <t>M2000</t>
    </r>
    <r>
      <rPr>
        <u/>
        <sz val="12"/>
        <color theme="10"/>
        <rFont val="Aptos Narrow"/>
        <family val="2"/>
        <scheme val="minor"/>
      </rPr>
      <t xml:space="preserve">, there is a proposal to increase the connection fee, not sure if it is approved. </t>
    </r>
  </si>
  <si>
    <t xml:space="preserve">Lifeline tariff definition </t>
  </si>
  <si>
    <t xml:space="preserve">The lifeline tariff was introduced in 2019 with the stated aim of supporting vulnerable groups, such as the poor, orphans, the elderly, the unemployed, and low-income earners. There is an atricle shows that the lifline tariff has a threshold of up to 30 kWh/month. </t>
  </si>
  <si>
    <t xml:space="preserve">Households </t>
  </si>
  <si>
    <t>Linear/TOU/IBT</t>
  </si>
  <si>
    <t>Linear/VDT</t>
  </si>
  <si>
    <t>Max Apparent Power</t>
  </si>
  <si>
    <t xml:space="preserve">&gt;3KVA &amp; &lt;9.9 KVA </t>
  </si>
  <si>
    <t xml:space="preserve">&gt;9.9KVA </t>
  </si>
  <si>
    <t xml:space="preserve">Max Apparent power </t>
  </si>
  <si>
    <t>Link</t>
  </si>
  <si>
    <t>2000≤P≤14000</t>
  </si>
  <si>
    <t>2≤P≤14</t>
  </si>
  <si>
    <t xml:space="preserve"> Maximum Current-single phase</t>
  </si>
  <si>
    <t>kWh</t>
  </si>
  <si>
    <t>General Domestic Single-phase 5A/1.1kVA (postpaid)</t>
  </si>
  <si>
    <t>General Domestic Single-phase 10A/2.185kVA (postpaid)</t>
  </si>
  <si>
    <t>General Domestic Single-phase 15A/3.28kVA (postpaid)</t>
  </si>
  <si>
    <t>General Domestic Single-phase 5 A/1.1kVA (prepaid)</t>
  </si>
  <si>
    <t>General Domestic Single-phase 10 A/2.185A (prepaid)</t>
  </si>
  <si>
    <t>General Domestic Single-phase 15 A/3.28kVA (prepaid)</t>
  </si>
  <si>
    <t>unit</t>
  </si>
  <si>
    <t xml:space="preserve"> (kWh)</t>
  </si>
  <si>
    <t>Medium</t>
  </si>
  <si>
    <t>Sum</t>
  </si>
  <si>
    <t>Laptop</t>
  </si>
  <si>
    <t>TV</t>
  </si>
  <si>
    <t>Oven</t>
  </si>
  <si>
    <t>Microwave</t>
  </si>
  <si>
    <t>Washing machine</t>
  </si>
  <si>
    <t>LED lighting</t>
  </si>
  <si>
    <t>Vacuum cleaner</t>
  </si>
  <si>
    <t>Electric cookstove</t>
  </si>
  <si>
    <t>Refrigerator</t>
  </si>
  <si>
    <t>Window air conditioner</t>
  </si>
  <si>
    <t>Range (w)</t>
  </si>
  <si>
    <t>https://www.tcl.com/uk/en/blog/how-much-electricity-does-an-air-conditioner-use#:~:text=How%20Much%20Electricity%20Does%20an%20Air%20Conditioner%20Use%3F,consume%20between%202900%20and%204100.</t>
  </si>
  <si>
    <t>https://www.energysage.com/electricity/house-watts/how-many-watts-does-a-refrigerator-use/</t>
  </si>
  <si>
    <t>https://www.renogy.com/blog/how-many-watts-does-an-electric-stove-use#:~:text=Most%20electric%20stove%20burners%20come,power%20consumption%20will%20be%201kWh.</t>
  </si>
  <si>
    <t>https://www.techradar.com/home/vacuums/how-many-watts-of-power-is-good-for-a-vacuum-cleaner</t>
  </si>
  <si>
    <t>https://www.energysage.com/electricity/house-watts/how-many-watts-does-a-light-bulb-use/</t>
  </si>
  <si>
    <t>https://www.energysage.com/electricity/house-watts/how-many-watts-does-a-washing-machine-use/</t>
  </si>
  <si>
    <t>https://www.energysage.com/electricity/house-watts/how-many-watts-does-microwave-use/</t>
  </si>
  <si>
    <t>https://www.energysage.com/electricity/house-watts/how-many-watts-does-an-electric-oven-and-stove-use/</t>
  </si>
  <si>
    <t>https://www.jackery.com/blogs/knowledge/how-many-watts-does-a-water-heater-use#:~:text=Most%20residential%20electric%20water%20heaters,hours%2C%20eliminating%20high%20electricity%20bills.</t>
  </si>
  <si>
    <t>Eletric Water heating</t>
  </si>
  <si>
    <t>https://www.energysage.com/electricity/house-watts/how-many-watts-does-a-tv-use/</t>
  </si>
  <si>
    <t>https://www.energysage.com/electricity/house-watts/how-many-watts-does-a-computer-use/</t>
  </si>
  <si>
    <t xml:space="preserve">Also, from an article, the peak power for a household before diversity is around 14kW, we assume in Tier 5, most of the household applicance mentioned above operate at the same time. </t>
  </si>
  <si>
    <t xml:space="preserve"> Maximum Current-three phase</t>
  </si>
  <si>
    <t>Notes: Not sure the size of the the energy portion and taxable energy portion and the value to be calculated based on the subscribed power of the customer.</t>
  </si>
  <si>
    <t xml:space="preserve">Max active power </t>
  </si>
  <si>
    <t>Energy consumption (LUC/kWh)</t>
  </si>
  <si>
    <t xml:space="preserve">Maximum Apparent power </t>
  </si>
  <si>
    <t>Maximum Current -single phase</t>
  </si>
  <si>
    <t>Social-postpaid -5A</t>
  </si>
  <si>
    <t>Domestic-postpaid &gt;5A</t>
  </si>
  <si>
    <t>Single phase meter with 5A-prepaid</t>
  </si>
  <si>
    <t xml:space="preserve">Single-Phase meters with More Than 5 Amps-prepaid </t>
  </si>
  <si>
    <t>Max Active power</t>
  </si>
  <si>
    <t>Hour</t>
  </si>
  <si>
    <t>Max Current -single phase</t>
  </si>
  <si>
    <t>Energy Charge(&gt;0-600 kWh) VAT Incl (R/kWh)</t>
  </si>
  <si>
    <t>Energy Charge(&gt;600 kWh) VAT Incl (R/kWh)</t>
  </si>
  <si>
    <t>Energy Charge [R/kWh] include VAT</t>
  </si>
  <si>
    <t>Energy charge (R/kWh) included VAT</t>
  </si>
  <si>
    <t>Network demand charge (R/kWh)</t>
  </si>
  <si>
    <t xml:space="preserve">Ancillary service charge (R/kWh) include VAT </t>
  </si>
  <si>
    <t>Max current -single phase</t>
  </si>
  <si>
    <t>São Tomé and Principe's residential electricity tariffs are divided into postpaid and prepaid categories. The tariffs vary based on amperage.The final household electricity bill is determined by averaging the costs across the different tariff structures and conditions.</t>
  </si>
  <si>
    <t>Do not exist</t>
  </si>
  <si>
    <t>Less than 2.2 kVA</t>
  </si>
  <si>
    <t>Exempt from the social bracket</t>
  </si>
  <si>
    <t>Residential prepaid</t>
  </si>
  <si>
    <t>Social prepaid (IBT) 1 phase up to 20 Amps</t>
  </si>
  <si>
    <t>Block 1 (first 50 kWh/month)</t>
  </si>
  <si>
    <t>Block 2 (Next 150 kWh/month)</t>
  </si>
  <si>
    <t>Block 1 (More  kWh/month)</t>
  </si>
  <si>
    <t>Social prepaid (IBT) 1 phase up to 40 Amps</t>
  </si>
  <si>
    <t xml:space="preserve">For CENORED, All new residential connections will be metered by prepayment meter, except where net metering installations are applied for and approved in 2022, thus, only consider prepaid tariff tye in calculation. The Social Prepaid (support) tariff is available only to residential properties without any form of business activity in towns, villages and settlement areas. The national average consumption of residential end-users on prepaid connections amounts to some 290kWh/month. </t>
  </si>
  <si>
    <t>VAT =19%</t>
  </si>
  <si>
    <t>VDT</t>
  </si>
  <si>
    <t>Fixed charge / month</t>
  </si>
  <si>
    <t>VAT = 0%</t>
  </si>
  <si>
    <t>Birr/month</t>
  </si>
  <si>
    <t>DM: &gt;50 kWh</t>
  </si>
  <si>
    <t>The EEU tariff is updated quarterly, and the report presents data for the third quarter of 2024.</t>
  </si>
  <si>
    <t>Service charge - postpaid</t>
  </si>
  <si>
    <t>Service charge - prepaid</t>
  </si>
  <si>
    <t>domestic - postpaid</t>
  </si>
  <si>
    <t>domestic - prepaid</t>
  </si>
  <si>
    <t>Daily eletricity consumption</t>
  </si>
  <si>
    <t>VAT = 18%</t>
  </si>
  <si>
    <t>VAT = 15%</t>
  </si>
  <si>
    <t>VAT:10%(included)</t>
  </si>
  <si>
    <t>The social tariff is offered when consumption is below 50 kWh per month,Typically, domestic households use single-phase connections for regular household activities, while three-phase connections are more common for domestic production purposes. The final electricity bill is calculated based on the average tariffs across various energy tiers.</t>
  </si>
  <si>
    <t xml:space="preserve">Eswatini’s residential electricity tariffs are divided into two categories:
S10 Lifeline: Designed for low-income households, they must meet both the criteria set below:
1. Economic status (household income not above E3,500) 2. Average monthly consumption level (not above 75 kWh or 75 units).                                                                                                                                   S1 Domestic: Standard residential tariff.
</t>
  </si>
  <si>
    <t>GNF</t>
  </si>
  <si>
    <t>Post- paid Domestic Tairff</t>
  </si>
  <si>
    <t xml:space="preserve">Energy charge </t>
  </si>
  <si>
    <t>Energy charge</t>
  </si>
  <si>
    <t xml:space="preserve">5-15A </t>
  </si>
  <si>
    <t>20-45 A</t>
  </si>
  <si>
    <t>Subscribed Power (kVA)</t>
  </si>
  <si>
    <t>1.1 - 3.3 kVA</t>
  </si>
  <si>
    <t>4.4 - 9.9 kVA</t>
  </si>
  <si>
    <t>Pre - paid Domestic Tairff</t>
  </si>
  <si>
    <t>Domestic - prepaid</t>
  </si>
  <si>
    <t xml:space="preserve">Domestc - postpaid </t>
  </si>
  <si>
    <t>Madagascar's residential electricity tariffs are divided into four distinct regions: Zone 1, Zone 1 bis, Zone 2, and Zone 3. Each region offers two types of tariffs: the Eco tariff for consumption below 3 kW and the general residential tariff. In Zone 1, the general residential tariffs have two types, one is only applicable for consumption below 5 kW (we only consider the general one). To standardize subsequent calculations, this report uses the average electricity costs across the different tariff types and regions to represent the national household electricity bill.</t>
  </si>
  <si>
    <t>The applicant will be requested to pay a connection fee and a security deposit before connecting to the grid.  Mauritius's residential electricity tariffs are categorized as follows:
Tariff 110A: The average electricity consumption shall not exceed 85 kWh per month.
Tariff 110: Applies to connected loads less than 300W.
Tariff 120: Applies to connected loads from 301W to 5000W.
Tariff 140: Applies to connected loads exceeding 5000W.
This report calculates electricity bills for different energy tiers based on the various tariff structures. The final domestic electricity bills is determined by averaging the costs across the different tariff structures for each energy tier.</t>
  </si>
  <si>
    <t>Tariff 110A ( less than 85 kwh per month)</t>
  </si>
  <si>
    <t xml:space="preserve">Mauritania's residential electricity tariffs are divided into social tariffs and  normal tariff which depend on varying levels of reactive power. Based on the MTF power standards, this report estimates the possible reactive power for five different energy tiers. </t>
  </si>
  <si>
    <t>Mozambique's residential electricity tariffs are divided into two types:
Social Tariff (less than 100 kWh per month) The final domestic electricity bill is calculated by averaging the costs of both tariff types.</t>
  </si>
  <si>
    <t>The electricity bill calculations in this report are based on World Bank estimates of average electricity prices. A lifeline tariff exists for energy consumption below 100 kWh; however, detailed information on this tariff structure is unavailable.</t>
  </si>
  <si>
    <t xml:space="preserve">ESKOM provide both  rural and urban tariffs.Homelight and Landlight are provided for low-usage customers in urban and rural areas, respectively. Homepower and Landrate are the standard tariffs for urban and rural regions, catogorized by kWh and current levels based on the  MTF standard. We only consider the urban tariffs in our calculation. </t>
  </si>
  <si>
    <t>Assume that the low-power tariff applies to tiers 1-2, the medium-power tariff to tiers 3, and the high-power tariff to tier 4-5. Also, assume that 60% of electricity usage occurs during peak hours and 40% during off-peak hours. For the final electricity bill, we will calculate an average based on the tariff structure within each energy tier.</t>
  </si>
  <si>
    <t>Domestic Prepaid (single phase)-(more than 20 Amp)</t>
  </si>
  <si>
    <r>
      <rPr>
        <sz val="12"/>
        <color rgb="FF0070C0"/>
        <rFont val="Aptos Narrow (Body)"/>
      </rPr>
      <t xml:space="preserve">The Ministry of Commerce (4) </t>
    </r>
    <r>
      <rPr>
        <sz val="12"/>
        <color theme="1"/>
        <rFont val="Aptos Narrow"/>
        <family val="2"/>
        <scheme val="minor"/>
      </rPr>
      <t>:</t>
    </r>
  </si>
  <si>
    <t>Climatescope by BloombergNEF (4):</t>
  </si>
  <si>
    <r>
      <t>The tariff structure for</t>
    </r>
    <r>
      <rPr>
        <b/>
        <sz val="12"/>
        <color theme="1"/>
        <rFont val="Aptos Narrow"/>
        <scheme val="minor"/>
      </rPr>
      <t xml:space="preserve"> 38 countries</t>
    </r>
    <r>
      <rPr>
        <sz val="12"/>
        <color theme="1"/>
        <rFont val="Aptos Narrow"/>
        <family val="2"/>
        <scheme val="minor"/>
      </rPr>
      <t xml:space="preserve"> comes from the latest data currently in use on the Official Website of the Power Utility Company.</t>
    </r>
  </si>
  <si>
    <r>
      <t>The tariff structure data for 10</t>
    </r>
    <r>
      <rPr>
        <b/>
        <sz val="12"/>
        <color theme="1"/>
        <rFont val="Aptos Narrow"/>
        <scheme val="minor"/>
      </rPr>
      <t xml:space="preserve"> countries </t>
    </r>
    <r>
      <rPr>
        <sz val="12"/>
        <color theme="1"/>
        <rFont val="Aptos Narrow"/>
        <family val="2"/>
        <scheme val="minor"/>
      </rPr>
      <t>originates from third-party institutions. Detailed information is as follows:</t>
    </r>
  </si>
  <si>
    <t>prepaid tariff</t>
  </si>
  <si>
    <t>social - prepaid tariff</t>
  </si>
  <si>
    <t>Houshold-prepaid tariff</t>
  </si>
  <si>
    <t xml:space="preserve">Union of the Comoros (1): </t>
  </si>
  <si>
    <t>Energy 5 household appliance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</si>
</sst>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
    <numFmt numFmtId="165" formatCode="0.000"/>
    <numFmt numFmtId="166" formatCode="0.0000000"/>
    <numFmt numFmtId="167" formatCode="#,##0.00000"/>
  </numFmts>
  <fonts count="35">
    <font>
      <sz val="12"/>
      <color theme="1"/>
      <name val="Aptos Narrow"/>
      <family val="2"/>
      <scheme val="minor"/>
    </font>
    <font>
      <b/>
      <sz val="12"/>
      <color theme="1"/>
      <name val="Aptos Narrow"/>
      <scheme val="minor"/>
    </font>
    <font>
      <u/>
      <sz val="12"/>
      <color theme="10"/>
      <name val="Aptos Narrow"/>
      <family val="2"/>
      <scheme val="minor"/>
    </font>
    <font>
      <sz val="11"/>
      <color rgb="FF000000"/>
      <name val="Calibri"/>
      <family val="2"/>
    </font>
    <font>
      <sz val="12"/>
      <color rgb="FF000000"/>
      <name val="Aptos Narrow"/>
      <family val="2"/>
      <scheme val="minor"/>
    </font>
    <font>
      <sz val="12"/>
      <color rgb="FF333333"/>
      <name val="Arial"/>
      <family val="2"/>
    </font>
    <font>
      <b/>
      <sz val="12"/>
      <color rgb="FF0000FF"/>
      <name val="Arial"/>
      <family val="2"/>
    </font>
    <font>
      <sz val="10"/>
      <color rgb="FF000000"/>
      <name val="Arial"/>
      <family val="2"/>
    </font>
    <font>
      <b/>
      <sz val="10"/>
      <color rgb="FF000000"/>
      <name val="Arial"/>
      <family val="2"/>
    </font>
    <font>
      <u/>
      <sz val="11"/>
      <color rgb="FF0000FF"/>
      <name val="Calibri"/>
      <family val="2"/>
    </font>
    <font>
      <sz val="11"/>
      <color rgb="FF555555"/>
      <name val="Arial"/>
      <family val="2"/>
    </font>
    <font>
      <sz val="8"/>
      <name val="Aptos Narrow"/>
      <family val="2"/>
      <scheme val="minor"/>
    </font>
    <font>
      <sz val="12"/>
      <color theme="4" tint="0.39997558519241921"/>
      <name val="Aptos Narrow (Body)"/>
    </font>
    <font>
      <sz val="12"/>
      <color theme="4" tint="0.59999389629810485"/>
      <name val="Aptos Narrow"/>
      <family val="2"/>
      <scheme val="minor"/>
    </font>
    <font>
      <sz val="12"/>
      <name val="Aptos Narrow"/>
      <family val="2"/>
      <scheme val="minor"/>
    </font>
    <font>
      <sz val="12"/>
      <name val="Aptos Narrow"/>
      <scheme val="minor"/>
    </font>
    <font>
      <b/>
      <sz val="12"/>
      <name val="Aptos Narrow"/>
      <scheme val="minor"/>
    </font>
    <font>
      <sz val="12"/>
      <color rgb="FF0070C0"/>
      <name val="Aptos Narrow (Body)"/>
    </font>
    <font>
      <sz val="12"/>
      <color rgb="FFFF0000"/>
      <name val="Aptos Narrow (Body)"/>
    </font>
    <font>
      <sz val="12"/>
      <color rgb="FFFF0000"/>
      <name val="Aptos Narrow"/>
      <family val="2"/>
      <scheme val="minor"/>
    </font>
    <font>
      <b/>
      <sz val="12"/>
      <color theme="1"/>
      <name val="Aptos Narrow"/>
      <family val="2"/>
      <scheme val="minor"/>
    </font>
    <font>
      <sz val="12"/>
      <color theme="1"/>
      <name val="Aptos Narrow"/>
      <scheme val="minor"/>
    </font>
    <font>
      <b/>
      <sz val="12"/>
      <color rgb="FF000000"/>
      <name val="Aptos Narrow"/>
      <scheme val="minor"/>
    </font>
    <font>
      <sz val="12"/>
      <color theme="1"/>
      <name val="Aptos Narrow (Body)"/>
    </font>
    <font>
      <sz val="12"/>
      <color rgb="FF000000"/>
      <name val="Aptos Narrow"/>
      <scheme val="minor"/>
    </font>
    <font>
      <sz val="18"/>
      <color theme="1"/>
      <name val="Aptos Narrow (Body)"/>
    </font>
    <font>
      <u/>
      <sz val="12"/>
      <color theme="4"/>
      <name val="Aptos Narrow"/>
      <scheme val="minor"/>
    </font>
    <font>
      <u/>
      <sz val="12"/>
      <color theme="4"/>
      <name val="Aptos Narrow"/>
      <family val="2"/>
      <scheme val="minor"/>
    </font>
    <font>
      <sz val="14"/>
      <color theme="1"/>
      <name val="Aptos Narrow (Body)"/>
    </font>
    <font>
      <u/>
      <sz val="12"/>
      <color theme="1"/>
      <name val="Aptos Narrow"/>
      <scheme val="minor"/>
    </font>
    <font>
      <u/>
      <sz val="12"/>
      <color theme="1"/>
      <name val="Aptos Narrow"/>
      <family val="2"/>
      <scheme val="minor"/>
    </font>
    <font>
      <i/>
      <sz val="12"/>
      <color theme="1"/>
      <name val="Aptos Narrow"/>
      <scheme val="minor"/>
    </font>
    <font>
      <sz val="12"/>
      <color rgb="FF0070C0"/>
      <name val="Aptos Narrow"/>
      <scheme val="minor"/>
    </font>
    <font>
      <b/>
      <u/>
      <sz val="12"/>
      <color theme="10"/>
      <name val="Aptos Narrow"/>
      <scheme val="minor"/>
    </font>
    <font>
      <sz val="16"/>
      <color theme="1"/>
      <name val="Aptos Narrow (Body)"/>
    </font>
  </fonts>
  <fills count="13">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BFBFBF"/>
        <bgColor rgb="FF000000"/>
      </patternFill>
    </fill>
    <fill>
      <patternFill patternType="solid">
        <fgColor theme="5" tint="0.5999938962981048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rgb="FFFFFF00"/>
        <bgColor indexed="64"/>
      </patternFill>
    </fill>
    <fill>
      <patternFill patternType="solid">
        <fgColor theme="9" tint="0.79998168889431442"/>
        <bgColor indexed="64"/>
      </patternFill>
    </fill>
    <fill>
      <patternFill patternType="solid">
        <fgColor theme="2"/>
        <bgColor indexed="64"/>
      </patternFill>
    </fill>
    <fill>
      <patternFill patternType="solid">
        <fgColor theme="1"/>
        <bgColor indexed="64"/>
      </patternFill>
    </fill>
  </fills>
  <borders count="55">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599">
    <xf numFmtId="0" fontId="0" fillId="0" borderId="0" xfId="0"/>
    <xf numFmtId="0" fontId="0" fillId="0" borderId="0" xfId="0" applyAlignment="1">
      <alignment horizontal="center"/>
    </xf>
    <xf numFmtId="0" fontId="0" fillId="0" borderId="0" xfId="0" applyAlignment="1">
      <alignment vertical="center"/>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2" fillId="0" borderId="0" xfId="1"/>
    <xf numFmtId="0" fontId="0" fillId="2" borderId="0" xfId="0" applyFill="1"/>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wrapText="1"/>
    </xf>
    <xf numFmtId="0" fontId="2" fillId="0" borderId="0" xfId="1" applyFill="1" applyAlignment="1">
      <alignment horizontal="center" vertical="center"/>
    </xf>
    <xf numFmtId="0" fontId="0" fillId="0" borderId="0" xfId="0" applyAlignment="1">
      <alignment vertical="center" wrapText="1"/>
    </xf>
    <xf numFmtId="0" fontId="0" fillId="0" borderId="3" xfId="0" applyBorder="1"/>
    <xf numFmtId="0" fontId="0" fillId="0" borderId="4" xfId="0" applyBorder="1"/>
    <xf numFmtId="0" fontId="0" fillId="0" borderId="5" xfId="0" applyBorder="1"/>
    <xf numFmtId="10" fontId="7" fillId="5" borderId="4" xfId="0" applyNumberFormat="1" applyFont="1" applyFill="1" applyBorder="1" applyAlignment="1">
      <alignment horizontal="center" vertical="center"/>
    </xf>
    <xf numFmtId="0" fontId="7" fillId="0" borderId="4" xfId="0" applyFont="1" applyBorder="1" applyAlignment="1">
      <alignment vertical="center"/>
    </xf>
    <xf numFmtId="0" fontId="0" fillId="0" borderId="1" xfId="0" applyBorder="1"/>
    <xf numFmtId="0" fontId="0" fillId="0" borderId="6" xfId="0" applyBorder="1"/>
    <xf numFmtId="0" fontId="2" fillId="0" borderId="0" xfId="1" applyBorder="1" applyAlignment="1">
      <alignment horizontal="left" vertical="top"/>
    </xf>
    <xf numFmtId="0" fontId="0" fillId="0" borderId="7" xfId="0" applyBorder="1"/>
    <xf numFmtId="0" fontId="10" fillId="0" borderId="8" xfId="0" applyFont="1" applyBorder="1"/>
    <xf numFmtId="0" fontId="0" fillId="0" borderId="9" xfId="0" applyBorder="1"/>
    <xf numFmtId="0" fontId="0" fillId="0" borderId="2" xfId="0" applyBorder="1"/>
    <xf numFmtId="0" fontId="0" fillId="0" borderId="10" xfId="0" applyBorder="1"/>
    <xf numFmtId="0" fontId="0" fillId="0" borderId="11" xfId="0" applyBorder="1"/>
    <xf numFmtId="0" fontId="0" fillId="0" borderId="12" xfId="0" applyBorder="1"/>
    <xf numFmtId="0" fontId="0" fillId="4" borderId="11" xfId="0" applyFill="1" applyBorder="1"/>
    <xf numFmtId="0" fontId="0" fillId="4" borderId="12" xfId="0" applyFill="1" applyBorder="1"/>
    <xf numFmtId="0" fontId="0" fillId="4" borderId="10" xfId="0" applyFill="1" applyBorder="1"/>
    <xf numFmtId="0" fontId="4" fillId="0" borderId="0" xfId="0" applyFont="1"/>
    <xf numFmtId="0" fontId="0" fillId="0" borderId="3" xfId="0" applyBorder="1" applyAlignment="1">
      <alignment horizontal="center"/>
    </xf>
    <xf numFmtId="0" fontId="0" fillId="0" borderId="4" xfId="0" applyBorder="1" applyAlignment="1">
      <alignment horizontal="center"/>
    </xf>
    <xf numFmtId="0" fontId="0" fillId="0" borderId="7" xfId="0" applyBorder="1" applyAlignment="1">
      <alignment wrapText="1"/>
    </xf>
    <xf numFmtId="0" fontId="0" fillId="0" borderId="8" xfId="0" applyBorder="1"/>
    <xf numFmtId="0" fontId="0" fillId="0" borderId="8" xfId="0" applyBorder="1" applyAlignment="1">
      <alignment wrapText="1"/>
    </xf>
    <xf numFmtId="0" fontId="0" fillId="0" borderId="1" xfId="0" applyBorder="1" applyAlignment="1">
      <alignment horizontal="center"/>
    </xf>
    <xf numFmtId="0" fontId="0" fillId="0" borderId="11" xfId="0" applyBorder="1" applyAlignment="1">
      <alignment horizontal="center"/>
    </xf>
    <xf numFmtId="0" fontId="0" fillId="0" borderId="1" xfId="0" applyBorder="1" applyAlignment="1">
      <alignment wrapText="1"/>
    </xf>
    <xf numFmtId="0" fontId="0" fillId="0" borderId="1" xfId="0"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4" fillId="0" borderId="1" xfId="0" applyFont="1" applyBorder="1"/>
    <xf numFmtId="0" fontId="4" fillId="0" borderId="6" xfId="0" applyFont="1" applyBorder="1"/>
    <xf numFmtId="0" fontId="4" fillId="0" borderId="0" xfId="0" applyFont="1" applyAlignment="1">
      <alignment horizontal="center"/>
    </xf>
    <xf numFmtId="0" fontId="12" fillId="0" borderId="0" xfId="0" applyFont="1"/>
    <xf numFmtId="0" fontId="13" fillId="0" borderId="0" xfId="0" applyFont="1"/>
    <xf numFmtId="0" fontId="0" fillId="0" borderId="4"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1" fillId="0" borderId="3" xfId="0" applyFont="1" applyBorder="1" applyAlignment="1">
      <alignment horizontal="center" vertical="center"/>
    </xf>
    <xf numFmtId="0" fontId="0" fillId="0" borderId="11" xfId="0" applyBorder="1" applyAlignment="1">
      <alignment vertical="center"/>
    </xf>
    <xf numFmtId="0" fontId="0" fillId="0" borderId="12" xfId="0" applyBorder="1" applyAlignment="1">
      <alignment vertical="center" wrapText="1"/>
    </xf>
    <xf numFmtId="0" fontId="0" fillId="0" borderId="2" xfId="0" applyBorder="1" applyAlignment="1">
      <alignment vertical="center" wrapText="1"/>
    </xf>
    <xf numFmtId="0" fontId="0" fillId="0" borderId="8" xfId="0" applyBorder="1" applyAlignment="1">
      <alignment horizontal="left"/>
    </xf>
    <xf numFmtId="0" fontId="14" fillId="0" borderId="0" xfId="0" applyFont="1" applyAlignment="1">
      <alignment horizontal="center" vertical="center"/>
    </xf>
    <xf numFmtId="0" fontId="0" fillId="0" borderId="2" xfId="0" applyBorder="1" applyAlignment="1">
      <alignment horizontal="center" vertical="center"/>
    </xf>
    <xf numFmtId="0" fontId="16" fillId="0" borderId="0" xfId="0" applyFont="1" applyAlignment="1">
      <alignment horizontal="center" vertical="center"/>
    </xf>
    <xf numFmtId="0" fontId="0" fillId="0" borderId="3" xfId="0"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center"/>
    </xf>
    <xf numFmtId="0" fontId="14" fillId="0" borderId="0" xfId="0" applyFont="1"/>
    <xf numFmtId="0" fontId="18" fillId="0" borderId="0" xfId="0" applyFont="1"/>
    <xf numFmtId="0" fontId="20" fillId="0" borderId="1" xfId="0" applyFont="1" applyBorder="1"/>
    <xf numFmtId="0" fontId="21" fillId="0" borderId="0" xfId="0" applyFont="1"/>
    <xf numFmtId="4" fontId="0" fillId="0" borderId="6" xfId="0" applyNumberFormat="1" applyBorder="1"/>
    <xf numFmtId="0" fontId="20" fillId="0" borderId="0" xfId="0" applyFont="1"/>
    <xf numFmtId="0" fontId="20" fillId="0" borderId="6" xfId="0" applyFont="1" applyBorder="1"/>
    <xf numFmtId="3" fontId="0" fillId="0" borderId="0" xfId="0" applyNumberFormat="1"/>
    <xf numFmtId="3" fontId="0" fillId="0" borderId="6" xfId="0" applyNumberFormat="1" applyBorder="1"/>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22" fillId="0" borderId="0" xfId="0" applyFont="1" applyAlignment="1">
      <alignment horizontal="center" vertical="center"/>
    </xf>
    <xf numFmtId="0" fontId="19" fillId="0" borderId="0" xfId="0" applyFont="1"/>
    <xf numFmtId="3" fontId="0" fillId="0" borderId="8" xfId="0" applyNumberFormat="1" applyBorder="1"/>
    <xf numFmtId="3" fontId="0" fillId="0" borderId="9" xfId="0" applyNumberFormat="1" applyBorder="1"/>
    <xf numFmtId="0" fontId="1" fillId="0" borderId="2" xfId="0" applyFont="1" applyBorder="1" applyAlignment="1">
      <alignment horizontal="center" vertical="center"/>
    </xf>
    <xf numFmtId="0" fontId="0" fillId="2" borderId="6" xfId="0" applyFill="1" applyBorder="1"/>
    <xf numFmtId="3" fontId="0" fillId="2" borderId="0" xfId="0" applyNumberFormat="1" applyFill="1"/>
    <xf numFmtId="3" fontId="0" fillId="2" borderId="6" xfId="0" applyNumberFormat="1" applyFill="1" applyBorder="1"/>
    <xf numFmtId="3" fontId="0" fillId="2" borderId="8" xfId="0" applyNumberFormat="1" applyFill="1" applyBorder="1"/>
    <xf numFmtId="3" fontId="0" fillId="2" borderId="9" xfId="0" applyNumberFormat="1" applyFill="1" applyBorder="1"/>
    <xf numFmtId="0" fontId="1" fillId="0" borderId="3" xfId="0" applyFont="1" applyBorder="1"/>
    <xf numFmtId="0" fontId="21" fillId="0" borderId="7" xfId="0" applyFont="1" applyBorder="1"/>
    <xf numFmtId="0" fontId="20" fillId="0" borderId="11" xfId="0" applyFont="1" applyBorder="1"/>
    <xf numFmtId="0" fontId="20" fillId="0" borderId="3" xfId="0" applyFont="1" applyBorder="1"/>
    <xf numFmtId="49" fontId="0" fillId="0" borderId="1" xfId="0" applyNumberFormat="1" applyBorder="1"/>
    <xf numFmtId="0" fontId="22" fillId="0" borderId="3" xfId="0" applyFont="1" applyBorder="1" applyAlignment="1">
      <alignment horizontal="center" vertical="center"/>
    </xf>
    <xf numFmtId="0" fontId="22" fillId="0" borderId="4" xfId="0" applyFont="1" applyBorder="1" applyAlignment="1">
      <alignment horizontal="center" vertical="center"/>
    </xf>
    <xf numFmtId="0" fontId="22" fillId="0" borderId="5" xfId="0" applyFont="1" applyBorder="1" applyAlignment="1">
      <alignment horizontal="center" vertical="center"/>
    </xf>
    <xf numFmtId="0" fontId="20" fillId="0" borderId="0" xfId="0" applyFont="1" applyAlignment="1">
      <alignment horizontal="center" vertical="center"/>
    </xf>
    <xf numFmtId="3" fontId="20" fillId="0" borderId="0" xfId="0" applyNumberFormat="1" applyFont="1" applyAlignment="1">
      <alignment horizontal="center" vertic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4" fillId="0" borderId="8" xfId="0" applyFont="1" applyBorder="1" applyAlignment="1">
      <alignment horizont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7" fillId="0" borderId="0" xfId="0" applyFont="1" applyAlignment="1">
      <alignment vertical="center"/>
    </xf>
    <xf numFmtId="0" fontId="8" fillId="5" borderId="0" xfId="0" applyFont="1" applyFill="1" applyAlignment="1">
      <alignment horizontal="center" vertical="center"/>
    </xf>
    <xf numFmtId="0" fontId="8" fillId="5" borderId="0" xfId="0" applyFont="1" applyFill="1" applyAlignment="1">
      <alignment horizontal="center" vertical="center" wrapText="1"/>
    </xf>
    <xf numFmtId="0" fontId="9" fillId="0" borderId="0" xfId="0" applyFont="1" applyAlignment="1">
      <alignment horizontal="left" vertical="top"/>
    </xf>
    <xf numFmtId="0" fontId="7" fillId="5" borderId="3" xfId="0" applyFont="1" applyFill="1" applyBorder="1" applyAlignment="1">
      <alignment horizontal="center" vertical="center" wrapText="1"/>
    </xf>
    <xf numFmtId="0" fontId="7"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3" fillId="0" borderId="7" xfId="0" applyFont="1" applyBorder="1"/>
    <xf numFmtId="0" fontId="14" fillId="2" borderId="3" xfId="0" applyFont="1" applyFill="1" applyBorder="1" applyAlignment="1">
      <alignment horizontal="center" vertical="center"/>
    </xf>
    <xf numFmtId="0" fontId="14" fillId="2" borderId="4"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14" fillId="2" borderId="9" xfId="0" applyFont="1" applyFill="1" applyBorder="1" applyAlignment="1">
      <alignment horizontal="center" vertical="center"/>
    </xf>
    <xf numFmtId="0" fontId="1" fillId="2" borderId="3" xfId="0" applyFont="1" applyFill="1" applyBorder="1" applyAlignment="1">
      <alignment horizontal="center" vertical="center"/>
    </xf>
    <xf numFmtId="0" fontId="22" fillId="2" borderId="4" xfId="0" applyFont="1" applyFill="1" applyBorder="1" applyAlignment="1">
      <alignment horizontal="center" vertical="center"/>
    </xf>
    <xf numFmtId="0" fontId="22" fillId="2" borderId="5" xfId="0" applyFont="1" applyFill="1" applyBorder="1" applyAlignment="1">
      <alignment horizontal="center" vertical="center"/>
    </xf>
    <xf numFmtId="0" fontId="22" fillId="2" borderId="3" xfId="0" applyFont="1" applyFill="1" applyBorder="1" applyAlignment="1">
      <alignment horizontal="center" vertic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3" xfId="0" applyFont="1" applyFill="1" applyBorder="1" applyAlignment="1">
      <alignment horizontal="center"/>
    </xf>
    <xf numFmtId="0" fontId="22" fillId="0" borderId="3" xfId="0" applyFont="1" applyBorder="1" applyAlignment="1">
      <alignment horizontal="center"/>
    </xf>
    <xf numFmtId="0" fontId="22" fillId="0" borderId="4" xfId="0" applyFont="1" applyBorder="1" applyAlignment="1">
      <alignment horizontal="center"/>
    </xf>
    <xf numFmtId="0" fontId="22" fillId="0" borderId="5" xfId="0" applyFont="1" applyBorder="1" applyAlignment="1">
      <alignment horizontal="center"/>
    </xf>
    <xf numFmtId="0" fontId="22" fillId="2" borderId="4" xfId="0" applyFont="1" applyFill="1" applyBorder="1" applyAlignment="1">
      <alignment horizontal="center"/>
    </xf>
    <xf numFmtId="0" fontId="22" fillId="2" borderId="5" xfId="0" applyFont="1" applyFill="1" applyBorder="1" applyAlignment="1">
      <alignment horizontal="center"/>
    </xf>
    <xf numFmtId="0" fontId="22" fillId="2" borderId="3" xfId="0" applyFont="1" applyFill="1" applyBorder="1" applyAlignment="1">
      <alignment horizontal="center"/>
    </xf>
    <xf numFmtId="0" fontId="0" fillId="2" borderId="7" xfId="0" applyFill="1" applyBorder="1" applyAlignment="1">
      <alignment horizontal="center" vertical="center" wrapText="1"/>
    </xf>
    <xf numFmtId="0" fontId="0" fillId="0" borderId="0" xfId="0" applyAlignment="1">
      <alignment horizontal="center" wrapText="1"/>
    </xf>
    <xf numFmtId="0" fontId="1" fillId="0" borderId="5" xfId="0" applyFont="1" applyBorder="1"/>
    <xf numFmtId="0" fontId="1" fillId="0" borderId="9" xfId="0" applyFont="1" applyBorder="1"/>
    <xf numFmtId="0" fontId="1" fillId="0" borderId="4" xfId="0" applyFont="1" applyBorder="1"/>
    <xf numFmtId="0" fontId="1" fillId="0" borderId="7" xfId="0" applyFont="1" applyBorder="1"/>
    <xf numFmtId="0" fontId="1" fillId="0" borderId="8" xfId="0" applyFont="1" applyBorder="1"/>
    <xf numFmtId="0" fontId="1" fillId="0" borderId="11" xfId="0" applyFont="1" applyBorder="1"/>
    <xf numFmtId="0" fontId="1" fillId="0" borderId="12" xfId="0" applyFont="1" applyBorder="1"/>
    <xf numFmtId="0" fontId="1" fillId="0" borderId="10" xfId="0" applyFont="1" applyBorder="1"/>
    <xf numFmtId="164" fontId="0" fillId="0" borderId="0" xfId="0" applyNumberFormat="1"/>
    <xf numFmtId="0" fontId="1" fillId="0" borderId="0" xfId="0" applyFont="1" applyAlignment="1">
      <alignment horizontal="center"/>
    </xf>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2" fillId="0" borderId="23" xfId="1" applyBorder="1"/>
    <xf numFmtId="0" fontId="0" fillId="0" borderId="24" xfId="0" applyBorder="1"/>
    <xf numFmtId="0" fontId="0" fillId="0" borderId="25" xfId="0" applyBorder="1"/>
    <xf numFmtId="0" fontId="1" fillId="0" borderId="0" xfId="0" applyFont="1" applyAlignment="1">
      <alignment vertical="center"/>
    </xf>
    <xf numFmtId="0" fontId="4" fillId="0" borderId="8" xfId="0" applyFont="1" applyBorder="1" applyAlignment="1">
      <alignment horizontal="center" vertical="center"/>
    </xf>
    <xf numFmtId="0" fontId="0" fillId="8" borderId="11" xfId="0" applyFill="1" applyBorder="1"/>
    <xf numFmtId="0" fontId="0" fillId="8" borderId="12" xfId="0" applyFill="1" applyBorder="1"/>
    <xf numFmtId="0" fontId="0" fillId="8" borderId="10" xfId="0" applyFill="1" applyBorder="1"/>
    <xf numFmtId="0" fontId="26" fillId="8" borderId="2" xfId="1" applyFont="1" applyFill="1" applyBorder="1" applyAlignment="1">
      <alignment horizontal="center" vertical="center"/>
    </xf>
    <xf numFmtId="0" fontId="28" fillId="0" borderId="0" xfId="0" applyFont="1"/>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3" xfId="0" applyBorder="1" applyAlignment="1">
      <alignment horizontal="center"/>
    </xf>
    <xf numFmtId="0" fontId="0" fillId="0" borderId="24" xfId="0" applyBorder="1" applyAlignment="1">
      <alignment horizontal="center"/>
    </xf>
    <xf numFmtId="0" fontId="2" fillId="0" borderId="0" xfId="1" applyAlignment="1">
      <alignment horizontal="center" vertic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3" xfId="0" applyBorder="1" applyAlignment="1">
      <alignment horizontal="center" vertical="center"/>
    </xf>
    <xf numFmtId="0" fontId="0" fillId="0" borderId="24"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9" borderId="27" xfId="0" applyFill="1" applyBorder="1" applyAlignment="1">
      <alignment vertical="center"/>
    </xf>
    <xf numFmtId="0" fontId="0" fillId="9" borderId="28" xfId="0" applyFill="1" applyBorder="1" applyAlignment="1">
      <alignment vertical="center"/>
    </xf>
    <xf numFmtId="0" fontId="0" fillId="9" borderId="29" xfId="0" applyFill="1" applyBorder="1" applyAlignment="1">
      <alignment vertical="center"/>
    </xf>
    <xf numFmtId="0" fontId="0" fillId="9" borderId="0" xfId="0" applyFill="1"/>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4" fillId="2" borderId="20" xfId="0" applyFont="1"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1" fillId="0" borderId="2" xfId="0" applyFont="1" applyBorder="1" applyAlignment="1">
      <alignment horizontal="center" vertical="center" wrapText="1"/>
    </xf>
    <xf numFmtId="0" fontId="26" fillId="0" borderId="2" xfId="1" applyFont="1" applyFill="1" applyBorder="1" applyAlignment="1">
      <alignment horizontal="center" vertical="center"/>
    </xf>
    <xf numFmtId="0" fontId="2" fillId="0" borderId="2" xfId="1" applyFill="1" applyBorder="1" applyAlignment="1">
      <alignment horizontal="center" vertical="center" wrapText="1"/>
    </xf>
    <xf numFmtId="0" fontId="2" fillId="0" borderId="2" xfId="1" applyBorder="1" applyAlignment="1">
      <alignment horizontal="center" vertical="center" wrapText="1"/>
    </xf>
    <xf numFmtId="9" fontId="0" fillId="0" borderId="2" xfId="0" applyNumberFormat="1" applyBorder="1" applyAlignment="1">
      <alignment horizontal="center" vertical="center" wrapText="1"/>
    </xf>
    <xf numFmtId="0" fontId="15" fillId="0" borderId="2" xfId="1" applyFont="1" applyFill="1" applyBorder="1" applyAlignment="1">
      <alignment horizontal="center" vertical="center" wrapText="1"/>
    </xf>
    <xf numFmtId="0" fontId="26" fillId="0" borderId="2" xfId="1" applyFont="1" applyBorder="1" applyAlignment="1">
      <alignment horizontal="center" vertical="center"/>
    </xf>
    <xf numFmtId="0" fontId="2" fillId="0" borderId="2" xfId="1" applyFill="1" applyBorder="1" applyAlignment="1">
      <alignment horizontal="center" vertical="center"/>
    </xf>
    <xf numFmtId="0" fontId="14" fillId="0" borderId="2" xfId="0" applyFont="1" applyBorder="1" applyAlignment="1">
      <alignment horizontal="center" vertical="center"/>
    </xf>
    <xf numFmtId="9" fontId="14" fillId="0" borderId="2" xfId="0" applyNumberFormat="1" applyFont="1" applyBorder="1" applyAlignment="1">
      <alignment horizontal="center" vertical="center" wrapText="1"/>
    </xf>
    <xf numFmtId="0" fontId="14" fillId="0" borderId="2" xfId="0" applyFont="1" applyBorder="1" applyAlignment="1">
      <alignment horizontal="center" vertical="center" wrapText="1"/>
    </xf>
    <xf numFmtId="10" fontId="0" fillId="0" borderId="2" xfId="0" applyNumberFormat="1" applyBorder="1" applyAlignment="1">
      <alignment horizontal="center" vertical="center" wrapText="1"/>
    </xf>
    <xf numFmtId="0" fontId="26" fillId="0" borderId="2" xfId="1" applyFont="1" applyFill="1" applyBorder="1" applyAlignment="1">
      <alignment horizontal="center" vertical="center" wrapText="1"/>
    </xf>
    <xf numFmtId="0" fontId="15" fillId="0" borderId="2" xfId="0" applyFont="1" applyBorder="1" applyAlignment="1">
      <alignment horizontal="center" vertical="center" wrapText="1"/>
    </xf>
    <xf numFmtId="0" fontId="4" fillId="0" borderId="2" xfId="0" applyFont="1" applyBorder="1" applyAlignment="1">
      <alignment horizontal="center" vertical="center" wrapText="1"/>
    </xf>
    <xf numFmtId="14" fontId="0" fillId="0" borderId="2" xfId="0" applyNumberFormat="1" applyBorder="1" applyAlignment="1">
      <alignment horizontal="center" vertical="center" wrapText="1"/>
    </xf>
    <xf numFmtId="17" fontId="0" fillId="0" borderId="2" xfId="0" applyNumberFormat="1" applyBorder="1" applyAlignment="1">
      <alignment horizontal="center" vertical="center" wrapText="1"/>
    </xf>
    <xf numFmtId="0" fontId="16" fillId="0" borderId="2" xfId="0" applyFont="1" applyBorder="1" applyAlignment="1">
      <alignment horizontal="center" vertical="center" wrapText="1"/>
    </xf>
    <xf numFmtId="0" fontId="23" fillId="0" borderId="2" xfId="0" applyFont="1" applyBorder="1" applyAlignment="1">
      <alignment horizontal="center" vertical="center" wrapText="1"/>
    </xf>
    <xf numFmtId="0" fontId="29" fillId="0" borderId="2" xfId="1" applyFont="1" applyFill="1" applyBorder="1" applyAlignment="1">
      <alignment horizontal="center" vertical="center"/>
    </xf>
    <xf numFmtId="0" fontId="30" fillId="0" borderId="2" xfId="1" applyFont="1"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0" fillId="0" borderId="21" xfId="0" applyBorder="1" applyAlignment="1">
      <alignment horizontal="center"/>
    </xf>
    <xf numFmtId="9" fontId="0" fillId="0" borderId="24" xfId="0" applyNumberFormat="1" applyBorder="1" applyAlignment="1">
      <alignment horizontal="center"/>
    </xf>
    <xf numFmtId="9" fontId="0" fillId="0" borderId="24" xfId="0" applyNumberFormat="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3" xfId="0" applyBorder="1" applyAlignment="1">
      <alignment horizontal="center" vertical="center" wrapText="1"/>
    </xf>
    <xf numFmtId="0" fontId="0" fillId="0" borderId="36" xfId="0" applyBorder="1" applyAlignment="1">
      <alignment horizontal="center" vertical="center"/>
    </xf>
    <xf numFmtId="0" fontId="0" fillId="0" borderId="37" xfId="0"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22" fillId="0" borderId="20" xfId="0" applyFont="1" applyBorder="1" applyAlignment="1">
      <alignment horizontal="center" vertical="center"/>
    </xf>
    <xf numFmtId="0" fontId="1" fillId="2" borderId="18" xfId="0" applyFont="1" applyFill="1" applyBorder="1" applyAlignment="1">
      <alignment horizontal="center" vertical="center"/>
    </xf>
    <xf numFmtId="0" fontId="22" fillId="2" borderId="19" xfId="0" applyFont="1" applyFill="1" applyBorder="1" applyAlignment="1">
      <alignment horizontal="center" vertical="center"/>
    </xf>
    <xf numFmtId="0" fontId="22" fillId="2" borderId="20" xfId="0" applyFont="1" applyFill="1" applyBorder="1" applyAlignment="1">
      <alignment horizontal="center" vertical="center"/>
    </xf>
    <xf numFmtId="0" fontId="1" fillId="0" borderId="18" xfId="0" applyFont="1" applyBorder="1" applyAlignment="1">
      <alignment horizontal="center" vertical="center"/>
    </xf>
    <xf numFmtId="0" fontId="1" fillId="0" borderId="20" xfId="0" applyFont="1" applyBorder="1" applyAlignment="1">
      <alignment horizontal="center" vertical="center"/>
    </xf>
    <xf numFmtId="0" fontId="0" fillId="0" borderId="21" xfId="0" applyBorder="1" applyAlignment="1">
      <alignment wrapText="1"/>
    </xf>
    <xf numFmtId="0" fontId="0" fillId="0" borderId="23" xfId="0" applyBorder="1" applyAlignment="1">
      <alignment wrapText="1"/>
    </xf>
    <xf numFmtId="0" fontId="0" fillId="4" borderId="7" xfId="0" applyFill="1" applyBorder="1"/>
    <xf numFmtId="0" fontId="0" fillId="4" borderId="8" xfId="0" applyFill="1" applyBorder="1"/>
    <xf numFmtId="0" fontId="0" fillId="4" borderId="9" xfId="0" applyFill="1" applyBorder="1"/>
    <xf numFmtId="0" fontId="0" fillId="0" borderId="24" xfId="0" applyBorder="1" applyAlignment="1">
      <alignment wrapText="1"/>
    </xf>
    <xf numFmtId="0" fontId="0" fillId="0" borderId="25" xfId="0" applyBorder="1" applyAlignment="1">
      <alignment wrapText="1"/>
    </xf>
    <xf numFmtId="0" fontId="0" fillId="0" borderId="26" xfId="0" applyBorder="1"/>
    <xf numFmtId="0" fontId="0" fillId="0" borderId="23" xfId="0" applyBorder="1"/>
    <xf numFmtId="0" fontId="0" fillId="0" borderId="22" xfId="0" applyBorder="1" applyAlignment="1">
      <alignment horizontal="center"/>
    </xf>
    <xf numFmtId="0" fontId="1" fillId="0" borderId="19" xfId="0" applyFont="1" applyBorder="1" applyAlignment="1">
      <alignment horizontal="center" vertical="center"/>
    </xf>
    <xf numFmtId="0" fontId="21" fillId="0" borderId="21" xfId="0" applyFont="1" applyBorder="1" applyAlignment="1">
      <alignment horizontal="center" vertical="center"/>
    </xf>
    <xf numFmtId="0" fontId="21" fillId="0" borderId="22" xfId="0" applyFont="1" applyBorder="1" applyAlignment="1">
      <alignment horizontal="center" vertical="center"/>
    </xf>
    <xf numFmtId="0" fontId="21" fillId="0" borderId="23" xfId="0" applyFont="1" applyBorder="1" applyAlignment="1">
      <alignment horizontal="center" vertical="center"/>
    </xf>
    <xf numFmtId="0" fontId="21" fillId="0" borderId="24" xfId="0" applyFont="1" applyBorder="1" applyAlignment="1">
      <alignment horizontal="center" vertical="center"/>
    </xf>
    <xf numFmtId="0" fontId="21" fillId="0" borderId="25" xfId="0" applyFont="1" applyBorder="1" applyAlignment="1">
      <alignment horizontal="center" vertical="center"/>
    </xf>
    <xf numFmtId="0" fontId="0" fillId="2" borderId="24" xfId="0" applyFill="1" applyBorder="1" applyAlignment="1">
      <alignment horizontal="center"/>
    </xf>
    <xf numFmtId="0" fontId="0" fillId="2" borderId="25" xfId="0" applyFill="1" applyBorder="1" applyAlignment="1">
      <alignment horizontal="center"/>
    </xf>
    <xf numFmtId="0" fontId="4" fillId="0" borderId="21" xfId="0" applyFont="1" applyBorder="1" applyAlignment="1">
      <alignment horizontal="center" vertical="center"/>
    </xf>
    <xf numFmtId="0" fontId="4" fillId="0" borderId="23" xfId="0" applyFont="1"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1" fillId="0" borderId="21" xfId="0" applyFont="1" applyBorder="1" applyAlignment="1">
      <alignment horizontal="center" vertical="center"/>
    </xf>
    <xf numFmtId="0" fontId="0" fillId="0" borderId="27" xfId="0" applyBorder="1"/>
    <xf numFmtId="0" fontId="0" fillId="0" borderId="28" xfId="0" applyBorder="1"/>
    <xf numFmtId="0" fontId="0" fillId="0" borderId="29" xfId="0" applyBorder="1"/>
    <xf numFmtId="0" fontId="0" fillId="0" borderId="25" xfId="0" applyBorder="1" applyAlignment="1">
      <alignment horizontal="center"/>
    </xf>
    <xf numFmtId="0" fontId="22" fillId="2" borderId="18" xfId="0" applyFont="1" applyFill="1" applyBorder="1" applyAlignment="1">
      <alignment horizontal="center" vertical="center"/>
    </xf>
    <xf numFmtId="0" fontId="24" fillId="0" borderId="0" xfId="0" applyFont="1" applyAlignment="1">
      <alignment vertical="center"/>
    </xf>
    <xf numFmtId="0" fontId="22" fillId="0" borderId="0" xfId="0" applyFont="1" applyAlignment="1">
      <alignment vertical="center"/>
    </xf>
    <xf numFmtId="0" fontId="0" fillId="0" borderId="35" xfId="0" applyBorder="1" applyAlignment="1">
      <alignment horizontal="center" vertical="center"/>
    </xf>
    <xf numFmtId="0" fontId="0" fillId="0" borderId="33"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26" xfId="0" applyBorder="1" applyAlignment="1">
      <alignment horizontal="center" vertical="center"/>
    </xf>
    <xf numFmtId="0" fontId="0" fillId="0" borderId="34" xfId="0" applyBorder="1" applyAlignment="1">
      <alignment horizontal="center" vertical="center" wrapText="1"/>
    </xf>
    <xf numFmtId="0" fontId="15" fillId="0" borderId="2" xfId="0" applyFont="1" applyBorder="1" applyAlignment="1">
      <alignment horizontal="center" vertical="center"/>
    </xf>
    <xf numFmtId="0" fontId="15" fillId="0" borderId="0" xfId="0" applyFont="1"/>
    <xf numFmtId="0" fontId="15" fillId="0" borderId="0" xfId="0" applyFont="1" applyAlignment="1">
      <alignment horizontal="center" vertical="center"/>
    </xf>
    <xf numFmtId="9" fontId="0" fillId="0" borderId="2" xfId="0" applyNumberFormat="1" applyBorder="1" applyAlignment="1">
      <alignment horizontal="center" vertical="center"/>
    </xf>
    <xf numFmtId="0" fontId="0" fillId="0" borderId="30" xfId="0" applyBorder="1" applyAlignment="1">
      <alignment horizontal="center" vertical="center" wrapText="1"/>
    </xf>
    <xf numFmtId="0" fontId="0" fillId="0" borderId="34" xfId="0" applyBorder="1"/>
    <xf numFmtId="9" fontId="0" fillId="0" borderId="36" xfId="0" applyNumberFormat="1" applyBorder="1" applyAlignment="1">
      <alignment horizontal="center" vertical="center"/>
    </xf>
    <xf numFmtId="0" fontId="0" fillId="0" borderId="36" xfId="0" applyBorder="1"/>
    <xf numFmtId="0" fontId="0" fillId="0" borderId="37" xfId="0" applyBorder="1"/>
    <xf numFmtId="0" fontId="4" fillId="0" borderId="2" xfId="0" applyFont="1" applyBorder="1" applyAlignment="1">
      <alignment horizontal="center" vertical="center"/>
    </xf>
    <xf numFmtId="0" fontId="1" fillId="0" borderId="33" xfId="0" applyFont="1" applyBorder="1" applyAlignment="1">
      <alignment horizontal="center" vertical="center"/>
    </xf>
    <xf numFmtId="0" fontId="22" fillId="0" borderId="33" xfId="0" applyFont="1" applyBorder="1" applyAlignment="1">
      <alignment horizontal="center" vertical="center"/>
    </xf>
    <xf numFmtId="0" fontId="4" fillId="0" borderId="34" xfId="0" applyFont="1" applyBorder="1" applyAlignment="1">
      <alignment horizontal="center" vertical="center"/>
    </xf>
    <xf numFmtId="0" fontId="22" fillId="0" borderId="35" xfId="0" applyFont="1" applyBorder="1" applyAlignment="1">
      <alignment horizontal="center" vertical="center"/>
    </xf>
    <xf numFmtId="0" fontId="4" fillId="0" borderId="36" xfId="0" applyFont="1" applyBorder="1" applyAlignment="1">
      <alignment horizontal="center" vertical="center"/>
    </xf>
    <xf numFmtId="0" fontId="4" fillId="0" borderId="37" xfId="0" applyFont="1" applyBorder="1" applyAlignment="1">
      <alignment horizontal="center" vertical="center"/>
    </xf>
    <xf numFmtId="0" fontId="4" fillId="2" borderId="23" xfId="0" applyFont="1" applyFill="1" applyBorder="1" applyAlignment="1">
      <alignment horizontal="center" vertical="center"/>
    </xf>
    <xf numFmtId="0" fontId="4" fillId="2" borderId="24" xfId="0" applyFont="1" applyFill="1" applyBorder="1" applyAlignment="1">
      <alignment horizontal="center" vertical="center"/>
    </xf>
    <xf numFmtId="0" fontId="4" fillId="2" borderId="25" xfId="0" applyFont="1" applyFill="1" applyBorder="1" applyAlignment="1">
      <alignment horizontal="center" vertical="center"/>
    </xf>
    <xf numFmtId="0" fontId="0" fillId="0" borderId="21" xfId="0" applyBorder="1" applyAlignment="1">
      <alignment horizontal="center" wrapText="1"/>
    </xf>
    <xf numFmtId="0" fontId="0" fillId="0" borderId="23" xfId="0" applyBorder="1" applyAlignment="1">
      <alignment horizontal="center" wrapText="1"/>
    </xf>
    <xf numFmtId="0" fontId="0" fillId="0" borderId="17" xfId="0" applyBorder="1" applyAlignment="1">
      <alignment horizontal="center" vertical="center"/>
    </xf>
    <xf numFmtId="0" fontId="0" fillId="0" borderId="22" xfId="0" applyBorder="1" applyAlignment="1">
      <alignment horizontal="center" vertical="center" wrapText="1"/>
    </xf>
    <xf numFmtId="0" fontId="0" fillId="0" borderId="25" xfId="0" applyBorder="1" applyAlignment="1">
      <alignment horizontal="center" vertical="center" wrapText="1"/>
    </xf>
    <xf numFmtId="0" fontId="1" fillId="0" borderId="0" xfId="0" applyFont="1" applyAlignment="1">
      <alignment horizontal="center" wrapText="1"/>
    </xf>
    <xf numFmtId="0" fontId="1" fillId="0" borderId="18"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4" fillId="0" borderId="21" xfId="0" applyFont="1" applyBorder="1" applyAlignment="1">
      <alignment horizontal="center" vertical="center"/>
    </xf>
    <xf numFmtId="0" fontId="14" fillId="0" borderId="23" xfId="0" applyFont="1" applyBorder="1" applyAlignment="1">
      <alignment horizontal="center" vertical="center"/>
    </xf>
    <xf numFmtId="0" fontId="1" fillId="0" borderId="22" xfId="0" applyFont="1" applyBorder="1" applyAlignment="1">
      <alignment horizontal="center" vertical="center"/>
    </xf>
    <xf numFmtId="0" fontId="21" fillId="0" borderId="21" xfId="0" applyFont="1" applyBorder="1" applyAlignment="1">
      <alignment horizontal="center" vertical="center" wrapText="1"/>
    </xf>
    <xf numFmtId="0" fontId="16" fillId="0" borderId="0" xfId="0" applyFont="1" applyAlignment="1">
      <alignment vertical="center"/>
    </xf>
    <xf numFmtId="0" fontId="1" fillId="0" borderId="19" xfId="0" applyFont="1" applyBorder="1" applyAlignment="1">
      <alignment horizontal="center" vertical="center" wrapText="1"/>
    </xf>
    <xf numFmtId="0" fontId="19" fillId="0" borderId="0" xfId="0" applyFont="1" applyAlignment="1">
      <alignment vertical="center"/>
    </xf>
    <xf numFmtId="0" fontId="19" fillId="0" borderId="2" xfId="0" applyFont="1" applyBorder="1" applyAlignment="1">
      <alignment horizontal="center" vertical="center" wrapText="1"/>
    </xf>
    <xf numFmtId="0" fontId="0" fillId="8" borderId="0" xfId="0" applyFill="1"/>
    <xf numFmtId="0" fontId="26" fillId="4" borderId="2" xfId="1" applyFont="1" applyFill="1" applyBorder="1" applyAlignment="1">
      <alignment horizontal="center" vertical="center"/>
    </xf>
    <xf numFmtId="0" fontId="31" fillId="4" borderId="11" xfId="0" applyFont="1" applyFill="1" applyBorder="1"/>
    <xf numFmtId="0" fontId="0" fillId="10" borderId="12" xfId="0" applyFill="1" applyBorder="1"/>
    <xf numFmtId="0" fontId="0" fillId="10" borderId="10" xfId="0" applyFill="1" applyBorder="1"/>
    <xf numFmtId="0" fontId="26" fillId="10" borderId="2" xfId="1" applyFont="1" applyFill="1" applyBorder="1" applyAlignment="1">
      <alignment horizontal="center" vertical="center"/>
    </xf>
    <xf numFmtId="0" fontId="31" fillId="10" borderId="11" xfId="0" applyFont="1" applyFill="1" applyBorder="1"/>
    <xf numFmtId="0" fontId="17" fillId="4" borderId="11" xfId="0" applyFont="1" applyFill="1" applyBorder="1"/>
    <xf numFmtId="0" fontId="29" fillId="4" borderId="2" xfId="1" applyFont="1" applyFill="1" applyBorder="1" applyAlignment="1">
      <alignment horizontal="center" vertical="center"/>
    </xf>
    <xf numFmtId="0" fontId="27" fillId="4" borderId="12" xfId="1" applyFont="1" applyFill="1" applyBorder="1" applyAlignment="1">
      <alignment horizontal="center" vertical="center"/>
    </xf>
    <xf numFmtId="0" fontId="27" fillId="4" borderId="10" xfId="1" applyFont="1" applyFill="1" applyBorder="1" applyAlignment="1">
      <alignment horizontal="center" vertical="center"/>
    </xf>
    <xf numFmtId="0" fontId="26" fillId="4" borderId="16" xfId="1" applyFont="1" applyFill="1" applyBorder="1" applyAlignment="1">
      <alignment horizontal="center" vertical="center"/>
    </xf>
    <xf numFmtId="0" fontId="32" fillId="10" borderId="11" xfId="0" applyFont="1" applyFill="1" applyBorder="1"/>
    <xf numFmtId="0" fontId="26" fillId="10" borderId="17" xfId="1" applyFont="1" applyFill="1" applyBorder="1" applyAlignment="1">
      <alignment horizontal="center" vertical="center"/>
    </xf>
    <xf numFmtId="0" fontId="0" fillId="10" borderId="0" xfId="0" applyFill="1"/>
    <xf numFmtId="0" fontId="32" fillId="10" borderId="11" xfId="1" applyFont="1" applyFill="1" applyBorder="1" applyAlignment="1">
      <alignment horizontal="left" vertical="center"/>
    </xf>
    <xf numFmtId="0" fontId="26" fillId="10" borderId="12" xfId="1" applyFont="1" applyFill="1" applyBorder="1" applyAlignment="1">
      <alignment horizontal="center" vertical="center"/>
    </xf>
    <xf numFmtId="0" fontId="26" fillId="10" borderId="0" xfId="1" applyFont="1" applyFill="1" applyBorder="1" applyAlignment="1">
      <alignment horizontal="center" vertical="center"/>
    </xf>
    <xf numFmtId="0" fontId="21" fillId="0" borderId="0" xfId="0" applyFont="1" applyAlignment="1">
      <alignment horizontal="center" vertical="center"/>
    </xf>
    <xf numFmtId="0" fontId="1" fillId="2" borderId="19" xfId="0" applyFont="1" applyFill="1" applyBorder="1" applyAlignment="1">
      <alignment horizontal="center" vertical="center"/>
    </xf>
    <xf numFmtId="0" fontId="1" fillId="2" borderId="20" xfId="0" applyFont="1" applyFill="1" applyBorder="1" applyAlignment="1">
      <alignment horizontal="center" vertical="center"/>
    </xf>
    <xf numFmtId="17" fontId="2" fillId="0" borderId="2" xfId="1" applyNumberFormat="1" applyBorder="1" applyAlignment="1">
      <alignment horizontal="center" vertical="center" wrapText="1"/>
    </xf>
    <xf numFmtId="0" fontId="4" fillId="0" borderId="23" xfId="0" applyFont="1" applyBorder="1" applyAlignment="1">
      <alignment horizontal="center"/>
    </xf>
    <xf numFmtId="0" fontId="4" fillId="0" borderId="24" xfId="0" applyFont="1" applyBorder="1" applyAlignment="1">
      <alignment horizontal="center"/>
    </xf>
    <xf numFmtId="0" fontId="4" fillId="0" borderId="25" xfId="0" applyFont="1" applyBorder="1" applyAlignment="1">
      <alignment horizontal="center"/>
    </xf>
    <xf numFmtId="0" fontId="4" fillId="0" borderId="22" xfId="0" applyFont="1" applyBorder="1" applyAlignment="1">
      <alignment horizontal="center" vertical="center"/>
    </xf>
    <xf numFmtId="0" fontId="22" fillId="2" borderId="18" xfId="0" applyFont="1" applyFill="1" applyBorder="1" applyAlignment="1">
      <alignment horizontal="center"/>
    </xf>
    <xf numFmtId="0" fontId="22" fillId="2" borderId="19" xfId="0" applyFont="1" applyFill="1" applyBorder="1" applyAlignment="1">
      <alignment horizontal="center"/>
    </xf>
    <xf numFmtId="0" fontId="22" fillId="2" borderId="20" xfId="0" applyFont="1" applyFill="1" applyBorder="1" applyAlignment="1">
      <alignment horizontal="center"/>
    </xf>
    <xf numFmtId="0" fontId="0" fillId="2" borderId="23" xfId="0" applyFill="1" applyBorder="1" applyAlignment="1">
      <alignment horizontal="center"/>
    </xf>
    <xf numFmtId="0" fontId="1" fillId="2" borderId="18" xfId="0" applyFont="1" applyFill="1" applyBorder="1" applyAlignment="1">
      <alignment horizontal="center"/>
    </xf>
    <xf numFmtId="0" fontId="1" fillId="0" borderId="31" xfId="0" applyFont="1" applyBorder="1" applyAlignment="1">
      <alignment horizontal="center" vertical="center"/>
    </xf>
    <xf numFmtId="0" fontId="0" fillId="0" borderId="18" xfId="0"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0" fillId="6" borderId="24" xfId="0" applyFill="1" applyBorder="1" applyAlignment="1">
      <alignment horizontal="center" vertical="center" wrapText="1"/>
    </xf>
    <xf numFmtId="0" fontId="0" fillId="6" borderId="25" xfId="0" applyFill="1" applyBorder="1" applyAlignment="1">
      <alignment horizontal="center" vertical="center"/>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6" borderId="28" xfId="0" applyFill="1" applyBorder="1" applyAlignment="1">
      <alignment horizontal="center" vertical="center" wrapText="1"/>
    </xf>
    <xf numFmtId="0" fontId="0" fillId="6" borderId="29" xfId="0" applyFill="1" applyBorder="1" applyAlignment="1">
      <alignment horizontal="center" vertical="center"/>
    </xf>
    <xf numFmtId="0" fontId="6" fillId="0" borderId="0" xfId="0" applyFont="1"/>
    <xf numFmtId="0" fontId="5" fillId="0" borderId="0" xfId="0" applyFont="1"/>
    <xf numFmtId="0" fontId="6" fillId="0" borderId="21" xfId="0" applyFont="1" applyBorder="1"/>
    <xf numFmtId="0" fontId="6" fillId="0" borderId="22" xfId="0" applyFont="1" applyBorder="1"/>
    <xf numFmtId="0" fontId="5" fillId="0" borderId="21" xfId="0" applyFont="1" applyBorder="1"/>
    <xf numFmtId="0" fontId="5" fillId="0" borderId="22" xfId="0" applyFont="1" applyBorder="1"/>
    <xf numFmtId="10" fontId="5" fillId="0" borderId="22" xfId="0" applyNumberFormat="1" applyFont="1" applyBorder="1"/>
    <xf numFmtId="0" fontId="5" fillId="0" borderId="23" xfId="0" applyFont="1" applyBorder="1"/>
    <xf numFmtId="0" fontId="5" fillId="0" borderId="24" xfId="0" applyFont="1" applyBorder="1"/>
    <xf numFmtId="10" fontId="5" fillId="0" borderId="25" xfId="0" applyNumberFormat="1" applyFont="1" applyBorder="1"/>
    <xf numFmtId="0" fontId="0" fillId="0" borderId="24" xfId="0" applyBorder="1" applyAlignment="1">
      <alignment vertical="center" wrapText="1"/>
    </xf>
    <xf numFmtId="0" fontId="20" fillId="0" borderId="21" xfId="0" applyFont="1" applyBorder="1"/>
    <xf numFmtId="0" fontId="20" fillId="0" borderId="22" xfId="0" applyFont="1" applyBorder="1"/>
    <xf numFmtId="4" fontId="0" fillId="0" borderId="0" xfId="0" applyNumberFormat="1"/>
    <xf numFmtId="4" fontId="0" fillId="0" borderId="22" xfId="0" applyNumberFormat="1" applyBorder="1"/>
    <xf numFmtId="3" fontId="0" fillId="0" borderId="22" xfId="0" applyNumberFormat="1" applyBorder="1"/>
    <xf numFmtId="0" fontId="0" fillId="0" borderId="0" xfId="0" applyAlignment="1">
      <alignment horizontal="right"/>
    </xf>
    <xf numFmtId="0" fontId="0" fillId="0" borderId="22" xfId="0" applyBorder="1" applyAlignment="1">
      <alignment horizontal="right"/>
    </xf>
    <xf numFmtId="0" fontId="1" fillId="0" borderId="6" xfId="0" applyFont="1" applyBorder="1"/>
    <xf numFmtId="0" fontId="1" fillId="0" borderId="0" xfId="0" applyFont="1"/>
    <xf numFmtId="0" fontId="4" fillId="0" borderId="24" xfId="0" applyFont="1" applyBorder="1" applyAlignment="1">
      <alignment horizontal="center" vertical="center"/>
    </xf>
    <xf numFmtId="0" fontId="2" fillId="0" borderId="0" xfId="1" applyBorder="1" applyAlignment="1">
      <alignment horizontal="center"/>
    </xf>
    <xf numFmtId="0" fontId="22" fillId="0" borderId="21" xfId="0" applyFont="1" applyBorder="1" applyAlignment="1">
      <alignment horizontal="center" vertical="center"/>
    </xf>
    <xf numFmtId="0" fontId="22" fillId="0" borderId="22" xfId="0" applyFont="1" applyBorder="1" applyAlignment="1">
      <alignment horizontal="center" vertical="center"/>
    </xf>
    <xf numFmtId="0" fontId="0" fillId="7" borderId="0" xfId="0" applyFill="1"/>
    <xf numFmtId="0" fontId="0" fillId="7" borderId="0" xfId="0" applyFill="1" applyAlignment="1">
      <alignment horizontal="center" vertical="center"/>
    </xf>
    <xf numFmtId="0" fontId="0" fillId="7" borderId="22" xfId="0" applyFill="1" applyBorder="1" applyAlignment="1">
      <alignment horizontal="center" vertical="center"/>
    </xf>
    <xf numFmtId="0" fontId="0" fillId="7" borderId="22" xfId="0" applyFill="1" applyBorder="1"/>
    <xf numFmtId="0" fontId="0" fillId="7" borderId="24" xfId="0" applyFill="1" applyBorder="1"/>
    <xf numFmtId="0" fontId="0" fillId="7" borderId="25" xfId="0" applyFill="1" applyBorder="1"/>
    <xf numFmtId="0" fontId="0" fillId="2" borderId="18" xfId="0" applyFill="1" applyBorder="1" applyAlignment="1">
      <alignment horizontal="center"/>
    </xf>
    <xf numFmtId="0" fontId="0" fillId="2" borderId="24" xfId="0" applyFill="1" applyBorder="1"/>
    <xf numFmtId="0" fontId="0" fillId="2" borderId="25" xfId="0" applyFill="1" applyBorder="1"/>
    <xf numFmtId="3" fontId="0" fillId="0" borderId="0" xfId="0" applyNumberFormat="1" applyAlignment="1">
      <alignment horizontal="center" vertical="center"/>
    </xf>
    <xf numFmtId="3" fontId="0" fillId="0" borderId="8" xfId="0" applyNumberFormat="1" applyBorder="1" applyAlignment="1">
      <alignment horizontal="center" vertical="center"/>
    </xf>
    <xf numFmtId="0" fontId="0" fillId="0" borderId="48" xfId="0" applyBorder="1"/>
    <xf numFmtId="0" fontId="0" fillId="0" borderId="38" xfId="0" applyBorder="1"/>
    <xf numFmtId="0" fontId="0" fillId="2" borderId="23" xfId="0" applyFill="1" applyBorder="1" applyAlignment="1">
      <alignment wrapText="1"/>
    </xf>
    <xf numFmtId="0" fontId="0" fillId="0" borderId="2" xfId="0" applyBorder="1" applyAlignment="1">
      <alignment wrapText="1"/>
    </xf>
    <xf numFmtId="0" fontId="0" fillId="0" borderId="33" xfId="0" applyBorder="1" applyAlignment="1">
      <alignment wrapText="1"/>
    </xf>
    <xf numFmtId="0" fontId="1" fillId="0" borderId="17" xfId="0" applyFont="1" applyBorder="1" applyAlignment="1">
      <alignment horizontal="center" vertical="center"/>
    </xf>
    <xf numFmtId="0" fontId="0" fillId="3" borderId="21" xfId="0" applyFill="1" applyBorder="1" applyAlignment="1">
      <alignment horizontal="center" vertical="center"/>
    </xf>
    <xf numFmtId="0" fontId="0" fillId="3" borderId="22" xfId="0" applyFill="1" applyBorder="1" applyAlignment="1">
      <alignment horizontal="center" vertical="center"/>
    </xf>
    <xf numFmtId="0" fontId="0" fillId="0" borderId="49" xfId="0" applyBorder="1" applyAlignment="1">
      <alignment horizontal="center" vertical="center" wrapText="1"/>
    </xf>
    <xf numFmtId="0" fontId="0" fillId="0" borderId="50" xfId="0" applyBorder="1" applyAlignment="1">
      <alignment horizontal="center" vertical="center"/>
    </xf>
    <xf numFmtId="0" fontId="0" fillId="0" borderId="35" xfId="0" applyBorder="1" applyAlignment="1">
      <alignment horizontal="center" vertical="center" wrapText="1"/>
    </xf>
    <xf numFmtId="0" fontId="22" fillId="0" borderId="18" xfId="0" applyFont="1" applyBorder="1" applyAlignment="1">
      <alignment horizontal="center"/>
    </xf>
    <xf numFmtId="0" fontId="22" fillId="0" borderId="19" xfId="0" applyFont="1" applyBorder="1" applyAlignment="1">
      <alignment horizontal="center"/>
    </xf>
    <xf numFmtId="0" fontId="22" fillId="0" borderId="20" xfId="0" applyFont="1" applyBorder="1" applyAlignment="1">
      <alignment horizontal="center"/>
    </xf>
    <xf numFmtId="0" fontId="16" fillId="0" borderId="1" xfId="0" applyFont="1" applyBorder="1" applyAlignment="1">
      <alignment vertical="center"/>
    </xf>
    <xf numFmtId="0" fontId="16" fillId="0" borderId="6" xfId="0" applyFont="1" applyBorder="1" applyAlignment="1">
      <alignment vertical="center"/>
    </xf>
    <xf numFmtId="0" fontId="0" fillId="12" borderId="22" xfId="0" applyFill="1" applyBorder="1" applyAlignment="1">
      <alignment horizontal="center" vertical="center"/>
    </xf>
    <xf numFmtId="0" fontId="0" fillId="12" borderId="24" xfId="0" applyFill="1" applyBorder="1" applyAlignment="1">
      <alignment horizontal="center" vertical="center"/>
    </xf>
    <xf numFmtId="0" fontId="0" fillId="12" borderId="0" xfId="0" applyFill="1" applyAlignment="1">
      <alignment horizontal="center" vertical="center"/>
    </xf>
    <xf numFmtId="0" fontId="0" fillId="12" borderId="25" xfId="0" applyFill="1" applyBorder="1" applyAlignment="1">
      <alignment horizontal="center" vertical="center"/>
    </xf>
    <xf numFmtId="49" fontId="0" fillId="0" borderId="1" xfId="0" applyNumberFormat="1" applyBorder="1" applyAlignment="1">
      <alignment horizontal="center"/>
    </xf>
    <xf numFmtId="49" fontId="0" fillId="0" borderId="3" xfId="0" applyNumberFormat="1" applyBorder="1" applyAlignment="1">
      <alignment horizontal="center"/>
    </xf>
    <xf numFmtId="0" fontId="20" fillId="0" borderId="51" xfId="0" applyFont="1" applyBorder="1" applyAlignment="1">
      <alignment horizontal="center"/>
    </xf>
    <xf numFmtId="0" fontId="0" fillId="0" borderId="43" xfId="0" applyBorder="1" applyAlignment="1">
      <alignment horizontal="center"/>
    </xf>
    <xf numFmtId="0" fontId="4" fillId="0" borderId="21" xfId="0" applyFont="1" applyBorder="1" applyAlignment="1">
      <alignment horizontal="center" wrapText="1"/>
    </xf>
    <xf numFmtId="0" fontId="4" fillId="0" borderId="22" xfId="0" applyFont="1" applyBorder="1" applyAlignment="1">
      <alignment horizontal="center"/>
    </xf>
    <xf numFmtId="0" fontId="0" fillId="0" borderId="4" xfId="0" applyBorder="1" applyAlignment="1">
      <alignment horizontal="center" vertical="center" wrapText="1"/>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xf>
    <xf numFmtId="0" fontId="22" fillId="0" borderId="30" xfId="0" applyFont="1" applyBorder="1" applyAlignment="1">
      <alignment horizontal="center" vertical="center"/>
    </xf>
    <xf numFmtId="0" fontId="22" fillId="0" borderId="31" xfId="0" applyFont="1" applyBorder="1" applyAlignment="1">
      <alignment horizontal="center" vertical="center"/>
    </xf>
    <xf numFmtId="0" fontId="22" fillId="0" borderId="32" xfId="0" applyFont="1" applyBorder="1" applyAlignment="1">
      <alignment horizontal="center" vertical="center"/>
    </xf>
    <xf numFmtId="0" fontId="0" fillId="0" borderId="33" xfId="0" applyBorder="1" applyAlignment="1">
      <alignment horizontal="center" wrapText="1"/>
    </xf>
    <xf numFmtId="0" fontId="1" fillId="0" borderId="18" xfId="0" applyFont="1" applyBorder="1" applyAlignment="1">
      <alignment horizontal="center"/>
    </xf>
    <xf numFmtId="0" fontId="1" fillId="0" borderId="20" xfId="0" applyFont="1" applyBorder="1" applyAlignment="1">
      <alignment horizontal="center"/>
    </xf>
    <xf numFmtId="0" fontId="0" fillId="2" borderId="0" xfId="0" applyFill="1" applyAlignment="1">
      <alignment horizontal="center" vertical="center"/>
    </xf>
    <xf numFmtId="0" fontId="0" fillId="2" borderId="6" xfId="0" applyFill="1" applyBorder="1" applyAlignment="1">
      <alignment horizontal="center" vertical="center"/>
    </xf>
    <xf numFmtId="0" fontId="0" fillId="2" borderId="9" xfId="0" applyFill="1" applyBorder="1"/>
    <xf numFmtId="165" fontId="0" fillId="2" borderId="7" xfId="0" applyNumberFormat="1" applyFill="1" applyBorder="1" applyAlignment="1">
      <alignment horizontal="center" vertical="center"/>
    </xf>
    <xf numFmtId="165" fontId="0" fillId="2" borderId="8" xfId="0" applyNumberFormat="1" applyFill="1" applyBorder="1" applyAlignment="1">
      <alignment horizontal="center" vertical="center"/>
    </xf>
    <xf numFmtId="165" fontId="0" fillId="2" borderId="9" xfId="0" applyNumberFormat="1" applyFill="1" applyBorder="1" applyAlignment="1">
      <alignment horizontal="center" vertical="center"/>
    </xf>
    <xf numFmtId="165" fontId="0" fillId="0" borderId="0" xfId="0" applyNumberFormat="1"/>
    <xf numFmtId="0" fontId="2" fillId="10" borderId="2" xfId="1" applyFill="1" applyBorder="1" applyAlignment="1">
      <alignment horizontal="center" vertical="center"/>
    </xf>
    <xf numFmtId="0" fontId="1" fillId="0" borderId="23" xfId="0" applyFont="1" applyBorder="1" applyAlignment="1">
      <alignment horizontal="center" vertical="center"/>
    </xf>
    <xf numFmtId="0" fontId="24" fillId="0" borderId="24" xfId="0" applyFont="1" applyBorder="1" applyAlignment="1">
      <alignment horizontal="center" vertical="center"/>
    </xf>
    <xf numFmtId="0" fontId="24" fillId="0" borderId="25" xfId="0" applyFont="1" applyBorder="1" applyAlignment="1">
      <alignment horizontal="center" vertical="center"/>
    </xf>
    <xf numFmtId="0" fontId="1" fillId="0" borderId="32" xfId="0" applyFont="1" applyBorder="1" applyAlignment="1">
      <alignment horizontal="center" vertical="center"/>
    </xf>
    <xf numFmtId="0" fontId="1" fillId="0" borderId="30" xfId="0" applyFont="1" applyBorder="1" applyAlignment="1">
      <alignment horizontal="center"/>
    </xf>
    <xf numFmtId="0" fontId="28" fillId="0" borderId="0" xfId="0" applyFont="1" applyAlignment="1">
      <alignment vertical="center"/>
    </xf>
    <xf numFmtId="0" fontId="25" fillId="0" borderId="0" xfId="0" applyFont="1" applyAlignment="1">
      <alignment vertical="center"/>
    </xf>
    <xf numFmtId="0" fontId="26" fillId="8" borderId="0" xfId="1" applyFont="1" applyFill="1" applyBorder="1" applyAlignment="1">
      <alignment horizontal="center" vertical="center"/>
    </xf>
    <xf numFmtId="0" fontId="2" fillId="8" borderId="2" xfId="1" quotePrefix="1" applyFill="1" applyBorder="1" applyAlignment="1">
      <alignment horizontal="center" vertical="center"/>
    </xf>
    <xf numFmtId="166" fontId="0" fillId="0" borderId="0" xfId="0" applyNumberFormat="1"/>
    <xf numFmtId="167" fontId="0" fillId="0" borderId="0" xfId="0" applyNumberFormat="1"/>
    <xf numFmtId="0" fontId="0" fillId="0" borderId="19" xfId="0" applyBorder="1" applyAlignment="1">
      <alignment horizontal="center"/>
    </xf>
    <xf numFmtId="0" fontId="0" fillId="0" borderId="20" xfId="0" applyBorder="1" applyAlignment="1">
      <alignment horizontal="center"/>
    </xf>
    <xf numFmtId="0" fontId="0" fillId="0" borderId="0" xfId="0" applyAlignment="1">
      <alignment horizontal="center" vertical="center" wrapText="1"/>
    </xf>
    <xf numFmtId="0" fontId="0" fillId="9" borderId="0" xfId="0" applyFill="1" applyAlignment="1">
      <alignment horizontal="center" vertical="center" wrapText="1"/>
    </xf>
    <xf numFmtId="0" fontId="0" fillId="0" borderId="18"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21" xfId="0" applyBorder="1" applyAlignment="1">
      <alignment horizontal="center" wrapText="1"/>
    </xf>
    <xf numFmtId="0" fontId="0" fillId="0" borderId="0" xfId="0" applyAlignment="1">
      <alignment horizontal="center" wrapText="1"/>
    </xf>
    <xf numFmtId="0" fontId="0" fillId="0" borderId="22" xfId="0"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0" fillId="0" borderId="25" xfId="0" applyBorder="1" applyAlignment="1">
      <alignment horizontal="center"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10" xfId="0" applyFont="1" applyBorder="1" applyAlignment="1">
      <alignment horizontal="center"/>
    </xf>
    <xf numFmtId="0" fontId="0" fillId="0" borderId="22" xfId="0" applyBorder="1" applyAlignment="1">
      <alignment horizontal="center" vertical="center" wrapText="1"/>
    </xf>
    <xf numFmtId="0" fontId="0" fillId="0" borderId="25" xfId="0" applyBorder="1" applyAlignment="1">
      <alignment horizontal="center" vertical="center" wrapText="1"/>
    </xf>
    <xf numFmtId="0" fontId="0" fillId="0" borderId="0" xfId="0"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1"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20" fillId="0" borderId="18" xfId="0" applyFont="1" applyBorder="1" applyAlignment="1">
      <alignment horizontal="center"/>
    </xf>
    <xf numFmtId="0" fontId="20" fillId="0" borderId="19" xfId="0" applyFont="1" applyBorder="1" applyAlignment="1">
      <alignment horizontal="center"/>
    </xf>
    <xf numFmtId="0" fontId="20" fillId="0" borderId="20" xfId="0" applyFont="1" applyBorder="1" applyAlignment="1">
      <alignment horizontal="center"/>
    </xf>
    <xf numFmtId="0" fontId="20" fillId="0" borderId="0" xfId="0" applyFont="1" applyAlignment="1">
      <alignment horizontal="center"/>
    </xf>
    <xf numFmtId="0" fontId="20" fillId="0" borderId="22" xfId="0" applyFont="1" applyBorder="1" applyAlignment="1">
      <alignment horizontal="center"/>
    </xf>
    <xf numFmtId="0" fontId="0" fillId="9" borderId="0" xfId="0" applyFill="1" applyAlignment="1">
      <alignment horizontal="center" wrapText="1"/>
    </xf>
    <xf numFmtId="0" fontId="0" fillId="0" borderId="21" xfId="0" applyBorder="1" applyAlignment="1">
      <alignment horizontal="center"/>
    </xf>
    <xf numFmtId="0" fontId="0" fillId="0" borderId="0" xfId="0" applyAlignment="1">
      <alignment horizontal="center"/>
    </xf>
    <xf numFmtId="0" fontId="0" fillId="0" borderId="22" xfId="0" applyBorder="1" applyAlignment="1">
      <alignment horizontal="center"/>
    </xf>
    <xf numFmtId="0" fontId="0" fillId="9" borderId="0" xfId="0" applyFill="1" applyAlignment="1">
      <alignment horizontal="left"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24" fillId="9" borderId="0" xfId="0" applyFont="1" applyFill="1" applyAlignment="1">
      <alignment horizontal="center" vertical="center" wrapText="1"/>
    </xf>
    <xf numFmtId="0" fontId="22" fillId="9" borderId="0" xfId="0" applyFont="1" applyFill="1" applyAlignment="1">
      <alignment horizontal="center" vertical="center" wrapText="1"/>
    </xf>
    <xf numFmtId="0" fontId="1" fillId="0" borderId="18" xfId="0" applyFont="1" applyBorder="1" applyAlignment="1">
      <alignment horizontal="center" vertical="center"/>
    </xf>
    <xf numFmtId="0" fontId="1" fillId="0" borderId="20"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31" xfId="0" applyBorder="1" applyAlignment="1">
      <alignment horizontal="left" vertical="center"/>
    </xf>
    <xf numFmtId="0" fontId="0" fillId="0" borderId="32"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left" vertical="top"/>
    </xf>
    <xf numFmtId="0" fontId="0" fillId="0" borderId="34" xfId="0" applyBorder="1" applyAlignment="1">
      <alignment horizontal="left" vertical="top"/>
    </xf>
    <xf numFmtId="0" fontId="0" fillId="0" borderId="36" xfId="0" applyBorder="1" applyAlignment="1">
      <alignment horizontal="left" vertic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38" xfId="0" applyBorder="1" applyAlignment="1">
      <alignment horizontal="center" vertical="center" wrapText="1"/>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0" fillId="0" borderId="0" xfId="0" applyAlignment="1">
      <alignment horizontal="left" vertical="center" wrapText="1"/>
    </xf>
    <xf numFmtId="0" fontId="0" fillId="0" borderId="21" xfId="0" applyBorder="1" applyAlignment="1">
      <alignment horizontal="center" vertical="center"/>
    </xf>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33" xfId="0" applyBorder="1" applyAlignment="1">
      <alignment horizontal="center"/>
    </xf>
    <xf numFmtId="0" fontId="0" fillId="0" borderId="2" xfId="0" applyBorder="1" applyAlignment="1">
      <alignment horizontal="center"/>
    </xf>
    <xf numFmtId="0" fontId="0" fillId="0" borderId="34"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36" xfId="0" applyBorder="1" applyAlignment="1">
      <alignment horizontal="center" wrapText="1"/>
    </xf>
    <xf numFmtId="0" fontId="0" fillId="0" borderId="37" xfId="0" applyBorder="1" applyAlignment="1">
      <alignment horizontal="center" wrapText="1"/>
    </xf>
    <xf numFmtId="0" fontId="0" fillId="9" borderId="18" xfId="0" applyFill="1" applyBorder="1" applyAlignment="1">
      <alignment horizontal="center" vertical="center" wrapText="1"/>
    </xf>
    <xf numFmtId="0" fontId="0" fillId="9" borderId="19" xfId="0" applyFill="1" applyBorder="1" applyAlignment="1">
      <alignment horizontal="center" vertical="center" wrapText="1"/>
    </xf>
    <xf numFmtId="0" fontId="0" fillId="9" borderId="20" xfId="0" applyFill="1" applyBorder="1" applyAlignment="1">
      <alignment horizontal="center" vertical="center" wrapText="1"/>
    </xf>
    <xf numFmtId="0" fontId="0" fillId="9" borderId="21" xfId="0" applyFill="1" applyBorder="1" applyAlignment="1">
      <alignment horizontal="center" vertical="center" wrapText="1"/>
    </xf>
    <xf numFmtId="0" fontId="0" fillId="9" borderId="22" xfId="0" applyFill="1" applyBorder="1" applyAlignment="1">
      <alignment horizontal="center" vertical="center" wrapText="1"/>
    </xf>
    <xf numFmtId="0" fontId="0" fillId="9" borderId="23"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25" xfId="0" applyFill="1" applyBorder="1" applyAlignment="1">
      <alignment horizontal="center" vertical="center" wrapText="1"/>
    </xf>
    <xf numFmtId="0" fontId="0" fillId="9" borderId="0" xfId="0" applyFill="1" applyAlignment="1">
      <alignment horizontal="center" vertical="center"/>
    </xf>
    <xf numFmtId="0" fontId="0" fillId="0" borderId="8" xfId="0" applyBorder="1" applyAlignment="1">
      <alignment horizontal="center"/>
    </xf>
    <xf numFmtId="0" fontId="0" fillId="0" borderId="8"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xf>
    <xf numFmtId="0" fontId="0" fillId="0" borderId="9"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0" fillId="0" borderId="1" xfId="0" applyBorder="1" applyAlignment="1">
      <alignment horizontal="center" vertical="center"/>
    </xf>
    <xf numFmtId="0" fontId="0" fillId="0" borderId="6" xfId="0" applyBorder="1" applyAlignment="1">
      <alignment horizontal="center" vertical="center"/>
    </xf>
    <xf numFmtId="0" fontId="1" fillId="0" borderId="19" xfId="0" applyFont="1" applyBorder="1" applyAlignment="1">
      <alignment horizontal="center" vertical="center"/>
    </xf>
    <xf numFmtId="0" fontId="4" fillId="0" borderId="3" xfId="0" applyFont="1" applyBorder="1" applyAlignment="1">
      <alignment horizontal="center"/>
    </xf>
    <xf numFmtId="0" fontId="4" fillId="0" borderId="4" xfId="0" applyFont="1" applyBorder="1" applyAlignment="1">
      <alignment horizontal="center"/>
    </xf>
    <xf numFmtId="0" fontId="4" fillId="0" borderId="13" xfId="0" applyFont="1"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4" fillId="0" borderId="14"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15" xfId="0" applyFont="1" applyBorder="1" applyAlignment="1">
      <alignment horizontal="center"/>
    </xf>
    <xf numFmtId="0" fontId="0" fillId="0" borderId="18" xfId="0" applyBorder="1" applyAlignment="1">
      <alignment horizontal="left"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1" fillId="0" borderId="0" xfId="0" applyFont="1" applyAlignment="1">
      <alignment horizontal="center" vertical="center"/>
    </xf>
    <xf numFmtId="0" fontId="34" fillId="9" borderId="0" xfId="0" applyFont="1" applyFill="1" applyAlignment="1">
      <alignment horizontal="center" vertical="center" wrapText="1"/>
    </xf>
    <xf numFmtId="0" fontId="0" fillId="11" borderId="0" xfId="0" applyFill="1" applyAlignment="1">
      <alignment horizontal="center" vertical="center" wrapText="1"/>
    </xf>
    <xf numFmtId="0" fontId="0" fillId="11" borderId="22" xfId="0" applyFill="1" applyBorder="1" applyAlignment="1">
      <alignment horizontal="center" vertical="center" wrapText="1"/>
    </xf>
    <xf numFmtId="0" fontId="0" fillId="11" borderId="24" xfId="0" applyFill="1" applyBorder="1" applyAlignment="1">
      <alignment horizontal="center" vertical="center" wrapText="1"/>
    </xf>
    <xf numFmtId="0" fontId="0" fillId="11" borderId="25" xfId="0" applyFill="1" applyBorder="1" applyAlignment="1">
      <alignment horizontal="center" vertical="center" wrapText="1"/>
    </xf>
    <xf numFmtId="0" fontId="0" fillId="11" borderId="8" xfId="0" applyFill="1" applyBorder="1" applyAlignment="1">
      <alignment horizontal="center" vertical="center" wrapText="1"/>
    </xf>
    <xf numFmtId="0" fontId="0" fillId="11" borderId="40" xfId="0" applyFill="1" applyBorder="1" applyAlignment="1">
      <alignment horizontal="center" vertical="center" wrapText="1"/>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49" xfId="0" applyBorder="1" applyAlignment="1">
      <alignment horizontal="center" vertical="center"/>
    </xf>
    <xf numFmtId="0" fontId="0" fillId="0" borderId="54" xfId="0"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254374</xdr:colOff>
      <xdr:row>0</xdr:row>
      <xdr:rowOff>0</xdr:rowOff>
    </xdr:from>
    <xdr:to>
      <xdr:col>26</xdr:col>
      <xdr:colOff>643592</xdr:colOff>
      <xdr:row>35</xdr:row>
      <xdr:rowOff>88700</xdr:rowOff>
    </xdr:to>
    <xdr:pic>
      <xdr:nvPicPr>
        <xdr:cNvPr id="2" name="Picture 1">
          <a:extLst>
            <a:ext uri="{FF2B5EF4-FFF2-40B4-BE49-F238E27FC236}">
              <a16:creationId xmlns:a16="http://schemas.microsoft.com/office/drawing/2014/main" id="{5CBCD6F8-C4F4-20D6-B4F6-C35FAA11695C}"/>
            </a:ext>
          </a:extLst>
        </xdr:cNvPr>
        <xdr:cNvPicPr>
          <a:picLocks noChangeAspect="1"/>
        </xdr:cNvPicPr>
      </xdr:nvPicPr>
      <xdr:blipFill>
        <a:blip xmlns:r="http://schemas.openxmlformats.org/officeDocument/2006/relationships" r:embed="rId1"/>
        <a:stretch>
          <a:fillRect/>
        </a:stretch>
      </xdr:blipFill>
      <xdr:spPr>
        <a:xfrm>
          <a:off x="15418174" y="0"/>
          <a:ext cx="7933018" cy="93789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www.asemana.publ.cv/spip.php?article86062"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power-sonic.com/blog/single-phase-and-three-phase-voltage-by-country/"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vatcalc.com/vat-rates/" TargetMode="External"/><Relationship Id="rId21" Type="http://schemas.openxmlformats.org/officeDocument/2006/relationships/hyperlink" Target="https://www.zimra.co.zw/15-tax/vat/1769-taxable-and-exempt" TargetMode="External"/><Relationship Id="rId42" Type="http://schemas.openxmlformats.org/officeDocument/2006/relationships/hyperlink" Target="https://www.bpc.bw/" TargetMode="External"/><Relationship Id="rId63" Type="http://schemas.openxmlformats.org/officeDocument/2006/relationships/hyperlink" Target="https://www.vatcalc.com/vat-rates/" TargetMode="External"/><Relationship Id="rId84" Type="http://schemas.openxmlformats.org/officeDocument/2006/relationships/hyperlink" Target="https://www.vatcalc.com/vat-rates/" TargetMode="External"/><Relationship Id="rId138" Type="http://schemas.openxmlformats.org/officeDocument/2006/relationships/hyperlink" Target="https://www.vatcalc.com/vat-rates/" TargetMode="External"/><Relationship Id="rId107" Type="http://schemas.openxmlformats.org/officeDocument/2006/relationships/hyperlink" Target="https://www.reg.rw/about-us/subsidiaries/eucl/" TargetMode="External"/><Relationship Id="rId11" Type="http://schemas.openxmlformats.org/officeDocument/2006/relationships/hyperlink" Target="https://www.puc.sc/electricity-tariffs/" TargetMode="External"/><Relationship Id="rId32" Type="http://schemas.openxmlformats.org/officeDocument/2006/relationships/hyperlink" Target="https://www.mofcom.gov.cn/dl/gbdqzn/upload/jineiyabishao.pdf" TargetMode="External"/><Relationship Id="rId53" Type="http://schemas.openxmlformats.org/officeDocument/2006/relationships/hyperlink" Target="https://www.electra.cv/frontend/web/index.php?r=site%2Findex" TargetMode="External"/><Relationship Id="rId74" Type="http://schemas.openxmlformats.org/officeDocument/2006/relationships/hyperlink" Target="https://nawec.gm/" TargetMode="External"/><Relationship Id="rId128" Type="http://schemas.openxmlformats.org/officeDocument/2006/relationships/hyperlink" Target="https://www.ceet.tg/tg/?page_id=2921" TargetMode="External"/><Relationship Id="rId149" Type="http://schemas.openxmlformats.org/officeDocument/2006/relationships/hyperlink" Target="https://www.esera.org.sz/tariffs/subsidy/" TargetMode="External"/><Relationship Id="rId5" Type="http://schemas.openxmlformats.org/officeDocument/2006/relationships/hyperlink" Target="https://pura.gm/economic-regulations/tariff/electricity-tariff/" TargetMode="External"/><Relationship Id="rId95" Type="http://schemas.openxmlformats.org/officeDocument/2006/relationships/hyperlink" Target="https://ceb.mu/files/files/tariffs/Social%20Tariff%20Dec%202015.pdf" TargetMode="External"/><Relationship Id="rId22" Type="http://schemas.openxmlformats.org/officeDocument/2006/relationships/hyperlink" Target="https://www.sonabel.bf/wp-content/uploads/2023/12/Grille-Tarifaire.pdf" TargetMode="External"/><Relationship Id="rId27" Type="http://schemas.openxmlformats.org/officeDocument/2006/relationships/hyperlink" Target="https://finances.bj/wp-content/uploads/2022/09/Benin-General-Tax-Code-2022.pdf" TargetMode="External"/><Relationship Id="rId43" Type="http://schemas.openxmlformats.org/officeDocument/2006/relationships/hyperlink" Target="https://www.bpc.bw/about-bpc/faq" TargetMode="External"/><Relationship Id="rId48" Type="http://schemas.openxmlformats.org/officeDocument/2006/relationships/hyperlink" Target="https://apua-asea.org/en/page-de-profil-utilisateur/regideso/profil/" TargetMode="External"/><Relationship Id="rId64" Type="http://schemas.openxmlformats.org/officeDocument/2006/relationships/hyperlink" Target="https://www.vatcalc.com/vat-rates/" TargetMode="External"/><Relationship Id="rId69" Type="http://schemas.openxmlformats.org/officeDocument/2006/relationships/hyperlink" Target="http://www.eeu.gov.et/" TargetMode="External"/><Relationship Id="rId113" Type="http://schemas.openxmlformats.org/officeDocument/2006/relationships/hyperlink" Target="https://www.nation.sc/archive/232996/vat-a-neutral-tax" TargetMode="External"/><Relationship Id="rId118" Type="http://schemas.openxmlformats.org/officeDocument/2006/relationships/hyperlink" Target="https://www.developmentaid.org/organizations/view/230718/south-sudan-electricity-corporation-ssec" TargetMode="External"/><Relationship Id="rId134" Type="http://schemas.openxmlformats.org/officeDocument/2006/relationships/hyperlink" Target="https://www.vatupdate.com/2024/02/12/zimbabwe-amends-vat-exemptions-for-essential-goods-and-services-introduced-in-2023/" TargetMode="External"/><Relationship Id="rId139" Type="http://schemas.openxmlformats.org/officeDocument/2006/relationships/hyperlink" Target="https://www.cif.org/sites/default/files/meeting-documents/comoros_eoi_0.pdf" TargetMode="External"/><Relationship Id="rId80" Type="http://schemas.openxmlformats.org/officeDocument/2006/relationships/hyperlink" Target="https://edg.com.gn/service/comprendre-ma-facture/" TargetMode="External"/><Relationship Id="rId85" Type="http://schemas.openxmlformats.org/officeDocument/2006/relationships/hyperlink" Target="https://www.pwc.co.za/en/publications/vat-in-africa/liberia-overview.html" TargetMode="External"/><Relationship Id="rId150" Type="http://schemas.openxmlformats.org/officeDocument/2006/relationships/hyperlink" Target="https://www.lewa.org.ls/tariffs-determinations/" TargetMode="External"/><Relationship Id="rId12" Type="http://schemas.openxmlformats.org/officeDocument/2006/relationships/hyperlink" Target="https://ewrc.gov.sl/tariff/electricity-tariff/" TargetMode="External"/><Relationship Id="rId17" Type="http://schemas.openxmlformats.org/officeDocument/2006/relationships/hyperlink" Target="https://www.stimatracker.com/" TargetMode="External"/><Relationship Id="rId33" Type="http://schemas.openxmlformats.org/officeDocument/2006/relationships/hyperlink" Target="https://www.vatcalc.com/vat-rates/" TargetMode="External"/><Relationship Id="rId38" Type="http://schemas.openxmlformats.org/officeDocument/2006/relationships/hyperlink" Target="https://www.mofcom.gov.cn/dl/gbdqzn/upload/chidaojineiya.pdf" TargetMode="External"/><Relationship Id="rId59" Type="http://schemas.openxmlformats.org/officeDocument/2006/relationships/hyperlink" Target="http://www.cpssc.org/uploads/file/2022/1642644295402532.pdf" TargetMode="External"/><Relationship Id="rId103" Type="http://schemas.openxmlformats.org/officeDocument/2006/relationships/hyperlink" Target="https://www.facebook.com/E2CSA" TargetMode="External"/><Relationship Id="rId108" Type="http://schemas.openxmlformats.org/officeDocument/2006/relationships/hyperlink" Target="https://taxsummaries.pwc.com/rwanda/corporate/other-taxes" TargetMode="External"/><Relationship Id="rId124" Type="http://schemas.openxmlformats.org/officeDocument/2006/relationships/hyperlink" Target="https://www.tanesco.co.tz/" TargetMode="External"/><Relationship Id="rId129" Type="http://schemas.openxmlformats.org/officeDocument/2006/relationships/hyperlink" Target="https://www.umeme.co.ug/" TargetMode="External"/><Relationship Id="rId54" Type="http://schemas.openxmlformats.org/officeDocument/2006/relationships/hyperlink" Target="https://www.vatcalc.com/vat-rates/" TargetMode="External"/><Relationship Id="rId70" Type="http://schemas.openxmlformats.org/officeDocument/2006/relationships/hyperlink" Target="https://www.seeg-gabon.com/med/trf/Presentation_des_tarifs_1582277618493.pdf" TargetMode="External"/><Relationship Id="rId75" Type="http://schemas.openxmlformats.org/officeDocument/2006/relationships/hyperlink" Target="https://allafrica.com/stories/201305171150.html" TargetMode="External"/><Relationship Id="rId91" Type="http://schemas.openxmlformats.org/officeDocument/2006/relationships/hyperlink" Target="https://www.edmsa.ml/" TargetMode="External"/><Relationship Id="rId96" Type="http://schemas.openxmlformats.org/officeDocument/2006/relationships/hyperlink" Target="https://ceb.mu/customer-corner/paying-your-bill" TargetMode="External"/><Relationship Id="rId140" Type="http://schemas.openxmlformats.org/officeDocument/2006/relationships/hyperlink" Target="https://www.dgenergie.ci/fichiers_uploades/files/Arrete-Interministeriel-n%C2%B0-0644-MMPE-MEF-MBPE-du-7-juin-2023-fixant-les-tarifs-de-lelectricite-Copier-1.pdf" TargetMode="External"/><Relationship Id="rId145" Type="http://schemas.openxmlformats.org/officeDocument/2006/relationships/hyperlink" Target="https://cenored.com.na/wp-content/uploads/2024/08/CENORED-Schedule-of-Approved-Tariffs-FY2024-2025.pdf" TargetMode="External"/><Relationship Id="rId1" Type="http://schemas.openxmlformats.org/officeDocument/2006/relationships/hyperlink" Target="https://www.bpc.bw/customer-service/tariffs" TargetMode="External"/><Relationship Id="rId6" Type="http://schemas.openxmlformats.org/officeDocument/2006/relationships/hyperlink" Target="https://www.escom.mw/tariffs-and-charges/" TargetMode="External"/><Relationship Id="rId23" Type="http://schemas.openxmlformats.org/officeDocument/2006/relationships/hyperlink" Target="https://www.global-climatescope.org/markets/cd/" TargetMode="External"/><Relationship Id="rId28" Type="http://schemas.openxmlformats.org/officeDocument/2006/relationships/hyperlink" Target="https://taxsummaries.pwc.com/angola/corporate/other-taxes" TargetMode="External"/><Relationship Id="rId49" Type="http://schemas.openxmlformats.org/officeDocument/2006/relationships/hyperlink" Target="http://enerca-rca.com/" TargetMode="External"/><Relationship Id="rId114" Type="http://schemas.openxmlformats.org/officeDocument/2006/relationships/hyperlink" Target="https://www.vatcalc.com/vat-rates/" TargetMode="External"/><Relationship Id="rId119" Type="http://schemas.openxmlformats.org/officeDocument/2006/relationships/hyperlink" Target="https://www.vatcalc.com/vat-rates/" TargetMode="External"/><Relationship Id="rId44" Type="http://schemas.openxmlformats.org/officeDocument/2006/relationships/hyperlink" Target="https://www.sonabel.bf/facturation/" TargetMode="External"/><Relationship Id="rId60" Type="http://schemas.openxmlformats.org/officeDocument/2006/relationships/hyperlink" Target="https://soneleccomores.com/" TargetMode="External"/><Relationship Id="rId65" Type="http://schemas.openxmlformats.org/officeDocument/2006/relationships/hyperlink" Target="https://www.vatcalc.com/vat-rates/" TargetMode="External"/><Relationship Id="rId81" Type="http://schemas.openxmlformats.org/officeDocument/2006/relationships/hyperlink" Target="https://edg.com.gn/service/comprendre-ma-facture/" TargetMode="External"/><Relationship Id="rId86" Type="http://schemas.openxmlformats.org/officeDocument/2006/relationships/hyperlink" Target="https://www.jirama.mg/" TargetMode="External"/><Relationship Id="rId130" Type="http://schemas.openxmlformats.org/officeDocument/2006/relationships/hyperlink" Target="https://www.era.go.ug/index.php?option=com_content&amp;view=article&amp;id=209:policies&amp;catid=100:renewable-energy-investment-guide" TargetMode="External"/><Relationship Id="rId135" Type="http://schemas.openxmlformats.org/officeDocument/2006/relationships/hyperlink" Target="https://zimpricecheck.com/price-updates/zesa-tariffs/?srsltid=AfmBOopqyE2LszPAz3FVDrn3vbMv8cgspbr4aYOyMjSYsNCM8GVhQRWg" TargetMode="External"/><Relationship Id="rId151" Type="http://schemas.openxmlformats.org/officeDocument/2006/relationships/hyperlink" Target="https://www.sciencedirect.com/science/article/pii/S0301421520301373" TargetMode="External"/><Relationship Id="rId13" Type="http://schemas.openxmlformats.org/officeDocument/2006/relationships/hyperlink" Target="https://www.tanesco.co.tz/attachments/customer_services/_unewEou3Ea2ea5kfxYK7GX9H0qhcjnO_2022_11_30_07_10_00.pdf" TargetMode="External"/><Relationship Id="rId18" Type="http://schemas.openxmlformats.org/officeDocument/2006/relationships/hyperlink" Target="http://www.eeu.gov.et/electricity-tariff/detail/938?lang=am" TargetMode="External"/><Relationship Id="rId39" Type="http://schemas.openxmlformats.org/officeDocument/2006/relationships/hyperlink" Target="https://www.purc.com.gh/attachment/994532-20241029051019.pdf" TargetMode="External"/><Relationship Id="rId109" Type="http://schemas.openxmlformats.org/officeDocument/2006/relationships/hyperlink" Target="https://www.senelec.sn/grille-tarifaire" TargetMode="External"/><Relationship Id="rId34" Type="http://schemas.openxmlformats.org/officeDocument/2006/relationships/hyperlink" Target="https://www.jirama.mg/wp-content/uploads/2020/05/Tarif_ELEC_JIRAMA.2018.01.pdf" TargetMode="External"/><Relationship Id="rId50" Type="http://schemas.openxmlformats.org/officeDocument/2006/relationships/hyperlink" Target="https://www.vatcalc.com/vat-rates/" TargetMode="External"/><Relationship Id="rId55" Type="http://schemas.openxmlformats.org/officeDocument/2006/relationships/hyperlink" Target="https://eneocameroon.cm/index.php/en/welcome" TargetMode="External"/><Relationship Id="rId76" Type="http://schemas.openxmlformats.org/officeDocument/2006/relationships/hyperlink" Target="https://www.vatcalc.com/vat-rates/" TargetMode="External"/><Relationship Id="rId97" Type="http://schemas.openxmlformats.org/officeDocument/2006/relationships/hyperlink" Target="https://www.edm.co.mz/en/website/page/electricity-tariffs" TargetMode="External"/><Relationship Id="rId104" Type="http://schemas.openxmlformats.org/officeDocument/2006/relationships/hyperlink" Target="https://www.vatcalc.com/vat-rates/" TargetMode="External"/><Relationship Id="rId120" Type="http://schemas.openxmlformats.org/officeDocument/2006/relationships/hyperlink" Target="https://www.vatcalc.com/vat-rates/" TargetMode="External"/><Relationship Id="rId125" Type="http://schemas.openxmlformats.org/officeDocument/2006/relationships/hyperlink" Target="https://taxsummaries.pwc.com/tanzania/corporate/other-taxes" TargetMode="External"/><Relationship Id="rId141" Type="http://schemas.openxmlformats.org/officeDocument/2006/relationships/hyperlink" Target="https://www.vatcalc.com/vat-rates/" TargetMode="External"/><Relationship Id="rId146" Type="http://schemas.openxmlformats.org/officeDocument/2006/relationships/hyperlink" Target="https://www.eskom.co.za/distribution/wp-content/uploads/2024/05/ESK114-Eskom-Digital-Tariff-Booklet-2024_Final.pdf" TargetMode="External"/><Relationship Id="rId7" Type="http://schemas.openxmlformats.org/officeDocument/2006/relationships/hyperlink" Target="https://somelec.mr/?q=node/1414" TargetMode="External"/><Relationship Id="rId71" Type="http://schemas.openxmlformats.org/officeDocument/2006/relationships/hyperlink" Target="https://www.seeg-gabon.com/med/trf/Presentation_des_tarifs_1582277618493.pdf" TargetMode="External"/><Relationship Id="rId92" Type="http://schemas.openxmlformats.org/officeDocument/2006/relationships/hyperlink" Target="https://somelec.mr/?q=communiques" TargetMode="External"/><Relationship Id="rId2" Type="http://schemas.openxmlformats.org/officeDocument/2006/relationships/hyperlink" Target="https://www.mofcom.gov.cn/dl/gbdqzn/upload/angela.pdf" TargetMode="External"/><Relationship Id="rId29" Type="http://schemas.openxmlformats.org/officeDocument/2006/relationships/hyperlink" Target="https://www.pwc.co.za/en/publications/vat-in-africa/burkina-faso-overview.html" TargetMode="External"/><Relationship Id="rId24" Type="http://schemas.openxmlformats.org/officeDocument/2006/relationships/hyperlink" Target="https://www.global-climatescope.org/markets/er/" TargetMode="External"/><Relationship Id="rId40" Type="http://schemas.openxmlformats.org/officeDocument/2006/relationships/hyperlink" Target="https://apua-asea.org/en/page-de-profil-utilisateur/ende-ep/profil/" TargetMode="External"/><Relationship Id="rId45" Type="http://schemas.openxmlformats.org/officeDocument/2006/relationships/hyperlink" Target="https://lefaso.net/spip.php?article75750" TargetMode="External"/><Relationship Id="rId66" Type="http://schemas.openxmlformats.org/officeDocument/2006/relationships/hyperlink" Target="https://www.eec.co.sz/commercial/tariffs/" TargetMode="External"/><Relationship Id="rId87" Type="http://schemas.openxmlformats.org/officeDocument/2006/relationships/hyperlink" Target="https://www.vatcalc.com/vat-rates/" TargetMode="External"/><Relationship Id="rId110" Type="http://schemas.openxmlformats.org/officeDocument/2006/relationships/hyperlink" Target="https://www.vatcalc.com/vat-rates/" TargetMode="External"/><Relationship Id="rId115" Type="http://schemas.openxmlformats.org/officeDocument/2006/relationships/hyperlink" Target="https://www.vatcalc.com/vat-rates/" TargetMode="External"/><Relationship Id="rId131" Type="http://schemas.openxmlformats.org/officeDocument/2006/relationships/hyperlink" Target="https://www.zesco.co.zm/" TargetMode="External"/><Relationship Id="rId136" Type="http://schemas.openxmlformats.org/officeDocument/2006/relationships/hyperlink" Target="https://magetsi.co.zw/zesa-tariffs" TargetMode="External"/><Relationship Id="rId61" Type="http://schemas.openxmlformats.org/officeDocument/2006/relationships/hyperlink" Target="https://apua-asea.org/page-de-profil-utilisateur/snel-rdc/profil/" TargetMode="External"/><Relationship Id="rId82" Type="http://schemas.openxmlformats.org/officeDocument/2006/relationships/hyperlink" Target="https://www.facebook.com/photo/?fbid=1102350148563962&amp;set=a.494947699304213" TargetMode="External"/><Relationship Id="rId152" Type="http://schemas.openxmlformats.org/officeDocument/2006/relationships/hyperlink" Target="https://www.irena.org/-/media/Files/IRENA/Agency/Publication/2019/Sep/IRENA_RRA_Mali_2019_En.pdf" TargetMode="External"/><Relationship Id="rId19" Type="http://schemas.openxmlformats.org/officeDocument/2006/relationships/hyperlink" Target="https://www.vatcalc.com/vat-rates/" TargetMode="External"/><Relationship Id="rId14" Type="http://schemas.openxmlformats.org/officeDocument/2006/relationships/hyperlink" Target="https://www.umeme.co.ug/tariffs" TargetMode="External"/><Relationship Id="rId30" Type="http://schemas.openxmlformats.org/officeDocument/2006/relationships/hyperlink" Target="https://www.mofcom.gov.cn/dl/gbdqzn/upload/bulongdi.pdf" TargetMode="External"/><Relationship Id="rId35" Type="http://schemas.openxmlformats.org/officeDocument/2006/relationships/hyperlink" Target="https://rise.esmap.org/data/files/library/niger/Electricity%20Access/Niger_Decree%20796%20Electricity%20Tariffs_%202017.pdf" TargetMode="External"/><Relationship Id="rId56" Type="http://schemas.openxmlformats.org/officeDocument/2006/relationships/hyperlink" Target="https://eneocameroon.cm/index.php/en/eneo-answers-your-questions-billing/2992-the-2019-finance-law-exempts-value-added-tax-on-certain-consumptions-some-customers-think-that-eneo-does-not-apply-the-text-properly-thus-for-example-for-a-bill-of-300-kwh-they-think-that-eneo-should-apply-the-vat-only-on-80-kwh-leaving-out-the-first-220-kwh" TargetMode="External"/><Relationship Id="rId77" Type="http://schemas.openxmlformats.org/officeDocument/2006/relationships/hyperlink" Target="https://www.pwc.co.za/en/publications/vat-in-africa/gambia-overview.html" TargetMode="External"/><Relationship Id="rId100" Type="http://schemas.openxmlformats.org/officeDocument/2006/relationships/hyperlink" Target="https://mpra.ub.uni-muenchen.de/11074/1/MPRA_paper_11074.pdf" TargetMode="External"/><Relationship Id="rId105" Type="http://schemas.openxmlformats.org/officeDocument/2006/relationships/hyperlink" Target="https://www.facebook.com/photo/?fbid=266143958526061&amp;set=a.149542256852899" TargetMode="External"/><Relationship Id="rId126" Type="http://schemas.openxmlformats.org/officeDocument/2006/relationships/hyperlink" Target="https://www.ceet.tg/tg/" TargetMode="External"/><Relationship Id="rId147" Type="http://schemas.openxmlformats.org/officeDocument/2006/relationships/hyperlink" Target="https://taxsummaries.pwc.com/south-africa/corporate/other-taxes" TargetMode="External"/><Relationship Id="rId8" Type="http://schemas.openxmlformats.org/officeDocument/2006/relationships/hyperlink" Target="https://ceb.mu/files/files/tariffs/154_Main_171222_URA.pdf" TargetMode="External"/><Relationship Id="rId51" Type="http://schemas.openxmlformats.org/officeDocument/2006/relationships/hyperlink" Target="https://www.vatcalc.com/vat-rates/" TargetMode="External"/><Relationship Id="rId72" Type="http://schemas.openxmlformats.org/officeDocument/2006/relationships/hyperlink" Target="https://www.seeg-gabon.com/med/trf/Presentation_Tarif_1_1582277812688.pdf" TargetMode="External"/><Relationship Id="rId93" Type="http://schemas.openxmlformats.org/officeDocument/2006/relationships/hyperlink" Target="https://taxsummaries.pwc.com/mauritania/corporate/other-taxes" TargetMode="External"/><Relationship Id="rId98" Type="http://schemas.openxmlformats.org/officeDocument/2006/relationships/hyperlink" Target="https://www.vatcalc.com/vat-rates/" TargetMode="External"/><Relationship Id="rId121" Type="http://schemas.openxmlformats.org/officeDocument/2006/relationships/hyperlink" Target="https://www.linkedin.com/company/sudanese-electricity-distribution-company/posts/?feedView=all" TargetMode="External"/><Relationship Id="rId142" Type="http://schemas.openxmlformats.org/officeDocument/2006/relationships/hyperlink" Target="https://eis.ecowas.int/assets/front/medias/doc/media_20221214094744.pdf" TargetMode="External"/><Relationship Id="rId3" Type="http://schemas.openxmlformats.org/officeDocument/2006/relationships/hyperlink" Target="https://eneocameroon.cm/index.php/en/clients-particuliers-vos-factures-et-paiement-en/clients-particuliers-vos-factures-et-paiement-tarifs-delectricite-en" TargetMode="External"/><Relationship Id="rId25" Type="http://schemas.openxmlformats.org/officeDocument/2006/relationships/hyperlink" Target="https://www.global-climatescope.org/markets/so/" TargetMode="External"/><Relationship Id="rId46" Type="http://schemas.openxmlformats.org/officeDocument/2006/relationships/hyperlink" Target="https://burkina24.com/2024/05/06/tribune-comprehension-des-taxes-sur-les-factures-delectricite-avec-amos-zong-naba/" TargetMode="External"/><Relationship Id="rId67" Type="http://schemas.openxmlformats.org/officeDocument/2006/relationships/hyperlink" Target="https://www.pwc.co.za/en/publications/vat-in-africa/eswatini-overview.html" TargetMode="External"/><Relationship Id="rId116" Type="http://schemas.openxmlformats.org/officeDocument/2006/relationships/hyperlink" Target="https://www.facebook.com/EDSASalone/" TargetMode="External"/><Relationship Id="rId137" Type="http://schemas.openxmlformats.org/officeDocument/2006/relationships/hyperlink" Target="https://moewr.gov.so/ova_doc/tariff-and-licensing-regulations/" TargetMode="External"/><Relationship Id="rId20" Type="http://schemas.openxmlformats.org/officeDocument/2006/relationships/hyperlink" Target="https://www.lewa.org.ls/tariffs-determinations/" TargetMode="External"/><Relationship Id="rId41" Type="http://schemas.openxmlformats.org/officeDocument/2006/relationships/hyperlink" Target="https://apua-asea.org/page-de-profil-utilisateur/sbee/profil/" TargetMode="External"/><Relationship Id="rId62" Type="http://schemas.openxmlformats.org/officeDocument/2006/relationships/hyperlink" Target="https://ippjournal.com/company/eritrea-electricity-corporation-eec" TargetMode="External"/><Relationship Id="rId83" Type="http://schemas.openxmlformats.org/officeDocument/2006/relationships/hyperlink" Target="https://www.lewa.org.ls/?fbclid=IwY2xjawGUpJ1leHRuA2FlbQIxMAABHSADwAJBGGnnI9GIjHm2lIw1PTh8cbhkrP-ZsNBYU7w4ntX9AIqxYu4MYQ_aem_EOZU8pIqa_Udba1Ba0o7ag" TargetMode="External"/><Relationship Id="rId88" Type="http://schemas.openxmlformats.org/officeDocument/2006/relationships/hyperlink" Target="https://www.escom.mw/" TargetMode="External"/><Relationship Id="rId111" Type="http://schemas.openxmlformats.org/officeDocument/2006/relationships/hyperlink" Target="https://www.facebook.com/photo.php?fbid=588974326729148&amp;id=100068497574987&amp;set=a.501180258841889&amp;locale=gl_ES" TargetMode="External"/><Relationship Id="rId132" Type="http://schemas.openxmlformats.org/officeDocument/2006/relationships/hyperlink" Target="https://www.vatcalc.com/vat-rates/" TargetMode="External"/><Relationship Id="rId153" Type="http://schemas.openxmlformats.org/officeDocument/2006/relationships/hyperlink" Target="https://ewsdata.rightsindevelopment.org/files/documents/11/WB-P176711.pdf" TargetMode="External"/><Relationship Id="rId15" Type="http://schemas.openxmlformats.org/officeDocument/2006/relationships/hyperlink" Target="https://www.erb.org.zm/wp-content/uploads/files/Tariffs/Approved-ZESCO-Multi-Year-Tariffs-2024-2027.pdf" TargetMode="External"/><Relationship Id="rId36" Type="http://schemas.openxmlformats.org/officeDocument/2006/relationships/hyperlink" Target="https://nerc.gov.ng/wp-content/uploads/2024/06/YEDC-MYTO-ORDER-JUNE-2024.pdf" TargetMode="External"/><Relationship Id="rId57" Type="http://schemas.openxmlformats.org/officeDocument/2006/relationships/hyperlink" Target="https://apua-asea.org/en/page-de-profil-utilisateur/sne/profil/" TargetMode="External"/><Relationship Id="rId106" Type="http://schemas.openxmlformats.org/officeDocument/2006/relationships/hyperlink" Target="https://www.global-climatescope.org/markets/cg/" TargetMode="External"/><Relationship Id="rId127" Type="http://schemas.openxmlformats.org/officeDocument/2006/relationships/hyperlink" Target="https://www.vatcalc.com/vat-rates/" TargetMode="External"/><Relationship Id="rId10" Type="http://schemas.openxmlformats.org/officeDocument/2006/relationships/hyperlink" Target="https://www.reg.rw/customer-service/tariffs/" TargetMode="External"/><Relationship Id="rId31" Type="http://schemas.openxmlformats.org/officeDocument/2006/relationships/hyperlink" Target="https://www.pwc.co.za/en/publications/vat-in-africa/guinea-overview.html" TargetMode="External"/><Relationship Id="rId52" Type="http://schemas.openxmlformats.org/officeDocument/2006/relationships/hyperlink" Target="http://enerca-rca.com/p/service-tarification" TargetMode="External"/><Relationship Id="rId73" Type="http://schemas.openxmlformats.org/officeDocument/2006/relationships/hyperlink" Target="https://www.seeg-gabon.com/activites" TargetMode="External"/><Relationship Id="rId78" Type="http://schemas.openxmlformats.org/officeDocument/2006/relationships/hyperlink" Target="https://wts.com/global/publishing-article/20240410-suspension-of-vat-on-electricity-tariff~publishing-article" TargetMode="External"/><Relationship Id="rId94" Type="http://schemas.openxmlformats.org/officeDocument/2006/relationships/hyperlink" Target="https://www.mra.mu/download/vatcir2.pdf" TargetMode="External"/><Relationship Id="rId99" Type="http://schemas.openxmlformats.org/officeDocument/2006/relationships/hyperlink" Target="https://apua-asea.org/en/page-de-profil-utilisateur/nigelec/profil/" TargetMode="External"/><Relationship Id="rId101" Type="http://schemas.openxmlformats.org/officeDocument/2006/relationships/hyperlink" Target="https://www.tcn.org.ng/index.php" TargetMode="External"/><Relationship Id="rId122" Type="http://schemas.openxmlformats.org/officeDocument/2006/relationships/hyperlink" Target="https://www.emae.st/" TargetMode="External"/><Relationship Id="rId143" Type="http://schemas.openxmlformats.org/officeDocument/2006/relationships/hyperlink" Target="https://www.nored.com.na/electricity-tariffs/" TargetMode="External"/><Relationship Id="rId148" Type="http://schemas.openxmlformats.org/officeDocument/2006/relationships/hyperlink" Target="https://lecliberia.com/customer-service/payment-billing/current-tariff/" TargetMode="External"/><Relationship Id="rId4" Type="http://schemas.openxmlformats.org/officeDocument/2006/relationships/hyperlink" Target="https://www.electra.cv/frontend/web/index.php?r=site%2Ftarifa" TargetMode="External"/><Relationship Id="rId9" Type="http://schemas.openxmlformats.org/officeDocument/2006/relationships/hyperlink" Target="https://www.edm.co.mz/en/website/page/electricity-tariffs" TargetMode="External"/><Relationship Id="rId26" Type="http://schemas.openxmlformats.org/officeDocument/2006/relationships/hyperlink" Target="https://www.jedcopower.com/" TargetMode="External"/><Relationship Id="rId47" Type="http://schemas.openxmlformats.org/officeDocument/2006/relationships/hyperlink" Target="https://www.sonabel.bf/" TargetMode="External"/><Relationship Id="rId68" Type="http://schemas.openxmlformats.org/officeDocument/2006/relationships/hyperlink" Target="https://www.eec.co.sz/domestic/tariffs/" TargetMode="External"/><Relationship Id="rId89" Type="http://schemas.openxmlformats.org/officeDocument/2006/relationships/hyperlink" Target="https://www.nyasatimes.com/escom-migrates-90-per-cent-of-customers-to-prepaid-billing-system/" TargetMode="External"/><Relationship Id="rId112" Type="http://schemas.openxmlformats.org/officeDocument/2006/relationships/hyperlink" Target="https://www.puc.sc/" TargetMode="External"/><Relationship Id="rId133" Type="http://schemas.openxmlformats.org/officeDocument/2006/relationships/hyperlink" Target="https://www.zetdc.co.zw/" TargetMode="External"/><Relationship Id="rId16" Type="http://schemas.openxmlformats.org/officeDocument/2006/relationships/hyperlink" Target="https://sbee.bj/particuliers/tarifications/" TargetMode="External"/><Relationship Id="rId37" Type="http://schemas.openxmlformats.org/officeDocument/2006/relationships/hyperlink" Target="https://www.emae.st/PT/clientes/tarifarios" TargetMode="External"/><Relationship Id="rId58" Type="http://schemas.openxmlformats.org/officeDocument/2006/relationships/hyperlink" Target="https://www.vatcalc.com/vat-rates/" TargetMode="External"/><Relationship Id="rId79" Type="http://schemas.openxmlformats.org/officeDocument/2006/relationships/hyperlink" Target="https://ecg.com.gh/index.php/en/services/billing-centre/current-tariff" TargetMode="External"/><Relationship Id="rId102" Type="http://schemas.openxmlformats.org/officeDocument/2006/relationships/hyperlink" Target="https://www.vatcalc.com/vat-rates/" TargetMode="External"/><Relationship Id="rId123" Type="http://schemas.openxmlformats.org/officeDocument/2006/relationships/hyperlink" Target="https://www.vatcalc.com/vat-rates/" TargetMode="External"/><Relationship Id="rId144" Type="http://schemas.openxmlformats.org/officeDocument/2006/relationships/hyperlink" Target="https://www.erongored.com/wp-content/uploads/2024/07/Erongo-RED-20232024-tariffs.pdf" TargetMode="External"/><Relationship Id="rId90" Type="http://schemas.openxmlformats.org/officeDocument/2006/relationships/hyperlink" Target="https://taxsummaries.pwc.com/malawi/corporate/other-taxes" TargetMode="Externa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energysage.com/electricity/house-watts/how-many-watts-does-microwave-use/" TargetMode="External"/><Relationship Id="rId3" Type="http://schemas.openxmlformats.org/officeDocument/2006/relationships/hyperlink" Target="https://www.energysage.com/electricity/house-watts/how-many-watts-does-a-refrigerator-use/" TargetMode="External"/><Relationship Id="rId7" Type="http://schemas.openxmlformats.org/officeDocument/2006/relationships/hyperlink" Target="https://www.energysage.com/electricity/house-watts/how-many-watts-does-a-washing-machine-use/" TargetMode="External"/><Relationship Id="rId12" Type="http://schemas.openxmlformats.org/officeDocument/2006/relationships/hyperlink" Target="https://www.energysage.com/electricity/house-watts/how-many-watts-does-a-computer-use/" TargetMode="External"/><Relationship Id="rId2" Type="http://schemas.openxmlformats.org/officeDocument/2006/relationships/hyperlink" Target="https://www.tcl.com/uk/en/blog/how-much-electricity-does-an-air-conditioner-use" TargetMode="External"/><Relationship Id="rId1" Type="http://schemas.openxmlformats.org/officeDocument/2006/relationships/hyperlink" Target="https://www.beama.org.uk/static/uploaded/080037a7-4dd8-4776-a6a5abb0988269ba.pdf" TargetMode="External"/><Relationship Id="rId6" Type="http://schemas.openxmlformats.org/officeDocument/2006/relationships/hyperlink" Target="https://www.energysage.com/electricity/house-watts/how-many-watts-does-a-light-bulb-use/" TargetMode="External"/><Relationship Id="rId11" Type="http://schemas.openxmlformats.org/officeDocument/2006/relationships/hyperlink" Target="https://www.energysage.com/electricity/house-watts/how-many-watts-does-a-tv-use/" TargetMode="External"/><Relationship Id="rId5" Type="http://schemas.openxmlformats.org/officeDocument/2006/relationships/hyperlink" Target="https://www.techradar.com/home/vacuums/how-many-watts-of-power-is-good-for-a-vacuum-cleaner" TargetMode="External"/><Relationship Id="rId10" Type="http://schemas.openxmlformats.org/officeDocument/2006/relationships/hyperlink" Target="https://www.jackery.com/blogs/knowledge/how-many-watts-does-a-water-heater-use" TargetMode="External"/><Relationship Id="rId4" Type="http://schemas.openxmlformats.org/officeDocument/2006/relationships/hyperlink" Target="https://www.renogy.com/blog/how-many-watts-does-an-electric-stove-use" TargetMode="External"/><Relationship Id="rId9" Type="http://schemas.openxmlformats.org/officeDocument/2006/relationships/hyperlink" Target="https://www.energysage.com/electricity/house-watts/how-many-watts-does-an-electric-oven-and-stove-use/"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https://www.ecb.org.na/wp-content/uploads/2024/02/ORM_User_Manual__Tariff_Guidebook.pdf" TargetMode="External"/><Relationship Id="rId2" Type="http://schemas.openxmlformats.org/officeDocument/2006/relationships/hyperlink" Target="https://www.ecb.org.na/wp-content/uploads/2023/02/CENORED-2022.pdf" TargetMode="External"/><Relationship Id="rId1" Type="http://schemas.openxmlformats.org/officeDocument/2006/relationships/hyperlink" Target="https://www.power-sonic.com/blog/single-phase-and-three-phase-voltage-by-country/"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www.power-sonic.com/blog/single-phase-and-three-phase-voltage-by-country/"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https://www.power-sonic.com/blog/single-phase-and-three-phase-voltage-by-countr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power-sonic.com/blog/single-phase-and-three-phase-voltage-by-count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5F09-3A3B-D241-9C78-4439F2BA8EDC}">
  <dimension ref="A6:N26"/>
  <sheetViews>
    <sheetView zoomScale="174" workbookViewId="0">
      <selection activeCell="A17" sqref="A17"/>
    </sheetView>
  </sheetViews>
  <sheetFormatPr baseColWidth="10" defaultRowHeight="16"/>
  <cols>
    <col min="1" max="1" width="29" customWidth="1"/>
    <col min="2" max="2" width="23" customWidth="1"/>
    <col min="3" max="3" width="16.83203125" customWidth="1"/>
    <col min="4" max="4" width="20.5" customWidth="1"/>
    <col min="5" max="5" width="14.1640625" customWidth="1"/>
    <col min="6" max="6" width="13.33203125" customWidth="1"/>
    <col min="7" max="7" width="24" customWidth="1"/>
    <col min="9" max="9" width="19" customWidth="1"/>
    <col min="13" max="13" width="19.5" customWidth="1"/>
  </cols>
  <sheetData>
    <row r="6" spans="1:14">
      <c r="A6" s="167" t="s">
        <v>1140</v>
      </c>
      <c r="B6" s="168"/>
      <c r="C6" s="168"/>
      <c r="D6" s="168"/>
      <c r="E6" s="168"/>
      <c r="F6" s="168"/>
      <c r="G6" s="168"/>
      <c r="H6" s="168"/>
      <c r="I6" s="169"/>
    </row>
    <row r="7" spans="1:14">
      <c r="A7" s="170" t="s">
        <v>1</v>
      </c>
      <c r="B7" s="170" t="s">
        <v>2</v>
      </c>
      <c r="C7" s="170" t="s">
        <v>3</v>
      </c>
      <c r="D7" s="170" t="s">
        <v>37</v>
      </c>
      <c r="E7" s="170" t="s">
        <v>574</v>
      </c>
      <c r="F7" s="170" t="s">
        <v>5</v>
      </c>
      <c r="G7" s="170" t="s">
        <v>8</v>
      </c>
      <c r="H7" s="170" t="s">
        <v>590</v>
      </c>
      <c r="I7" s="170" t="s">
        <v>9</v>
      </c>
      <c r="N7" s="12"/>
    </row>
    <row r="8" spans="1:14">
      <c r="A8" s="170" t="s">
        <v>11</v>
      </c>
      <c r="B8" s="170" t="s">
        <v>12</v>
      </c>
      <c r="C8" s="170" t="s">
        <v>13</v>
      </c>
      <c r="D8" s="170" t="s">
        <v>14</v>
      </c>
      <c r="E8" s="170" t="s">
        <v>42</v>
      </c>
      <c r="F8" s="170" t="s">
        <v>15</v>
      </c>
      <c r="G8" s="170" t="s">
        <v>16</v>
      </c>
      <c r="H8" s="170" t="s">
        <v>17</v>
      </c>
      <c r="I8" s="170" t="s">
        <v>18</v>
      </c>
      <c r="N8" s="12"/>
    </row>
    <row r="9" spans="1:14">
      <c r="A9" s="170" t="s">
        <v>19</v>
      </c>
      <c r="B9" s="170" t="s">
        <v>20</v>
      </c>
      <c r="C9" s="170" t="s">
        <v>21</v>
      </c>
      <c r="D9" s="170" t="s">
        <v>45</v>
      </c>
      <c r="E9" s="170" t="s">
        <v>22</v>
      </c>
      <c r="F9" s="170" t="s">
        <v>23</v>
      </c>
      <c r="G9" s="170" t="s">
        <v>24</v>
      </c>
      <c r="H9" s="170" t="s">
        <v>25</v>
      </c>
      <c r="I9" s="170" t="s">
        <v>26</v>
      </c>
    </row>
    <row r="10" spans="1:14">
      <c r="A10" s="170" t="s">
        <v>34</v>
      </c>
      <c r="B10" s="170" t="s">
        <v>27</v>
      </c>
      <c r="C10" s="170" t="s">
        <v>28</v>
      </c>
      <c r="D10" s="170" t="s">
        <v>29</v>
      </c>
      <c r="E10" s="170" t="s">
        <v>30</v>
      </c>
      <c r="F10" s="170" t="s">
        <v>31</v>
      </c>
      <c r="G10" s="170" t="s">
        <v>35</v>
      </c>
      <c r="H10" s="170" t="s">
        <v>32</v>
      </c>
      <c r="I10" s="170" t="s">
        <v>33</v>
      </c>
    </row>
    <row r="11" spans="1:14">
      <c r="A11" s="170" t="s">
        <v>36</v>
      </c>
      <c r="B11" s="445" t="s">
        <v>591</v>
      </c>
      <c r="C11" s="444"/>
      <c r="D11" s="316"/>
      <c r="E11" s="316"/>
      <c r="F11" s="316"/>
      <c r="G11" s="316"/>
      <c r="H11" s="316"/>
      <c r="I11" s="316"/>
    </row>
    <row r="13" spans="1:14">
      <c r="A13" s="29" t="s">
        <v>1141</v>
      </c>
      <c r="B13" s="30"/>
      <c r="C13" s="30"/>
      <c r="D13" s="30"/>
      <c r="E13" s="30"/>
      <c r="F13" s="31"/>
    </row>
    <row r="14" spans="1:14">
      <c r="A14" s="318" t="s">
        <v>1004</v>
      </c>
      <c r="B14" s="30"/>
      <c r="C14" s="30"/>
      <c r="D14" s="30"/>
      <c r="E14" s="30"/>
      <c r="F14" s="31"/>
    </row>
    <row r="15" spans="1:14">
      <c r="A15" s="29" t="s">
        <v>1138</v>
      </c>
      <c r="B15" s="30"/>
      <c r="C15" s="30"/>
      <c r="D15" s="30"/>
      <c r="E15" s="30"/>
      <c r="F15" s="31"/>
    </row>
    <row r="16" spans="1:14">
      <c r="A16" s="317" t="s">
        <v>0</v>
      </c>
      <c r="B16" s="317" t="s">
        <v>4</v>
      </c>
      <c r="C16" s="317" t="s">
        <v>40</v>
      </c>
      <c r="D16" s="327" t="s">
        <v>6</v>
      </c>
      <c r="E16" s="30"/>
      <c r="F16" s="31"/>
    </row>
    <row r="17" spans="1:6">
      <c r="A17" s="323" t="s">
        <v>1145</v>
      </c>
      <c r="B17" s="30"/>
      <c r="C17" s="30"/>
      <c r="D17" s="30"/>
      <c r="E17" s="30"/>
      <c r="F17" s="31"/>
    </row>
    <row r="18" spans="1:6">
      <c r="A18" s="324" t="s">
        <v>7</v>
      </c>
      <c r="B18" s="30"/>
      <c r="C18" s="30"/>
      <c r="D18" s="325"/>
      <c r="E18" s="325"/>
      <c r="F18" s="326"/>
    </row>
    <row r="19" spans="1:6">
      <c r="A19" s="322" t="s">
        <v>286</v>
      </c>
      <c r="B19" s="319"/>
      <c r="C19" s="319"/>
      <c r="D19" s="319"/>
      <c r="E19" s="319"/>
      <c r="F19" s="320"/>
    </row>
    <row r="20" spans="1:6">
      <c r="A20" s="328" t="s">
        <v>1139</v>
      </c>
      <c r="B20" s="319"/>
      <c r="C20" s="319"/>
      <c r="D20" s="319"/>
      <c r="E20" s="319"/>
      <c r="F20" s="320"/>
    </row>
    <row r="21" spans="1:6">
      <c r="A21" s="329" t="s">
        <v>38</v>
      </c>
      <c r="B21" s="329" t="s">
        <v>41</v>
      </c>
      <c r="C21" s="329" t="s">
        <v>44</v>
      </c>
      <c r="D21" s="436" t="s">
        <v>39</v>
      </c>
      <c r="E21" s="330"/>
      <c r="F21" s="330"/>
    </row>
    <row r="22" spans="1:6">
      <c r="A22" s="331" t="s">
        <v>1005</v>
      </c>
      <c r="B22" s="332"/>
      <c r="C22" s="332"/>
      <c r="D22" s="319"/>
      <c r="E22" s="319"/>
      <c r="F22" s="320"/>
    </row>
    <row r="23" spans="1:6">
      <c r="A23" s="321" t="s">
        <v>43</v>
      </c>
      <c r="B23" s="333"/>
      <c r="C23" s="333"/>
      <c r="D23" s="330"/>
      <c r="E23" s="330"/>
      <c r="F23" s="330"/>
    </row>
    <row r="24" spans="1:6">
      <c r="A24" s="1"/>
      <c r="B24" s="1"/>
      <c r="C24" s="1"/>
      <c r="D24" s="1"/>
    </row>
    <row r="25" spans="1:6">
      <c r="A25" s="1"/>
      <c r="B25" s="1"/>
      <c r="C25" s="1"/>
      <c r="D25" s="1"/>
    </row>
    <row r="26" spans="1:6">
      <c r="A26" s="1"/>
      <c r="B26" s="1"/>
      <c r="C26" s="1"/>
      <c r="D26" s="1"/>
    </row>
  </sheetData>
  <hyperlinks>
    <hyperlink ref="C7" location="'Burkina Faso'!A1" display="Burkina Faso" xr:uid="{6F535DD7-2800-3848-9A64-32F48215AAC3}"/>
    <hyperlink ref="A7" location="Benin!A1" display="Benin" xr:uid="{DDDAC9D0-61BC-E642-821C-9EEA750EB1B5}"/>
    <hyperlink ref="B7" location="Botswana!A1" display="Botswana" xr:uid="{B0FC70F7-9EDC-A74D-ADE8-013E41B7F683}"/>
    <hyperlink ref="D7" location="'Central African Republic'!A1" display="Central African Republic" xr:uid="{8A7F2803-B9B8-6E43-A14A-D610CE1DDBE8}"/>
    <hyperlink ref="E7" location="'Cabo Verde'!A1" display="Cabo Verde" xr:uid="{72314FFD-5784-AD45-9A09-EF13C514A141}"/>
    <hyperlink ref="F7" location="Cameroon!A1" display="Cameroon" xr:uid="{3391A9B7-4700-5D4F-BC3E-0B34550424C7}"/>
    <hyperlink ref="G7" location="'Cote d''Ivoire'!A1" display="Côte d'Ivoire" xr:uid="{B7A34533-3F2A-3345-830D-AE360CB2067B}"/>
    <hyperlink ref="H7" location="Eswatini!A1" display="Eswatini" xr:uid="{08C3413B-E13C-6041-82F7-94298A150866}"/>
    <hyperlink ref="I7" location="Ethiopia!A1" display="Ethiopia" xr:uid="{59C76BD3-3508-EE4C-B8CF-4800446E9B6D}"/>
    <hyperlink ref="A8" location="Gabon!A1" display="Gabon" xr:uid="{FAED97E4-1A07-9146-96C5-B7D2E5BAC32F}"/>
    <hyperlink ref="B8" location="Gambia!A1" display="Gambia" xr:uid="{002690D3-AE18-D54D-8411-CCEC93E95FE6}"/>
    <hyperlink ref="C8" location="Ghana!A1" display="Ghana" xr:uid="{7E3A5982-58E6-D241-AB84-5A8AD894D6A3}"/>
    <hyperlink ref="D8" location="Guinea!A1" display="Guinea" xr:uid="{7AF6F83C-973F-6C43-B79E-3CA968F427E3}"/>
    <hyperlink ref="E8" location="'Guinea-Bissau'!A1" display="Guinea-Bissau" xr:uid="{91532E57-D108-2448-B33B-E592FC6D00AC}"/>
    <hyperlink ref="F8" location="Kenya!A1" display="Kenya" xr:uid="{3AFFAAAB-86F6-5D4A-9A4E-14E9F2C4BBF3}"/>
    <hyperlink ref="G8" location="Lesotho!A1" display="Lesotho" xr:uid="{EEA4C719-7C87-E94E-ACC6-8C20191A9A8E}"/>
    <hyperlink ref="H8" location="Liberia!A1" display="Liberia" xr:uid="{5C7528D0-7CD6-B443-A65C-A4623E9234BD}"/>
    <hyperlink ref="I8" location="Madagascar!A1" display="Madagascar" xr:uid="{C9B7B173-04AD-E048-AF44-6D7E27D9CC48}"/>
    <hyperlink ref="A9" location="Malawi!A1" display="Malawi" xr:uid="{C6006374-DF32-A743-837A-7AD91D095DA9}"/>
    <hyperlink ref="B9" location="Mali!A1" display="Mali" xr:uid="{CF448FC0-8E87-C643-B220-423CB4E4CEE4}"/>
    <hyperlink ref="C9" location="Mauritania!A1" display="Mauritania" xr:uid="{841E5AC1-0695-1244-85F1-AC91B1AF7C53}"/>
    <hyperlink ref="D9" location="Mauritius!A1" display="Mauritius" xr:uid="{EC75324B-3CA8-2D4F-8ED7-CD8B885CC09F}"/>
    <hyperlink ref="E9" location="Mozambique!A1" display="Mozambique" xr:uid="{4065992E-DE01-E942-801A-722D83E7F507}"/>
    <hyperlink ref="F9" location="Namibia!A1" display="Namibia" xr:uid="{74DA58CC-A323-DA41-93A0-090310BF4663}"/>
    <hyperlink ref="G9" location="Niger!A1" display="Niger" xr:uid="{7EDA9927-B969-434F-845C-3476E2040E11}"/>
    <hyperlink ref="H9" location="Nigeria!A1" display="Nigeria" xr:uid="{E4B8212D-D04A-EB44-9E49-A756F7D02B1A}"/>
    <hyperlink ref="B10" location="Senegal!A1" display="Senegal" xr:uid="{AAF4008A-808D-B948-AB77-A6D3E722CC7C}"/>
    <hyperlink ref="C10" location="Seychelles!A1" display="Seychelles" xr:uid="{F8120635-EE42-1D42-8E5C-83DCF34D17C2}"/>
    <hyperlink ref="D10" location="'Sierra Leone'!A1" display="Sierra Leone" xr:uid="{C8A53D98-3CD4-2649-B736-3C9F9B6F76D8}"/>
    <hyperlink ref="E10" location="'South Africa'!A1" display="South Africa" xr:uid="{C18A4EA0-79CF-8D42-929A-793E130DF9DC}"/>
    <hyperlink ref="F10" location="'South Sudan'!A1" display="South Sudan" xr:uid="{F89A3912-EB0A-674B-85A8-E7E63DF526F7}"/>
    <hyperlink ref="H10" location="Tanzania!A1" display="Tanzania" xr:uid="{28E708A4-388F-9146-82FA-E20EC088A1AE}"/>
    <hyperlink ref="I10" location="Togo!A1" display="Togo" xr:uid="{CCCA7C8A-9D1B-9441-A4E0-E44D9E0A195A}"/>
    <hyperlink ref="A16" location="Angola!A1" display="Angola" xr:uid="{92958B8E-7830-094E-8898-BF760D684296}"/>
    <hyperlink ref="B16" location="Burundi!A1" display="Burundi" xr:uid="{7AD602A8-7C04-7F4B-85BE-B656E64F4602}"/>
    <hyperlink ref="C16" location="'Equatorial Guinea'!A1" display="Equatorial Guinea" xr:uid="{9BD5D4A9-4DE7-A44F-80AE-063702FEE266}"/>
    <hyperlink ref="A18" location="Comoros!A1" display="Comoros" xr:uid="{C96E482D-D1DF-CF44-932C-3E674A0B2A27}"/>
    <hyperlink ref="A21" location="'Democratic Republic of the Cong'!A1" display="Democratic Republic of the Congo" xr:uid="{4F4FD8CE-75EE-A248-9155-B848AC7A4DA8}"/>
    <hyperlink ref="B21" location="Eritrea!A1" display="Eritrea" xr:uid="{C7980571-07EA-6648-9A1F-5750F79AF6B9}"/>
    <hyperlink ref="C21" location="Somalia!A1" display="Somalia" xr:uid="{E75D8CA2-359D-BB45-8BE8-6398F17B36AF}"/>
    <hyperlink ref="A23" location="Sudan!A1" display="Sudan" xr:uid="{274B1B0A-5775-2C44-B8AA-239F9BFFE270}"/>
    <hyperlink ref="D16" location="Chad!A1" display="Chad" xr:uid="{8007207C-8282-2540-B246-69EBE40F47FB}"/>
    <hyperlink ref="D21" location="'Republic of the Congo'!A1" display="Republic of the Congo" xr:uid="{C10FD34B-C146-744B-9CA8-4D596CB51FDE}"/>
    <hyperlink ref="I9" location="Rwanda!A1" display="Rwanda" xr:uid="{DA7A29F9-FD93-B74A-97B7-F603C6B92115}"/>
    <hyperlink ref="A10" location="Uganda!A1" display="Uganda" xr:uid="{21C547F0-49FD-D040-8A00-BABAE4BDD238}"/>
    <hyperlink ref="G10" location="Zambia!A1" display="Zambia" xr:uid="{B2A967C6-3854-2D40-92E7-4A60CB74AB18}"/>
    <hyperlink ref="A11" location="Zimbabwe!A1" display="Zimbabwe" xr:uid="{AAA69C6A-CDD1-1245-9C26-AC2EBAC46309}"/>
    <hyperlink ref="B11" location="'São Tomé and Príncipe'!A1" display="'São Tomé and Príncipe'!A1" xr:uid="{5773CB5D-9A7E-9F40-B34D-F52FC3510B1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00756-6256-7E44-96D0-00B7546AADBF}">
  <dimension ref="A1:N10"/>
  <sheetViews>
    <sheetView zoomScale="150" workbookViewId="0">
      <selection activeCell="E15" sqref="E15"/>
    </sheetView>
  </sheetViews>
  <sheetFormatPr baseColWidth="10" defaultRowHeight="16"/>
  <cols>
    <col min="1" max="8" width="10.83203125" style="4"/>
    <col min="10" max="10" width="43" customWidth="1"/>
  </cols>
  <sheetData>
    <row r="1" spans="1:14">
      <c r="A1" s="172"/>
      <c r="B1" s="173" t="s">
        <v>97</v>
      </c>
      <c r="C1" s="173" t="s">
        <v>98</v>
      </c>
      <c r="D1" s="173" t="s">
        <v>99</v>
      </c>
      <c r="E1" s="173" t="s">
        <v>100</v>
      </c>
      <c r="F1" s="173" t="s">
        <v>101</v>
      </c>
      <c r="G1" s="173" t="s">
        <v>102</v>
      </c>
      <c r="H1" s="174" t="s">
        <v>199</v>
      </c>
    </row>
    <row r="2" spans="1:14">
      <c r="A2" s="175" t="s">
        <v>103</v>
      </c>
      <c r="B2" s="4">
        <v>0</v>
      </c>
      <c r="C2" s="4">
        <v>1.2E-2</v>
      </c>
      <c r="D2" s="4">
        <v>0.2</v>
      </c>
      <c r="E2" s="4">
        <v>1</v>
      </c>
      <c r="F2" s="4">
        <v>3.4</v>
      </c>
      <c r="G2" s="4">
        <v>8.1999999999999993</v>
      </c>
      <c r="H2" s="176" t="s">
        <v>200</v>
      </c>
    </row>
    <row r="3" spans="1:14" ht="69" thickBot="1">
      <c r="A3" s="178" t="s">
        <v>110</v>
      </c>
      <c r="B3" s="179">
        <v>0</v>
      </c>
      <c r="C3" s="179">
        <f>C2*30</f>
        <v>0.36</v>
      </c>
      <c r="D3" s="179">
        <f t="shared" ref="D3:G3" si="0">D2*30</f>
        <v>6</v>
      </c>
      <c r="E3" s="179">
        <f t="shared" si="0"/>
        <v>30</v>
      </c>
      <c r="F3" s="179">
        <f t="shared" si="0"/>
        <v>102</v>
      </c>
      <c r="G3" s="179">
        <f t="shared" si="0"/>
        <v>245.99999999999997</v>
      </c>
      <c r="H3" s="180" t="s">
        <v>200</v>
      </c>
    </row>
    <row r="4" spans="1:14" ht="17" thickBot="1">
      <c r="I4" s="25" t="s">
        <v>133</v>
      </c>
      <c r="J4" s="26"/>
    </row>
    <row r="5" spans="1:14" ht="35" thickBot="1">
      <c r="A5" s="353" t="s">
        <v>125</v>
      </c>
      <c r="B5" s="264">
        <v>28.5</v>
      </c>
      <c r="C5" s="354" t="s">
        <v>126</v>
      </c>
      <c r="D5" s="264">
        <v>36.39</v>
      </c>
      <c r="E5" s="355" t="s">
        <v>658</v>
      </c>
      <c r="F5" s="356">
        <v>1.1599999999999999</v>
      </c>
    </row>
    <row r="6" spans="1:14" ht="17" thickBot="1">
      <c r="J6" s="118" t="s">
        <v>127</v>
      </c>
      <c r="K6" s="17">
        <v>3.56E-2</v>
      </c>
      <c r="L6" s="18"/>
      <c r="M6" s="15"/>
      <c r="N6" s="16"/>
    </row>
    <row r="7" spans="1:14">
      <c r="A7" s="195" t="s">
        <v>109</v>
      </c>
      <c r="B7" s="196" t="s">
        <v>97</v>
      </c>
      <c r="C7" s="196" t="s">
        <v>98</v>
      </c>
      <c r="D7" s="196" t="s">
        <v>99</v>
      </c>
      <c r="E7" s="196" t="s">
        <v>100</v>
      </c>
      <c r="F7" s="196" t="s">
        <v>101</v>
      </c>
      <c r="G7" s="197" t="s">
        <v>102</v>
      </c>
      <c r="J7" s="119" t="s">
        <v>128</v>
      </c>
      <c r="K7" s="115">
        <v>32.53</v>
      </c>
      <c r="L7" s="114"/>
      <c r="N7" s="20"/>
    </row>
    <row r="8" spans="1:14" ht="17" thickBot="1">
      <c r="A8" s="198" t="s">
        <v>59</v>
      </c>
      <c r="B8" s="199">
        <f>B3*B5</f>
        <v>0</v>
      </c>
      <c r="C8" s="199">
        <f>C3*B5+F5*C3</f>
        <v>10.6776</v>
      </c>
      <c r="D8" s="199">
        <f>B5*D3+F5*D3</f>
        <v>177.96</v>
      </c>
      <c r="E8" s="199">
        <f>B5*E3+F5*E3</f>
        <v>889.8</v>
      </c>
      <c r="F8" s="199">
        <f>B5*60+(F3-60)*D5+F5*F3</f>
        <v>3356.7000000000003</v>
      </c>
      <c r="G8" s="200">
        <f>B5*60+(G3-60)*D5+F5*G3</f>
        <v>8763.9</v>
      </c>
      <c r="J8" s="120" t="s">
        <v>129</v>
      </c>
      <c r="K8" s="116">
        <v>1.1580680000000001</v>
      </c>
      <c r="L8" s="114"/>
      <c r="N8" s="20"/>
    </row>
    <row r="9" spans="1:14">
      <c r="J9" s="121" t="s">
        <v>130</v>
      </c>
      <c r="K9" s="21" t="s">
        <v>131</v>
      </c>
      <c r="L9" s="117"/>
      <c r="N9" s="20"/>
    </row>
    <row r="10" spans="1:14">
      <c r="J10" s="122"/>
      <c r="K10" s="23" t="s">
        <v>132</v>
      </c>
      <c r="L10" s="23"/>
      <c r="M10" s="36"/>
      <c r="N10" s="24"/>
    </row>
  </sheetData>
  <hyperlinks>
    <hyperlink ref="K9" r:id="rId1" xr:uid="{25718C4B-D4B8-9A4E-B4BE-88617634A7DD}"/>
  </hyperlinks>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4C4FA-716C-4246-B03F-B892BB34BFA3}">
  <dimension ref="A1:L13"/>
  <sheetViews>
    <sheetView zoomScale="138" workbookViewId="0">
      <selection activeCell="G13" sqref="G13"/>
    </sheetView>
  </sheetViews>
  <sheetFormatPr baseColWidth="10" defaultRowHeight="16"/>
  <cols>
    <col min="1" max="1" width="17.6640625" customWidth="1"/>
    <col min="2" max="2" width="18" customWidth="1"/>
    <col min="10" max="10" width="36" customWidth="1"/>
    <col min="11" max="11" width="22.1640625" customWidth="1"/>
  </cols>
  <sheetData>
    <row r="1" spans="1:12">
      <c r="A1" s="172"/>
      <c r="B1" s="173" t="s">
        <v>97</v>
      </c>
      <c r="C1" s="173" t="s">
        <v>98</v>
      </c>
      <c r="D1" s="173" t="s">
        <v>99</v>
      </c>
      <c r="E1" s="173" t="s">
        <v>100</v>
      </c>
      <c r="F1" s="173" t="s">
        <v>101</v>
      </c>
      <c r="G1" s="173" t="s">
        <v>102</v>
      </c>
      <c r="H1" s="174" t="s">
        <v>199</v>
      </c>
    </row>
    <row r="2" spans="1:12">
      <c r="A2" s="175" t="s">
        <v>103</v>
      </c>
      <c r="B2" s="4">
        <v>0</v>
      </c>
      <c r="C2" s="4">
        <v>1.2E-2</v>
      </c>
      <c r="D2" s="4">
        <v>0.2</v>
      </c>
      <c r="E2" s="4">
        <v>1</v>
      </c>
      <c r="F2" s="4">
        <v>3.4</v>
      </c>
      <c r="G2" s="4">
        <v>8.1999999999999993</v>
      </c>
      <c r="H2" s="176" t="s">
        <v>200</v>
      </c>
    </row>
    <row r="3" spans="1:12" ht="35" thickBot="1">
      <c r="A3" s="178" t="s">
        <v>110</v>
      </c>
      <c r="B3" s="179">
        <v>0</v>
      </c>
      <c r="C3" s="179">
        <f>C2*30</f>
        <v>0.36</v>
      </c>
      <c r="D3" s="179">
        <f t="shared" ref="D3:G3" si="0">D2*30</f>
        <v>6</v>
      </c>
      <c r="E3" s="179">
        <f t="shared" si="0"/>
        <v>30</v>
      </c>
      <c r="F3" s="179">
        <f t="shared" si="0"/>
        <v>102</v>
      </c>
      <c r="G3" s="179">
        <f t="shared" si="0"/>
        <v>245.99999999999997</v>
      </c>
      <c r="H3" s="180" t="s">
        <v>200</v>
      </c>
    </row>
    <row r="4" spans="1:12" ht="17" thickBot="1">
      <c r="A4" s="6"/>
      <c r="B4" s="4"/>
      <c r="C4" s="4"/>
      <c r="D4" s="4"/>
      <c r="E4" s="4"/>
      <c r="F4" s="4"/>
      <c r="G4" s="4"/>
      <c r="H4" s="4"/>
      <c r="J4" s="157" t="s">
        <v>52</v>
      </c>
      <c r="K4" s="158"/>
      <c r="L4" s="159"/>
    </row>
    <row r="5" spans="1:12">
      <c r="A5" s="157" t="s">
        <v>290</v>
      </c>
      <c r="B5" s="158"/>
      <c r="C5" s="158"/>
      <c r="D5" s="158"/>
      <c r="E5" s="158"/>
      <c r="F5" s="158"/>
      <c r="G5" s="158"/>
      <c r="H5" s="159"/>
      <c r="J5" s="359" t="s">
        <v>118</v>
      </c>
      <c r="K5" s="357" t="s">
        <v>119</v>
      </c>
      <c r="L5" s="360" t="s">
        <v>52</v>
      </c>
    </row>
    <row r="6" spans="1:12" ht="52" thickBot="1">
      <c r="A6" s="244" t="s">
        <v>114</v>
      </c>
      <c r="B6" s="163">
        <v>50</v>
      </c>
      <c r="C6" s="248" t="s">
        <v>115</v>
      </c>
      <c r="D6" s="163">
        <v>79</v>
      </c>
      <c r="E6" s="367" t="s">
        <v>116</v>
      </c>
      <c r="F6" s="163">
        <v>94</v>
      </c>
      <c r="G6" s="248" t="s">
        <v>117</v>
      </c>
      <c r="H6" s="164">
        <v>99</v>
      </c>
      <c r="J6" s="361" t="s">
        <v>124</v>
      </c>
      <c r="K6" s="358">
        <v>50</v>
      </c>
      <c r="L6" s="362">
        <v>0</v>
      </c>
    </row>
    <row r="7" spans="1:12">
      <c r="J7" s="361" t="s">
        <v>120</v>
      </c>
      <c r="K7" s="358">
        <v>79</v>
      </c>
      <c r="L7" s="362">
        <v>0</v>
      </c>
    </row>
    <row r="8" spans="1:12">
      <c r="J8" s="361" t="s">
        <v>121</v>
      </c>
      <c r="K8" s="358">
        <v>79</v>
      </c>
      <c r="L8" s="363">
        <v>0.1925</v>
      </c>
    </row>
    <row r="9" spans="1:12">
      <c r="J9" s="361" t="s">
        <v>122</v>
      </c>
      <c r="K9" s="358">
        <v>94</v>
      </c>
      <c r="L9" s="363">
        <v>0.1925</v>
      </c>
    </row>
    <row r="10" spans="1:12" ht="17" thickBot="1">
      <c r="J10" s="364" t="s">
        <v>123</v>
      </c>
      <c r="K10" s="365">
        <v>99</v>
      </c>
      <c r="L10" s="366">
        <v>0.1925</v>
      </c>
    </row>
    <row r="12" spans="1:12">
      <c r="A12" s="111" t="s">
        <v>109</v>
      </c>
      <c r="B12" s="112" t="s">
        <v>97</v>
      </c>
      <c r="C12" s="112" t="s">
        <v>98</v>
      </c>
      <c r="D12" s="112" t="s">
        <v>99</v>
      </c>
      <c r="E12" s="112" t="s">
        <v>100</v>
      </c>
      <c r="F12" s="112" t="s">
        <v>101</v>
      </c>
      <c r="G12" s="113" t="s">
        <v>102</v>
      </c>
    </row>
    <row r="13" spans="1:12">
      <c r="A13" s="108" t="s">
        <v>59</v>
      </c>
      <c r="B13" s="109">
        <f>B3*B6</f>
        <v>0</v>
      </c>
      <c r="C13" s="109">
        <f>B6*C3</f>
        <v>18</v>
      </c>
      <c r="D13" s="109">
        <f>B6*D3</f>
        <v>300</v>
      </c>
      <c r="E13" s="109">
        <f>B6*E3</f>
        <v>1500</v>
      </c>
      <c r="F13" s="109">
        <f>B6*F3</f>
        <v>5100</v>
      </c>
      <c r="G13" s="110">
        <f>(B6*110+(G3-110)*D6)*1.1925</f>
        <v>19370.969999999998</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FA88B-3066-E449-8284-3837A4EB97F8}">
  <dimension ref="A1:M18"/>
  <sheetViews>
    <sheetView zoomScale="222" zoomScaleNormal="167" workbookViewId="0">
      <selection activeCell="G10" sqref="G10"/>
    </sheetView>
  </sheetViews>
  <sheetFormatPr baseColWidth="10" defaultRowHeight="16"/>
  <cols>
    <col min="1" max="1" width="17.1640625" customWidth="1"/>
  </cols>
  <sheetData>
    <row r="1" spans="1:13">
      <c r="A1" s="172"/>
      <c r="B1" s="173" t="s">
        <v>97</v>
      </c>
      <c r="C1" s="173" t="s">
        <v>98</v>
      </c>
      <c r="D1" s="173" t="s">
        <v>99</v>
      </c>
      <c r="E1" s="173" t="s">
        <v>100</v>
      </c>
      <c r="F1" s="173" t="s">
        <v>101</v>
      </c>
      <c r="G1" s="173" t="s">
        <v>102</v>
      </c>
      <c r="H1" s="174" t="s">
        <v>199</v>
      </c>
    </row>
    <row r="2" spans="1:13">
      <c r="A2" s="175" t="s">
        <v>103</v>
      </c>
      <c r="B2" s="4">
        <v>0</v>
      </c>
      <c r="C2" s="4">
        <v>1.2E-2</v>
      </c>
      <c r="D2" s="4">
        <v>0.2</v>
      </c>
      <c r="E2" s="4">
        <v>1</v>
      </c>
      <c r="F2" s="4">
        <v>3.4</v>
      </c>
      <c r="G2" s="4">
        <v>8.1999999999999993</v>
      </c>
      <c r="H2" s="176" t="s">
        <v>200</v>
      </c>
    </row>
    <row r="3" spans="1:13" ht="35" thickBot="1">
      <c r="A3" s="178" t="s">
        <v>110</v>
      </c>
      <c r="B3" s="179">
        <v>0</v>
      </c>
      <c r="C3" s="179">
        <f>C2*30</f>
        <v>0.36</v>
      </c>
      <c r="D3" s="179">
        <f t="shared" ref="D3:G3" si="0">D2*30</f>
        <v>6</v>
      </c>
      <c r="E3" s="179">
        <f t="shared" si="0"/>
        <v>30</v>
      </c>
      <c r="F3" s="179">
        <f t="shared" si="0"/>
        <v>102</v>
      </c>
      <c r="G3" s="179">
        <f t="shared" si="0"/>
        <v>245.99999999999997</v>
      </c>
      <c r="H3" s="180" t="s">
        <v>200</v>
      </c>
    </row>
    <row r="4" spans="1:13" ht="17" thickBot="1"/>
    <row r="5" spans="1:13">
      <c r="A5" s="172" t="s">
        <v>78</v>
      </c>
      <c r="B5" s="462" t="s">
        <v>664</v>
      </c>
      <c r="C5" s="463"/>
    </row>
    <row r="6" spans="1:13">
      <c r="A6" s="175" t="s">
        <v>436</v>
      </c>
      <c r="B6" s="473">
        <v>85</v>
      </c>
      <c r="C6" s="474"/>
      <c r="E6" s="60" t="s">
        <v>1112</v>
      </c>
      <c r="F6" s="4"/>
    </row>
    <row r="7" spans="1:13" ht="17" thickBot="1">
      <c r="A7" s="187" t="s">
        <v>665</v>
      </c>
      <c r="B7" s="475">
        <v>125</v>
      </c>
      <c r="C7" s="476"/>
    </row>
    <row r="8" spans="1:13">
      <c r="A8" s="4"/>
      <c r="B8" s="4"/>
      <c r="C8" s="4"/>
    </row>
    <row r="9" spans="1:13">
      <c r="A9" s="111" t="s">
        <v>109</v>
      </c>
      <c r="B9" s="112" t="s">
        <v>97</v>
      </c>
      <c r="C9" s="112" t="s">
        <v>98</v>
      </c>
      <c r="D9" s="112" t="s">
        <v>99</v>
      </c>
      <c r="E9" s="112" t="s">
        <v>100</v>
      </c>
      <c r="F9" s="112" t="s">
        <v>101</v>
      </c>
      <c r="G9" s="113" t="s">
        <v>102</v>
      </c>
    </row>
    <row r="10" spans="1:13">
      <c r="A10" s="108" t="s">
        <v>59</v>
      </c>
      <c r="B10" s="109">
        <v>0</v>
      </c>
      <c r="C10" s="109">
        <f>C3*$B6*1.18</f>
        <v>36.107999999999997</v>
      </c>
      <c r="D10" s="109">
        <f>D3*$B6*1.18</f>
        <v>601.79999999999995</v>
      </c>
      <c r="E10" s="109">
        <f>E3*$B6*1.18</f>
        <v>3009</v>
      </c>
      <c r="F10" s="109">
        <f>F3*$B6*1.18</f>
        <v>10230.6</v>
      </c>
      <c r="G10" s="110">
        <f>(B6*150+(G3-150)*B7)*1.18</f>
        <v>29204.999999999993</v>
      </c>
    </row>
    <row r="11" spans="1:13">
      <c r="A11" s="4"/>
      <c r="B11" s="4"/>
      <c r="C11" s="4"/>
    </row>
    <row r="12" spans="1:13" ht="16" customHeight="1">
      <c r="I12" s="451" t="s">
        <v>666</v>
      </c>
      <c r="J12" s="451"/>
      <c r="K12" s="451"/>
      <c r="L12" s="451"/>
      <c r="M12" s="451"/>
    </row>
    <row r="13" spans="1:13">
      <c r="I13" s="451"/>
      <c r="J13" s="451"/>
      <c r="K13" s="451"/>
      <c r="L13" s="451"/>
      <c r="M13" s="451"/>
    </row>
    <row r="14" spans="1:13">
      <c r="I14" s="451"/>
      <c r="J14" s="451"/>
      <c r="K14" s="451"/>
      <c r="L14" s="451"/>
      <c r="M14" s="451"/>
    </row>
    <row r="15" spans="1:13">
      <c r="I15" s="451"/>
      <c r="J15" s="451"/>
      <c r="K15" s="451"/>
      <c r="L15" s="451"/>
      <c r="M15" s="451"/>
    </row>
    <row r="16" spans="1:13">
      <c r="I16" s="451"/>
      <c r="J16" s="451"/>
      <c r="K16" s="451"/>
      <c r="L16" s="451"/>
      <c r="M16" s="451"/>
    </row>
    <row r="17" spans="9:13">
      <c r="I17" s="451"/>
      <c r="J17" s="451"/>
      <c r="K17" s="451"/>
      <c r="L17" s="451"/>
      <c r="M17" s="451"/>
    </row>
    <row r="18" spans="9:13">
      <c r="I18" s="451"/>
      <c r="J18" s="451"/>
      <c r="K18" s="451"/>
      <c r="L18" s="451"/>
      <c r="M18" s="451"/>
    </row>
  </sheetData>
  <mergeCells count="4">
    <mergeCell ref="I12:M18"/>
    <mergeCell ref="B6:C6"/>
    <mergeCell ref="B7:C7"/>
    <mergeCell ref="B5:C5"/>
  </mergeCells>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C0783-E31D-474E-A19E-B6BFFD2D9B1F}">
  <dimension ref="A1:N16"/>
  <sheetViews>
    <sheetView zoomScale="208" workbookViewId="0">
      <selection activeCell="E9" sqref="E9"/>
    </sheetView>
  </sheetViews>
  <sheetFormatPr baseColWidth="10" defaultRowHeight="16"/>
  <cols>
    <col min="1" max="1" width="29.1640625" customWidth="1"/>
  </cols>
  <sheetData>
    <row r="1" spans="1:14">
      <c r="A1" s="172"/>
      <c r="B1" s="173" t="s">
        <v>97</v>
      </c>
      <c r="C1" s="173" t="s">
        <v>98</v>
      </c>
      <c r="D1" s="173" t="s">
        <v>99</v>
      </c>
      <c r="E1" s="173" t="s">
        <v>100</v>
      </c>
      <c r="F1" s="173" t="s">
        <v>101</v>
      </c>
      <c r="G1" s="173" t="s">
        <v>102</v>
      </c>
      <c r="H1" s="174" t="s">
        <v>199</v>
      </c>
    </row>
    <row r="2" spans="1:14">
      <c r="A2" s="175" t="s">
        <v>103</v>
      </c>
      <c r="B2" s="4">
        <v>0</v>
      </c>
      <c r="C2" s="4">
        <v>1.2E-2</v>
      </c>
      <c r="D2" s="4">
        <v>0.2</v>
      </c>
      <c r="E2" s="4">
        <v>1</v>
      </c>
      <c r="F2" s="4">
        <v>3.4</v>
      </c>
      <c r="G2" s="4">
        <v>8.1999999999999993</v>
      </c>
      <c r="H2" s="176" t="s">
        <v>200</v>
      </c>
    </row>
    <row r="3" spans="1:14" ht="35" thickBot="1">
      <c r="A3" s="178" t="s">
        <v>110</v>
      </c>
      <c r="B3" s="179">
        <v>0</v>
      </c>
      <c r="C3" s="179">
        <f>C2*30</f>
        <v>0.36</v>
      </c>
      <c r="D3" s="179">
        <f t="shared" ref="D3:G3" si="0">D2*30</f>
        <v>6</v>
      </c>
      <c r="E3" s="179">
        <f t="shared" si="0"/>
        <v>30</v>
      </c>
      <c r="F3" s="179">
        <f t="shared" si="0"/>
        <v>102</v>
      </c>
      <c r="G3" s="179">
        <f t="shared" si="0"/>
        <v>245.99999999999997</v>
      </c>
      <c r="H3" s="180" t="s">
        <v>200</v>
      </c>
    </row>
    <row r="5" spans="1:14" ht="17" thickBot="1"/>
    <row r="6" spans="1:14" ht="17" thickBot="1">
      <c r="A6" s="263" t="s">
        <v>856</v>
      </c>
      <c r="B6" s="268">
        <v>0.38</v>
      </c>
      <c r="C6" s="265" t="s">
        <v>283</v>
      </c>
      <c r="H6" s="27" t="s">
        <v>855</v>
      </c>
      <c r="I6" s="28"/>
      <c r="J6" s="26"/>
    </row>
    <row r="7" spans="1:14">
      <c r="A7" s="4"/>
      <c r="B7" s="4"/>
      <c r="C7" s="4"/>
    </row>
    <row r="8" spans="1:14">
      <c r="A8" s="123" t="s">
        <v>109</v>
      </c>
      <c r="B8" s="124" t="s">
        <v>97</v>
      </c>
      <c r="C8" s="124" t="s">
        <v>98</v>
      </c>
      <c r="D8" s="124" t="s">
        <v>99</v>
      </c>
      <c r="E8" s="124" t="s">
        <v>100</v>
      </c>
      <c r="F8" s="124" t="s">
        <v>101</v>
      </c>
      <c r="G8" s="125" t="s">
        <v>102</v>
      </c>
    </row>
    <row r="9" spans="1:14">
      <c r="A9" s="126" t="s">
        <v>59</v>
      </c>
      <c r="B9" s="127">
        <v>0</v>
      </c>
      <c r="C9" s="127">
        <f>C3*B6</f>
        <v>0.1368</v>
      </c>
      <c r="D9" s="127">
        <f>D3*B6</f>
        <v>2.2800000000000002</v>
      </c>
      <c r="E9" s="127">
        <f>E3*B6</f>
        <v>11.4</v>
      </c>
      <c r="F9" s="127">
        <f>F3*B6</f>
        <v>38.76</v>
      </c>
      <c r="G9" s="128">
        <f>G3*B6</f>
        <v>93.47999999999999</v>
      </c>
    </row>
    <row r="10" spans="1:14" ht="16" customHeight="1">
      <c r="I10" s="451" t="s">
        <v>857</v>
      </c>
      <c r="J10" s="451"/>
      <c r="K10" s="451"/>
      <c r="L10" s="451"/>
      <c r="M10" s="451"/>
      <c r="N10" s="451"/>
    </row>
    <row r="11" spans="1:14">
      <c r="I11" s="451"/>
      <c r="J11" s="451"/>
      <c r="K11" s="451"/>
      <c r="L11" s="451"/>
      <c r="M11" s="451"/>
      <c r="N11" s="451"/>
    </row>
    <row r="12" spans="1:14">
      <c r="I12" s="451"/>
      <c r="J12" s="451"/>
      <c r="K12" s="451"/>
      <c r="L12" s="451"/>
      <c r="M12" s="451"/>
      <c r="N12" s="451"/>
    </row>
    <row r="13" spans="1:14">
      <c r="I13" s="451"/>
      <c r="J13" s="451"/>
      <c r="K13" s="451"/>
      <c r="L13" s="451"/>
      <c r="M13" s="451"/>
      <c r="N13" s="451"/>
    </row>
    <row r="14" spans="1:14">
      <c r="I14" s="451"/>
      <c r="J14" s="451"/>
      <c r="K14" s="451"/>
      <c r="L14" s="451"/>
      <c r="M14" s="451"/>
      <c r="N14" s="451"/>
    </row>
    <row r="15" spans="1:14">
      <c r="I15" s="11"/>
      <c r="J15" s="11"/>
      <c r="K15" s="11"/>
      <c r="L15" s="11"/>
      <c r="M15" s="11"/>
      <c r="N15" s="11"/>
    </row>
    <row r="16" spans="1:14">
      <c r="I16" s="11"/>
      <c r="J16" s="11"/>
      <c r="K16" s="11"/>
      <c r="L16" s="11"/>
      <c r="M16" s="11"/>
      <c r="N16" s="11"/>
    </row>
  </sheetData>
  <mergeCells count="1">
    <mergeCell ref="I10:N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3DFCA-EEEA-4947-898E-C504A9153549}">
  <dimension ref="A1:T150"/>
  <sheetViews>
    <sheetView topLeftCell="A119" zoomScale="125" zoomScaleNormal="125" workbookViewId="0">
      <selection activeCell="H149" sqref="E145:H149"/>
    </sheetView>
  </sheetViews>
  <sheetFormatPr baseColWidth="10" defaultRowHeight="16"/>
  <cols>
    <col min="1" max="1" width="49.33203125" customWidth="1"/>
    <col min="2" max="2" width="20" customWidth="1"/>
    <col min="3" max="3" width="17.5" customWidth="1"/>
    <col min="4" max="4" width="15.1640625" customWidth="1"/>
    <col min="5" max="5" width="14.5" customWidth="1"/>
    <col min="6" max="6" width="16.5" customWidth="1"/>
    <col min="7" max="7" width="14.1640625" customWidth="1"/>
  </cols>
  <sheetData>
    <row r="1" spans="1:20">
      <c r="A1" s="172"/>
      <c r="B1" s="253" t="s">
        <v>97</v>
      </c>
      <c r="C1" s="253" t="s">
        <v>98</v>
      </c>
      <c r="D1" s="253" t="s">
        <v>99</v>
      </c>
      <c r="E1" s="253" t="s">
        <v>100</v>
      </c>
      <c r="F1" s="253" t="s">
        <v>101</v>
      </c>
      <c r="G1" s="253" t="s">
        <v>102</v>
      </c>
      <c r="H1" s="242" t="s">
        <v>199</v>
      </c>
    </row>
    <row r="2" spans="1:20">
      <c r="A2" s="175" t="s">
        <v>103</v>
      </c>
      <c r="B2" s="4">
        <v>0</v>
      </c>
      <c r="C2" s="4">
        <v>1.2E-2</v>
      </c>
      <c r="D2" s="4">
        <v>0.2</v>
      </c>
      <c r="E2" s="4">
        <v>1</v>
      </c>
      <c r="F2" s="4">
        <v>3.4</v>
      </c>
      <c r="G2" s="4">
        <v>8.1999999999999993</v>
      </c>
      <c r="H2" s="176" t="s">
        <v>200</v>
      </c>
    </row>
    <row r="3" spans="1:20" ht="18" thickBot="1">
      <c r="A3" s="177" t="s">
        <v>110</v>
      </c>
      <c r="B3" s="4">
        <v>0</v>
      </c>
      <c r="C3" s="4">
        <f>C2*30</f>
        <v>0.36</v>
      </c>
      <c r="D3" s="4">
        <f t="shared" ref="D3:G3" si="0">D2*30</f>
        <v>6</v>
      </c>
      <c r="E3" s="4">
        <f t="shared" si="0"/>
        <v>30</v>
      </c>
      <c r="F3" s="4">
        <f t="shared" si="0"/>
        <v>102</v>
      </c>
      <c r="G3" s="4">
        <f t="shared" si="0"/>
        <v>245.99999999999997</v>
      </c>
      <c r="H3" s="176" t="s">
        <v>200</v>
      </c>
    </row>
    <row r="4" spans="1:20" ht="17">
      <c r="A4" s="177" t="s">
        <v>390</v>
      </c>
      <c r="B4" s="4">
        <v>0</v>
      </c>
      <c r="C4" s="4">
        <f>C2*60</f>
        <v>0.72</v>
      </c>
      <c r="D4" s="4">
        <f>D2*60</f>
        <v>12</v>
      </c>
      <c r="E4" s="4">
        <f>E2*60</f>
        <v>60</v>
      </c>
      <c r="F4" s="4">
        <f>F2*60</f>
        <v>204</v>
      </c>
      <c r="G4" s="4">
        <f>G2*60</f>
        <v>491.99999999999994</v>
      </c>
      <c r="H4" s="176" t="s">
        <v>200</v>
      </c>
      <c r="K4" s="157" t="s">
        <v>583</v>
      </c>
      <c r="L4" s="158"/>
      <c r="M4" s="158"/>
      <c r="N4" s="158"/>
      <c r="O4" s="158"/>
      <c r="P4" s="159"/>
    </row>
    <row r="5" spans="1:20" ht="17">
      <c r="A5" s="177" t="s">
        <v>297</v>
      </c>
      <c r="B5" s="4">
        <v>0</v>
      </c>
      <c r="C5" s="4" t="s">
        <v>577</v>
      </c>
      <c r="D5" s="4" t="s">
        <v>578</v>
      </c>
      <c r="E5" s="4" t="s">
        <v>579</v>
      </c>
      <c r="F5" s="4" t="s">
        <v>580</v>
      </c>
      <c r="G5" s="4" t="s">
        <v>1031</v>
      </c>
      <c r="H5" s="176" t="s">
        <v>202</v>
      </c>
      <c r="K5" s="160" t="s">
        <v>584</v>
      </c>
      <c r="P5" s="161"/>
    </row>
    <row r="6" spans="1:20" ht="17" thickBot="1">
      <c r="A6" s="224" t="s">
        <v>1026</v>
      </c>
      <c r="B6" s="1">
        <v>0</v>
      </c>
      <c r="C6" s="1">
        <v>5.2631578947368425E-2</v>
      </c>
      <c r="D6" s="1">
        <v>0.2105263157894737</v>
      </c>
      <c r="E6" s="1">
        <v>0.8421052631578948</v>
      </c>
      <c r="F6" s="1">
        <v>2.1052631578947367</v>
      </c>
      <c r="G6" s="1">
        <v>14.736842105263159</v>
      </c>
      <c r="H6" s="176" t="s">
        <v>300</v>
      </c>
      <c r="K6" s="162" t="s">
        <v>585</v>
      </c>
      <c r="L6" s="163"/>
      <c r="M6" s="163"/>
      <c r="N6" s="163"/>
      <c r="O6" s="163"/>
      <c r="P6" s="164"/>
    </row>
    <row r="7" spans="1:20" ht="17" thickBot="1">
      <c r="A7" s="181" t="s">
        <v>1033</v>
      </c>
      <c r="B7" s="182">
        <v>0</v>
      </c>
      <c r="C7" s="179">
        <f>50/(220*0.95)</f>
        <v>0.23923444976076555</v>
      </c>
      <c r="D7" s="179">
        <f>200/(220*0.95)</f>
        <v>0.9569377990430622</v>
      </c>
      <c r="E7" s="179">
        <f>800/(220*0.95)</f>
        <v>3.8277511961722488</v>
      </c>
      <c r="F7" s="179">
        <f>2000/(220*0.95)</f>
        <v>9.5693779904306222</v>
      </c>
      <c r="G7" s="179">
        <f>14000/(220*0.95)</f>
        <v>66.985645933014354</v>
      </c>
      <c r="H7" s="180" t="s">
        <v>217</v>
      </c>
    </row>
    <row r="8" spans="1:20" ht="17" thickBot="1"/>
    <row r="9" spans="1:20">
      <c r="A9" s="485" t="s">
        <v>586</v>
      </c>
      <c r="B9" s="448"/>
      <c r="C9" s="448"/>
      <c r="D9" s="449"/>
      <c r="F9" s="477" t="s">
        <v>352</v>
      </c>
      <c r="G9" s="478"/>
      <c r="H9" s="478"/>
      <c r="I9" s="478"/>
      <c r="J9" s="479"/>
      <c r="L9" s="477" t="s">
        <v>351</v>
      </c>
      <c r="M9" s="478"/>
      <c r="N9" s="478"/>
      <c r="O9" s="479"/>
      <c r="S9" s="11"/>
      <c r="T9" s="11"/>
    </row>
    <row r="10" spans="1:20" ht="20" customHeight="1">
      <c r="A10" s="368"/>
      <c r="B10" s="74" t="s">
        <v>353</v>
      </c>
      <c r="C10" s="74" t="s">
        <v>350</v>
      </c>
      <c r="D10" s="369" t="s">
        <v>354</v>
      </c>
      <c r="F10" s="480"/>
      <c r="G10" s="456"/>
      <c r="H10" s="456"/>
      <c r="I10" s="456"/>
      <c r="J10" s="481"/>
      <c r="L10" s="480"/>
      <c r="M10" s="456"/>
      <c r="N10" s="456"/>
      <c r="O10" s="481"/>
      <c r="S10" s="11"/>
      <c r="T10" s="11"/>
    </row>
    <row r="11" spans="1:20" ht="19" customHeight="1">
      <c r="A11" s="160" t="s">
        <v>365</v>
      </c>
      <c r="B11">
        <v>559</v>
      </c>
      <c r="C11">
        <v>0</v>
      </c>
      <c r="D11" s="161">
        <v>559</v>
      </c>
      <c r="F11" s="480"/>
      <c r="G11" s="456"/>
      <c r="H11" s="456"/>
      <c r="I11" s="456"/>
      <c r="J11" s="481"/>
      <c r="L11" s="480"/>
      <c r="M11" s="456"/>
      <c r="N11" s="456"/>
      <c r="O11" s="481"/>
      <c r="S11" s="11"/>
      <c r="T11" s="11"/>
    </row>
    <row r="12" spans="1:20">
      <c r="A12" s="160" t="s">
        <v>366</v>
      </c>
      <c r="B12">
        <v>28.84</v>
      </c>
      <c r="C12">
        <v>0</v>
      </c>
      <c r="D12" s="161">
        <v>28.84</v>
      </c>
      <c r="F12" s="480"/>
      <c r="G12" s="456"/>
      <c r="H12" s="456"/>
      <c r="I12" s="456"/>
      <c r="J12" s="481"/>
      <c r="L12" s="480"/>
      <c r="M12" s="456"/>
      <c r="N12" s="456"/>
      <c r="O12" s="481"/>
      <c r="S12" s="11"/>
      <c r="T12" s="11"/>
    </row>
    <row r="13" spans="1:20">
      <c r="A13" s="160" t="s">
        <v>367</v>
      </c>
      <c r="B13">
        <v>50.16</v>
      </c>
      <c r="C13">
        <v>9.0299999999999994</v>
      </c>
      <c r="D13" s="161">
        <v>59.19</v>
      </c>
      <c r="F13" s="480"/>
      <c r="G13" s="456"/>
      <c r="H13" s="456"/>
      <c r="I13" s="456"/>
      <c r="J13" s="481"/>
      <c r="L13" s="480"/>
      <c r="M13" s="456"/>
      <c r="N13" s="456"/>
      <c r="O13" s="481"/>
      <c r="S13" s="11"/>
      <c r="T13" s="11"/>
    </row>
    <row r="14" spans="1:20">
      <c r="A14" s="160" t="s">
        <v>358</v>
      </c>
      <c r="D14" s="161">
        <v>100</v>
      </c>
      <c r="F14" s="480"/>
      <c r="G14" s="456"/>
      <c r="H14" s="456"/>
      <c r="I14" s="456"/>
      <c r="J14" s="481"/>
      <c r="L14" s="480"/>
      <c r="M14" s="456"/>
      <c r="N14" s="456"/>
      <c r="O14" s="481"/>
      <c r="S14" s="11"/>
      <c r="T14" s="11"/>
    </row>
    <row r="15" spans="1:20">
      <c r="A15" s="160" t="s">
        <v>359</v>
      </c>
      <c r="D15" s="161">
        <v>1</v>
      </c>
      <c r="F15" s="482"/>
      <c r="G15" s="483"/>
      <c r="H15" s="483"/>
      <c r="I15" s="483"/>
      <c r="J15" s="484"/>
      <c r="L15" s="480"/>
      <c r="M15" s="456"/>
      <c r="N15" s="456"/>
      <c r="O15" s="481"/>
      <c r="S15" s="11"/>
      <c r="T15" s="11"/>
    </row>
    <row r="16" spans="1:20">
      <c r="A16" s="160" t="s">
        <v>360</v>
      </c>
      <c r="D16" s="161">
        <v>2</v>
      </c>
      <c r="I16" s="11"/>
      <c r="J16" s="11"/>
      <c r="K16" s="11"/>
      <c r="L16" s="482"/>
      <c r="M16" s="483"/>
      <c r="N16" s="483"/>
      <c r="O16" s="484"/>
      <c r="S16" s="11"/>
      <c r="T16" s="11"/>
    </row>
    <row r="17" spans="1:15">
      <c r="A17" s="160" t="s">
        <v>361</v>
      </c>
      <c r="D17" s="161">
        <v>2.5</v>
      </c>
      <c r="I17" s="11"/>
      <c r="J17" s="11"/>
      <c r="K17" s="11"/>
      <c r="L17" s="11"/>
      <c r="M17" s="11"/>
      <c r="N17" s="11"/>
      <c r="O17" s="11"/>
    </row>
    <row r="18" spans="1:15" ht="17" thickBot="1">
      <c r="A18" s="251" t="s">
        <v>362</v>
      </c>
      <c r="B18" s="163"/>
      <c r="C18" s="163"/>
      <c r="D18" s="164">
        <v>1</v>
      </c>
    </row>
    <row r="19" spans="1:15" ht="17" thickBot="1"/>
    <row r="20" spans="1:15">
      <c r="A20" s="485" t="s">
        <v>398</v>
      </c>
      <c r="B20" s="486"/>
      <c r="C20" s="486"/>
      <c r="D20" s="487"/>
      <c r="F20" s="370"/>
    </row>
    <row r="21" spans="1:15">
      <c r="A21" s="368"/>
      <c r="B21" s="74" t="s">
        <v>353</v>
      </c>
      <c r="C21" s="74" t="s">
        <v>350</v>
      </c>
      <c r="D21" s="369" t="s">
        <v>354</v>
      </c>
    </row>
    <row r="22" spans="1:15">
      <c r="A22" s="160" t="s">
        <v>355</v>
      </c>
      <c r="B22" s="370">
        <v>1246.56</v>
      </c>
      <c r="C22">
        <v>224.38</v>
      </c>
      <c r="D22" s="371">
        <v>1470.94</v>
      </c>
    </row>
    <row r="23" spans="1:15">
      <c r="A23" s="160" t="s">
        <v>356</v>
      </c>
      <c r="B23">
        <v>66.959999999999994</v>
      </c>
      <c r="C23">
        <v>12.05</v>
      </c>
      <c r="D23" s="161">
        <v>79.010000000000005</v>
      </c>
    </row>
    <row r="24" spans="1:15">
      <c r="A24" s="160" t="s">
        <v>357</v>
      </c>
      <c r="B24">
        <v>58.04</v>
      </c>
      <c r="C24">
        <v>10.45</v>
      </c>
      <c r="D24" s="161">
        <v>68.48</v>
      </c>
    </row>
    <row r="25" spans="1:15">
      <c r="A25" s="160" t="s">
        <v>358</v>
      </c>
      <c r="D25" s="161">
        <v>100</v>
      </c>
    </row>
    <row r="26" spans="1:15">
      <c r="A26" s="160" t="s">
        <v>359</v>
      </c>
      <c r="D26" s="161">
        <v>1.06</v>
      </c>
    </row>
    <row r="27" spans="1:15">
      <c r="A27" s="160" t="s">
        <v>360</v>
      </c>
      <c r="D27" s="161">
        <v>2</v>
      </c>
    </row>
    <row r="28" spans="1:15">
      <c r="A28" s="160" t="s">
        <v>361</v>
      </c>
      <c r="D28" s="161">
        <v>2.5</v>
      </c>
    </row>
    <row r="29" spans="1:15" ht="17" thickBot="1">
      <c r="A29" s="251" t="s">
        <v>362</v>
      </c>
      <c r="B29" s="163"/>
      <c r="C29" s="163"/>
      <c r="D29" s="164">
        <v>1</v>
      </c>
    </row>
    <row r="30" spans="1:15" ht="17" thickBot="1"/>
    <row r="31" spans="1:15">
      <c r="A31" s="485" t="s">
        <v>395</v>
      </c>
      <c r="B31" s="486"/>
      <c r="C31" s="486"/>
      <c r="D31" s="487"/>
    </row>
    <row r="32" spans="1:15">
      <c r="A32" s="368"/>
      <c r="B32" s="74" t="s">
        <v>353</v>
      </c>
      <c r="C32" s="74" t="s">
        <v>350</v>
      </c>
      <c r="D32" s="369" t="s">
        <v>354</v>
      </c>
      <c r="F32" s="370"/>
    </row>
    <row r="33" spans="1:6">
      <c r="A33" s="160" t="s">
        <v>355</v>
      </c>
      <c r="B33" s="370">
        <v>1246.56</v>
      </c>
      <c r="C33">
        <v>224.38</v>
      </c>
      <c r="D33" s="371">
        <v>1470.94</v>
      </c>
    </row>
    <row r="34" spans="1:6">
      <c r="A34" s="160" t="s">
        <v>356</v>
      </c>
      <c r="B34">
        <v>66.959999999999994</v>
      </c>
      <c r="C34">
        <v>12.05</v>
      </c>
      <c r="D34" s="161">
        <v>79.010000000000005</v>
      </c>
      <c r="F34" s="370"/>
    </row>
    <row r="35" spans="1:6">
      <c r="A35" s="160" t="s">
        <v>357</v>
      </c>
      <c r="B35">
        <v>58.04</v>
      </c>
      <c r="C35">
        <v>10.45</v>
      </c>
      <c r="D35" s="161">
        <v>68.48</v>
      </c>
    </row>
    <row r="36" spans="1:6">
      <c r="A36" s="160" t="s">
        <v>358</v>
      </c>
      <c r="D36" s="161">
        <v>100</v>
      </c>
    </row>
    <row r="37" spans="1:6">
      <c r="A37" s="160" t="s">
        <v>359</v>
      </c>
      <c r="D37" s="161">
        <v>1.06</v>
      </c>
    </row>
    <row r="38" spans="1:6">
      <c r="A38" s="160" t="s">
        <v>368</v>
      </c>
      <c r="B38" s="76"/>
      <c r="D38" s="372">
        <v>2000</v>
      </c>
    </row>
    <row r="39" spans="1:6">
      <c r="A39" s="160" t="s">
        <v>361</v>
      </c>
      <c r="D39" s="161">
        <v>2.5</v>
      </c>
    </row>
    <row r="40" spans="1:6" ht="17" thickBot="1">
      <c r="A40" s="251" t="s">
        <v>362</v>
      </c>
      <c r="B40" s="163"/>
      <c r="C40" s="163"/>
      <c r="D40" s="164">
        <v>1</v>
      </c>
    </row>
    <row r="41" spans="1:6" ht="17" thickBot="1"/>
    <row r="42" spans="1:6">
      <c r="A42" s="485" t="s">
        <v>396</v>
      </c>
      <c r="B42" s="486"/>
      <c r="C42" s="486"/>
      <c r="D42" s="487"/>
    </row>
    <row r="43" spans="1:6">
      <c r="A43" s="368"/>
      <c r="B43" s="74" t="s">
        <v>353</v>
      </c>
      <c r="C43" s="74" t="s">
        <v>350</v>
      </c>
      <c r="D43" s="369" t="s">
        <v>354</v>
      </c>
    </row>
    <row r="44" spans="1:6">
      <c r="A44" s="160" t="s">
        <v>355</v>
      </c>
      <c r="B44" s="370">
        <v>1371.22</v>
      </c>
      <c r="C44">
        <v>246.82</v>
      </c>
      <c r="D44" s="371">
        <v>1618.04</v>
      </c>
    </row>
    <row r="45" spans="1:6">
      <c r="A45" s="160" t="s">
        <v>356</v>
      </c>
      <c r="B45">
        <v>73.66</v>
      </c>
      <c r="C45">
        <v>13.26</v>
      </c>
      <c r="D45" s="161">
        <v>86.92</v>
      </c>
    </row>
    <row r="46" spans="1:6">
      <c r="A46" s="160" t="s">
        <v>357</v>
      </c>
      <c r="B46">
        <v>63.84</v>
      </c>
      <c r="C46">
        <v>11.49</v>
      </c>
      <c r="D46" s="161">
        <v>75.33</v>
      </c>
    </row>
    <row r="47" spans="1:6">
      <c r="A47" s="160" t="s">
        <v>358</v>
      </c>
      <c r="D47" s="161">
        <v>100</v>
      </c>
    </row>
    <row r="48" spans="1:6">
      <c r="A48" s="160" t="s">
        <v>359</v>
      </c>
      <c r="D48" s="161">
        <v>1.06</v>
      </c>
    </row>
    <row r="49" spans="1:15">
      <c r="A49" s="160" t="s">
        <v>368</v>
      </c>
      <c r="D49" s="372">
        <v>2000</v>
      </c>
    </row>
    <row r="50" spans="1:15">
      <c r="A50" s="160" t="s">
        <v>361</v>
      </c>
      <c r="D50" s="161">
        <v>2.5</v>
      </c>
    </row>
    <row r="51" spans="1:15" ht="17" thickBot="1">
      <c r="A51" s="251" t="s">
        <v>362</v>
      </c>
      <c r="B51" s="163"/>
      <c r="C51" s="163"/>
      <c r="D51" s="164">
        <v>1</v>
      </c>
    </row>
    <row r="52" spans="1:15" ht="17" thickBot="1"/>
    <row r="53" spans="1:15">
      <c r="A53" s="488" t="s">
        <v>370</v>
      </c>
      <c r="B53" s="489"/>
      <c r="C53" s="489"/>
      <c r="D53" s="490"/>
    </row>
    <row r="54" spans="1:15">
      <c r="A54" s="368"/>
      <c r="B54" s="74" t="s">
        <v>353</v>
      </c>
      <c r="C54" s="74" t="s">
        <v>350</v>
      </c>
      <c r="D54" s="369" t="s">
        <v>354</v>
      </c>
    </row>
    <row r="55" spans="1:15">
      <c r="A55" s="160" t="s">
        <v>355</v>
      </c>
      <c r="B55" s="370">
        <v>1371.22</v>
      </c>
      <c r="C55">
        <v>246.82</v>
      </c>
      <c r="D55" s="371">
        <v>1618.04</v>
      </c>
    </row>
    <row r="56" spans="1:15">
      <c r="A56" s="160" t="s">
        <v>356</v>
      </c>
      <c r="B56">
        <v>73.66</v>
      </c>
      <c r="C56">
        <v>13.26</v>
      </c>
      <c r="D56" s="161">
        <v>86.92</v>
      </c>
    </row>
    <row r="57" spans="1:15">
      <c r="A57" s="160" t="s">
        <v>357</v>
      </c>
      <c r="B57">
        <v>63.84</v>
      </c>
      <c r="C57">
        <v>11.49</v>
      </c>
      <c r="D57" s="161">
        <v>75.33</v>
      </c>
    </row>
    <row r="58" spans="1:15">
      <c r="A58" s="160" t="s">
        <v>358</v>
      </c>
      <c r="D58" s="161">
        <v>100</v>
      </c>
    </row>
    <row r="59" spans="1:15">
      <c r="A59" s="160" t="s">
        <v>359</v>
      </c>
      <c r="D59" s="161">
        <v>1.06</v>
      </c>
    </row>
    <row r="60" spans="1:15">
      <c r="A60" s="160" t="s">
        <v>368</v>
      </c>
      <c r="D60" s="372">
        <v>2000</v>
      </c>
    </row>
    <row r="61" spans="1:15">
      <c r="A61" s="160" t="s">
        <v>361</v>
      </c>
      <c r="D61" s="161">
        <v>2.5</v>
      </c>
    </row>
    <row r="62" spans="1:15" ht="17" thickBot="1">
      <c r="A62" s="251" t="s">
        <v>362</v>
      </c>
      <c r="B62" s="163"/>
      <c r="C62" s="163"/>
      <c r="D62" s="164">
        <v>1</v>
      </c>
    </row>
    <row r="63" spans="1:15" ht="17" thickBot="1"/>
    <row r="64" spans="1:15">
      <c r="A64" s="485" t="s">
        <v>397</v>
      </c>
      <c r="B64" s="486"/>
      <c r="C64" s="486"/>
      <c r="D64" s="487"/>
      <c r="F64" s="477" t="s">
        <v>380</v>
      </c>
      <c r="G64" s="478"/>
      <c r="H64" s="478"/>
      <c r="I64" s="479"/>
      <c r="K64" s="477" t="s">
        <v>381</v>
      </c>
      <c r="L64" s="478"/>
      <c r="M64" s="478"/>
      <c r="N64" s="478"/>
      <c r="O64" s="479"/>
    </row>
    <row r="65" spans="1:15">
      <c r="A65" s="368"/>
      <c r="B65" s="491" t="s">
        <v>372</v>
      </c>
      <c r="C65" s="491"/>
      <c r="D65" s="492"/>
      <c r="F65" s="480"/>
      <c r="G65" s="456"/>
      <c r="H65" s="456"/>
      <c r="I65" s="481"/>
      <c r="K65" s="480"/>
      <c r="L65" s="456"/>
      <c r="M65" s="456"/>
      <c r="N65" s="456"/>
      <c r="O65" s="481"/>
    </row>
    <row r="66" spans="1:15">
      <c r="A66" s="368"/>
      <c r="B66" s="74" t="s">
        <v>353</v>
      </c>
      <c r="C66" s="74" t="s">
        <v>350</v>
      </c>
      <c r="D66" s="369" t="s">
        <v>354</v>
      </c>
      <c r="F66" s="480"/>
      <c r="G66" s="456"/>
      <c r="H66" s="456"/>
      <c r="I66" s="481"/>
      <c r="K66" s="480"/>
      <c r="L66" s="456"/>
      <c r="M66" s="456"/>
      <c r="N66" s="456"/>
      <c r="O66" s="481"/>
    </row>
    <row r="67" spans="1:15">
      <c r="A67" s="160" t="s">
        <v>373</v>
      </c>
      <c r="B67">
        <v>19.440000000000001</v>
      </c>
      <c r="C67">
        <v>0</v>
      </c>
      <c r="D67" s="161">
        <v>19.440000000000001</v>
      </c>
      <c r="F67" s="480"/>
      <c r="G67" s="456"/>
      <c r="H67" s="456"/>
      <c r="I67" s="481"/>
      <c r="K67" s="480"/>
      <c r="L67" s="456"/>
      <c r="M67" s="456"/>
      <c r="N67" s="456"/>
      <c r="O67" s="481"/>
    </row>
    <row r="68" spans="1:15">
      <c r="A68" s="160" t="s">
        <v>374</v>
      </c>
      <c r="B68">
        <v>16.420000000000002</v>
      </c>
      <c r="C68">
        <v>2.96</v>
      </c>
      <c r="D68" s="161">
        <v>19.38</v>
      </c>
      <c r="F68" s="480"/>
      <c r="G68" s="456"/>
      <c r="H68" s="456"/>
      <c r="I68" s="481"/>
      <c r="K68" s="480"/>
      <c r="L68" s="456"/>
      <c r="M68" s="456"/>
      <c r="N68" s="456"/>
      <c r="O68" s="481"/>
    </row>
    <row r="69" spans="1:15">
      <c r="A69" s="160" t="s">
        <v>375</v>
      </c>
      <c r="B69">
        <v>5.91</v>
      </c>
      <c r="C69">
        <v>0</v>
      </c>
      <c r="D69" s="161">
        <v>5.91</v>
      </c>
      <c r="F69" s="480"/>
      <c r="G69" s="456"/>
      <c r="H69" s="456"/>
      <c r="I69" s="481"/>
      <c r="K69" s="480"/>
      <c r="L69" s="456"/>
      <c r="M69" s="456"/>
      <c r="N69" s="456"/>
      <c r="O69" s="481"/>
    </row>
    <row r="70" spans="1:15">
      <c r="A70" s="160" t="s">
        <v>376</v>
      </c>
      <c r="D70" s="161">
        <v>1.01</v>
      </c>
      <c r="F70" s="480"/>
      <c r="G70" s="456"/>
      <c r="H70" s="456"/>
      <c r="I70" s="481"/>
      <c r="K70" s="480"/>
      <c r="L70" s="456"/>
      <c r="M70" s="456"/>
      <c r="N70" s="456"/>
      <c r="O70" s="481"/>
    </row>
    <row r="71" spans="1:15">
      <c r="A71" s="160" t="s">
        <v>377</v>
      </c>
      <c r="D71" s="161">
        <v>2</v>
      </c>
      <c r="F71" s="480"/>
      <c r="G71" s="456"/>
      <c r="H71" s="456"/>
      <c r="I71" s="481"/>
      <c r="K71" s="482"/>
      <c r="L71" s="483"/>
      <c r="M71" s="483"/>
      <c r="N71" s="483"/>
      <c r="O71" s="484"/>
    </row>
    <row r="72" spans="1:15" ht="14" customHeight="1">
      <c r="A72" s="160" t="s">
        <v>378</v>
      </c>
      <c r="D72" s="161">
        <v>2.5</v>
      </c>
      <c r="F72" s="480"/>
      <c r="G72" s="456"/>
      <c r="H72" s="456"/>
      <c r="I72" s="481"/>
    </row>
    <row r="73" spans="1:15" ht="17" thickBot="1">
      <c r="A73" s="251" t="s">
        <v>379</v>
      </c>
      <c r="B73" s="163"/>
      <c r="C73" s="163"/>
      <c r="D73" s="164">
        <v>1</v>
      </c>
      <c r="F73" s="482"/>
      <c r="G73" s="483"/>
      <c r="H73" s="483"/>
      <c r="I73" s="484"/>
    </row>
    <row r="74" spans="1:15" ht="17" thickBot="1"/>
    <row r="75" spans="1:15">
      <c r="A75" s="485" t="s">
        <v>400</v>
      </c>
      <c r="B75" s="486"/>
      <c r="C75" s="486"/>
      <c r="D75" s="487"/>
    </row>
    <row r="76" spans="1:15">
      <c r="A76" s="368"/>
      <c r="B76" s="491" t="s">
        <v>372</v>
      </c>
      <c r="C76" s="491"/>
      <c r="D76" s="492"/>
      <c r="F76" s="81"/>
      <c r="G76" s="81"/>
      <c r="H76" s="81"/>
    </row>
    <row r="77" spans="1:15">
      <c r="A77" s="368"/>
      <c r="B77" s="74" t="s">
        <v>353</v>
      </c>
      <c r="C77" s="74" t="s">
        <v>350</v>
      </c>
      <c r="D77" s="369" t="s">
        <v>354</v>
      </c>
    </row>
    <row r="78" spans="1:15">
      <c r="A78" s="160" t="s">
        <v>383</v>
      </c>
      <c r="B78">
        <v>65.099999999999994</v>
      </c>
      <c r="C78">
        <v>11.72</v>
      </c>
      <c r="D78" s="161">
        <v>76.819999999999993</v>
      </c>
    </row>
    <row r="79" spans="1:15" ht="34">
      <c r="A79" s="160" t="s">
        <v>375</v>
      </c>
      <c r="B79" s="11" t="s">
        <v>384</v>
      </c>
      <c r="C79" s="373" t="s">
        <v>385</v>
      </c>
      <c r="D79" s="374" t="s">
        <v>385</v>
      </c>
      <c r="F79" s="27" t="s">
        <v>386</v>
      </c>
      <c r="G79" s="28"/>
      <c r="H79" s="28"/>
      <c r="I79" s="28"/>
      <c r="J79" s="28"/>
      <c r="K79" s="26"/>
    </row>
    <row r="80" spans="1:15">
      <c r="A80" s="160" t="s">
        <v>376</v>
      </c>
      <c r="D80" s="161">
        <v>1.3</v>
      </c>
    </row>
    <row r="81" spans="1:4">
      <c r="A81" s="160" t="s">
        <v>377</v>
      </c>
      <c r="D81" s="161">
        <v>3</v>
      </c>
    </row>
    <row r="82" spans="1:4">
      <c r="A82" s="160" t="s">
        <v>378</v>
      </c>
      <c r="D82" s="161">
        <v>2.5</v>
      </c>
    </row>
    <row r="83" spans="1:4" ht="17" thickBot="1">
      <c r="A83" s="251" t="s">
        <v>379</v>
      </c>
      <c r="B83" s="163"/>
      <c r="C83" s="163"/>
      <c r="D83" s="164">
        <v>1</v>
      </c>
    </row>
    <row r="84" spans="1:4" ht="17" thickBot="1"/>
    <row r="85" spans="1:4">
      <c r="A85" s="485" t="s">
        <v>399</v>
      </c>
      <c r="B85" s="486"/>
      <c r="C85" s="486"/>
      <c r="D85" s="487"/>
    </row>
    <row r="86" spans="1:4">
      <c r="A86" s="368"/>
      <c r="B86" s="491" t="s">
        <v>372</v>
      </c>
      <c r="C86" s="491"/>
      <c r="D86" s="492"/>
    </row>
    <row r="87" spans="1:4">
      <c r="A87" s="368"/>
      <c r="B87" s="74" t="s">
        <v>353</v>
      </c>
      <c r="C87" s="74" t="s">
        <v>350</v>
      </c>
      <c r="D87" s="369" t="s">
        <v>354</v>
      </c>
    </row>
    <row r="88" spans="1:4">
      <c r="A88" s="160" t="s">
        <v>383</v>
      </c>
      <c r="B88">
        <v>65.099999999999994</v>
      </c>
      <c r="C88">
        <v>11.72</v>
      </c>
      <c r="D88" s="161">
        <v>76.819999999999993</v>
      </c>
    </row>
    <row r="89" spans="1:4" ht="34">
      <c r="A89" s="160" t="s">
        <v>375</v>
      </c>
      <c r="B89" s="11" t="s">
        <v>384</v>
      </c>
      <c r="C89" t="s">
        <v>385</v>
      </c>
      <c r="D89" s="161" t="s">
        <v>385</v>
      </c>
    </row>
    <row r="90" spans="1:4">
      <c r="A90" s="160" t="s">
        <v>376</v>
      </c>
      <c r="D90" s="161">
        <v>1.3</v>
      </c>
    </row>
    <row r="91" spans="1:4">
      <c r="A91" s="160" t="s">
        <v>377</v>
      </c>
      <c r="D91" s="161">
        <v>3</v>
      </c>
    </row>
    <row r="92" spans="1:4">
      <c r="A92" s="160" t="s">
        <v>378</v>
      </c>
      <c r="D92" s="161">
        <v>2.5</v>
      </c>
    </row>
    <row r="93" spans="1:4" ht="17" thickBot="1">
      <c r="A93" s="251" t="s">
        <v>379</v>
      </c>
      <c r="B93" s="163"/>
      <c r="C93" s="163"/>
      <c r="D93" s="164">
        <v>1</v>
      </c>
    </row>
    <row r="94" spans="1:4" ht="17" thickBot="1"/>
    <row r="95" spans="1:4">
      <c r="A95" s="485" t="s">
        <v>401</v>
      </c>
      <c r="B95" s="486"/>
      <c r="C95" s="486"/>
      <c r="D95" s="487"/>
    </row>
    <row r="96" spans="1:4">
      <c r="A96" s="368"/>
      <c r="B96" s="491" t="s">
        <v>372</v>
      </c>
      <c r="C96" s="491"/>
      <c r="D96" s="492"/>
    </row>
    <row r="97" spans="1:4">
      <c r="A97" s="368"/>
      <c r="B97" s="74" t="s">
        <v>353</v>
      </c>
      <c r="C97" s="74" t="s">
        <v>350</v>
      </c>
      <c r="D97" s="369" t="s">
        <v>354</v>
      </c>
    </row>
    <row r="98" spans="1:4">
      <c r="A98" s="160" t="s">
        <v>383</v>
      </c>
      <c r="B98">
        <v>71.61</v>
      </c>
      <c r="C98">
        <v>12.89</v>
      </c>
      <c r="D98" s="161">
        <v>84.5</v>
      </c>
    </row>
    <row r="99" spans="1:4" ht="34">
      <c r="A99" s="160" t="s">
        <v>375</v>
      </c>
      <c r="B99" s="11" t="s">
        <v>389</v>
      </c>
      <c r="C99" t="s">
        <v>385</v>
      </c>
      <c r="D99" s="161" t="s">
        <v>385</v>
      </c>
    </row>
    <row r="100" spans="1:4">
      <c r="A100" s="160" t="s">
        <v>376</v>
      </c>
      <c r="D100" s="161">
        <v>1.3</v>
      </c>
    </row>
    <row r="101" spans="1:4">
      <c r="A101" s="160" t="s">
        <v>377</v>
      </c>
      <c r="D101" s="161">
        <v>3</v>
      </c>
    </row>
    <row r="102" spans="1:4">
      <c r="A102" s="160" t="s">
        <v>378</v>
      </c>
      <c r="D102" s="161">
        <v>2.5</v>
      </c>
    </row>
    <row r="103" spans="1:4" ht="17" thickBot="1">
      <c r="A103" s="251" t="s">
        <v>379</v>
      </c>
      <c r="B103" s="163"/>
      <c r="C103" s="163"/>
      <c r="D103" s="164">
        <v>1</v>
      </c>
    </row>
    <row r="104" spans="1:4" ht="17" thickBot="1"/>
    <row r="105" spans="1:4">
      <c r="A105" s="488" t="s">
        <v>392</v>
      </c>
      <c r="B105" s="489"/>
      <c r="C105" s="489"/>
      <c r="D105" s="490"/>
    </row>
    <row r="106" spans="1:4">
      <c r="A106" s="368"/>
      <c r="B106" s="491" t="s">
        <v>372</v>
      </c>
      <c r="C106" s="491"/>
      <c r="D106" s="492"/>
    </row>
    <row r="107" spans="1:4">
      <c r="A107" s="368"/>
      <c r="B107" s="74" t="s">
        <v>353</v>
      </c>
      <c r="C107" s="74" t="s">
        <v>350</v>
      </c>
      <c r="D107" s="369" t="s">
        <v>354</v>
      </c>
    </row>
    <row r="108" spans="1:4">
      <c r="A108" s="160" t="s">
        <v>383</v>
      </c>
      <c r="B108">
        <v>71.61</v>
      </c>
      <c r="C108">
        <v>12.89</v>
      </c>
      <c r="D108" s="161">
        <v>84.5</v>
      </c>
    </row>
    <row r="109" spans="1:4" ht="34">
      <c r="A109" s="160" t="s">
        <v>375</v>
      </c>
      <c r="B109" s="11" t="s">
        <v>393</v>
      </c>
      <c r="C109" t="s">
        <v>385</v>
      </c>
      <c r="D109" s="161" t="s">
        <v>385</v>
      </c>
    </row>
    <row r="110" spans="1:4">
      <c r="A110" s="160" t="s">
        <v>376</v>
      </c>
      <c r="D110" s="161">
        <v>1.3</v>
      </c>
    </row>
    <row r="111" spans="1:4">
      <c r="A111" s="160" t="s">
        <v>377</v>
      </c>
      <c r="D111" s="161">
        <v>3</v>
      </c>
    </row>
    <row r="112" spans="1:4">
      <c r="A112" s="160" t="s">
        <v>378</v>
      </c>
      <c r="D112" s="161">
        <v>2.5</v>
      </c>
    </row>
    <row r="113" spans="1:9" ht="17" thickBot="1">
      <c r="A113" s="251" t="s">
        <v>379</v>
      </c>
      <c r="B113" s="163"/>
      <c r="C113" s="163"/>
      <c r="D113" s="164">
        <v>1</v>
      </c>
    </row>
    <row r="114" spans="1:9" ht="17" thickBot="1"/>
    <row r="115" spans="1:9">
      <c r="A115" s="485" t="s">
        <v>394</v>
      </c>
      <c r="B115" s="448"/>
      <c r="C115" s="448"/>
      <c r="D115" s="448"/>
      <c r="E115" s="448"/>
      <c r="F115" s="448"/>
      <c r="G115" s="449"/>
    </row>
    <row r="116" spans="1:9">
      <c r="A116" s="379" t="s">
        <v>391</v>
      </c>
      <c r="B116" s="80" t="s">
        <v>97</v>
      </c>
      <c r="C116" s="80" t="s">
        <v>98</v>
      </c>
      <c r="D116" s="80" t="s">
        <v>99</v>
      </c>
      <c r="E116" s="80" t="s">
        <v>100</v>
      </c>
      <c r="F116" s="80" t="s">
        <v>101</v>
      </c>
      <c r="G116" s="380" t="s">
        <v>102</v>
      </c>
    </row>
    <row r="117" spans="1:9">
      <c r="A117" s="175" t="s">
        <v>402</v>
      </c>
      <c r="B117" s="4">
        <v>0</v>
      </c>
      <c r="C117" s="4">
        <f>(D11+(D12+D15+D16+D17)*C4+D14)/2</f>
        <v>341.86239999999998</v>
      </c>
      <c r="D117" s="4">
        <f>(D11+(D12+D15+D16+D17)*D4+D14)/2</f>
        <v>535.54</v>
      </c>
      <c r="E117" s="4">
        <f>(D11+(D12+D15+D16+D17)*E4+D14)/2</f>
        <v>1359.7</v>
      </c>
      <c r="F117" s="4" t="s">
        <v>58</v>
      </c>
      <c r="G117" s="176" t="s">
        <v>58</v>
      </c>
    </row>
    <row r="118" spans="1:9">
      <c r="A118" s="175" t="s">
        <v>1035</v>
      </c>
      <c r="B118" s="4">
        <v>0</v>
      </c>
      <c r="C118" s="4" t="s">
        <v>58</v>
      </c>
      <c r="D118" s="4" t="s">
        <v>58</v>
      </c>
      <c r="E118" s="4" t="s">
        <v>58</v>
      </c>
      <c r="F118" s="4" t="s">
        <v>58</v>
      </c>
      <c r="G118" s="176" t="s">
        <v>58</v>
      </c>
    </row>
    <row r="119" spans="1:9">
      <c r="A119" s="175" t="s">
        <v>1036</v>
      </c>
      <c r="B119" s="4">
        <v>0</v>
      </c>
      <c r="C119" s="4" t="s">
        <v>58</v>
      </c>
      <c r="D119" s="4" t="s">
        <v>58</v>
      </c>
      <c r="E119" s="4" t="s">
        <v>58</v>
      </c>
      <c r="F119" s="4">
        <f>(D33+(D34*180+(F4-180)*D35+D36+D37*F4+D38+D39*F4))/2</f>
        <v>10081.25</v>
      </c>
      <c r="G119" s="176" t="s">
        <v>58</v>
      </c>
    </row>
    <row r="120" spans="1:9">
      <c r="A120" s="175" t="s">
        <v>1037</v>
      </c>
      <c r="B120" s="4">
        <v>0</v>
      </c>
      <c r="C120" s="4" t="s">
        <v>58</v>
      </c>
      <c r="D120" s="4" t="s">
        <v>58</v>
      </c>
      <c r="E120" s="4" t="s">
        <v>58</v>
      </c>
      <c r="F120" s="4" t="s">
        <v>58</v>
      </c>
      <c r="G120" s="161">
        <f>(D44+(D48+D50)*G4+D45*180+D46*(G4-180)+D47+D49)/2</f>
        <v>22309.059999999998</v>
      </c>
    </row>
    <row r="121" spans="1:9">
      <c r="A121" s="175" t="s">
        <v>371</v>
      </c>
      <c r="B121" s="4">
        <v>0</v>
      </c>
      <c r="C121" s="381"/>
      <c r="D121" s="381"/>
      <c r="E121" s="381"/>
      <c r="F121" s="382"/>
      <c r="G121" s="383"/>
    </row>
    <row r="122" spans="1:9">
      <c r="A122" s="175" t="s">
        <v>1038</v>
      </c>
      <c r="B122" s="4">
        <v>0</v>
      </c>
      <c r="C122" s="381"/>
      <c r="D122" s="381"/>
      <c r="E122" s="381"/>
      <c r="F122" s="381"/>
      <c r="G122" s="383"/>
      <c r="I122" s="70" t="s">
        <v>1070</v>
      </c>
    </row>
    <row r="123" spans="1:9">
      <c r="A123" s="175" t="s">
        <v>1039</v>
      </c>
      <c r="B123" s="4">
        <v>0</v>
      </c>
      <c r="C123" s="381"/>
      <c r="D123" s="381"/>
      <c r="E123" s="381"/>
      <c r="F123" s="381"/>
      <c r="G123" s="384"/>
    </row>
    <row r="124" spans="1:9" ht="17" thickBot="1">
      <c r="A124" s="187" t="s">
        <v>1040</v>
      </c>
      <c r="B124" s="179">
        <v>0</v>
      </c>
      <c r="C124" s="385"/>
      <c r="D124" s="385"/>
      <c r="E124" s="385"/>
      <c r="F124" s="385"/>
      <c r="G124" s="386"/>
    </row>
    <row r="125" spans="1:9">
      <c r="A125" s="4"/>
    </row>
    <row r="126" spans="1:9" ht="17" thickBot="1">
      <c r="A126" s="4"/>
    </row>
    <row r="127" spans="1:9">
      <c r="A127" s="485" t="s">
        <v>403</v>
      </c>
      <c r="B127" s="448"/>
      <c r="C127" s="448"/>
      <c r="D127" s="448"/>
      <c r="E127" s="448"/>
      <c r="F127" s="448"/>
      <c r="G127" s="449"/>
    </row>
    <row r="128" spans="1:9">
      <c r="A128" s="379" t="s">
        <v>391</v>
      </c>
      <c r="B128" s="80" t="s">
        <v>97</v>
      </c>
      <c r="C128" s="80" t="s">
        <v>98</v>
      </c>
      <c r="D128" s="80" t="s">
        <v>99</v>
      </c>
      <c r="E128" s="80" t="s">
        <v>100</v>
      </c>
      <c r="F128" s="80" t="s">
        <v>101</v>
      </c>
      <c r="G128" s="380" t="s">
        <v>102</v>
      </c>
    </row>
    <row r="129" spans="1:16">
      <c r="A129" s="175" t="s">
        <v>402</v>
      </c>
      <c r="B129" s="4">
        <v>0</v>
      </c>
      <c r="C129" s="4">
        <f>(D11+(D12+D15+D16+D18)*C4+D14)/2</f>
        <v>341.32240000000002</v>
      </c>
      <c r="D129" s="4">
        <f>(D11+(D12+D15+D16+D18)*D4+D14)/2</f>
        <v>526.54</v>
      </c>
      <c r="E129" s="4">
        <f>(D11+(D12+D15+D16+D18)*E4+D14)/2</f>
        <v>1314.7</v>
      </c>
      <c r="F129" s="4" t="s">
        <v>58</v>
      </c>
      <c r="G129" s="176" t="s">
        <v>58</v>
      </c>
    </row>
    <row r="130" spans="1:16">
      <c r="A130" s="175" t="s">
        <v>363</v>
      </c>
      <c r="B130" s="4">
        <v>0</v>
      </c>
      <c r="C130" s="4" t="s">
        <v>58</v>
      </c>
      <c r="D130" s="4" t="s">
        <v>58</v>
      </c>
      <c r="E130" s="4" t="s">
        <v>58</v>
      </c>
      <c r="F130" s="4" t="s">
        <v>58</v>
      </c>
      <c r="G130" s="176" t="s">
        <v>58</v>
      </c>
    </row>
    <row r="131" spans="1:16">
      <c r="A131" s="175" t="s">
        <v>364</v>
      </c>
      <c r="B131" s="4">
        <v>0</v>
      </c>
      <c r="C131" s="4" t="s">
        <v>58</v>
      </c>
      <c r="D131" s="4" t="s">
        <v>58</v>
      </c>
      <c r="E131" s="4" t="s">
        <v>58</v>
      </c>
      <c r="F131" s="4">
        <f>(D33+(D34*180+(F4-180)*D35+D36+D37*F4+D38+D40*F4))/2</f>
        <v>9928.25</v>
      </c>
      <c r="G131" s="176" t="s">
        <v>58</v>
      </c>
    </row>
    <row r="132" spans="1:16">
      <c r="A132" s="175" t="s">
        <v>369</v>
      </c>
      <c r="B132" s="4">
        <v>0</v>
      </c>
      <c r="C132" s="4" t="s">
        <v>58</v>
      </c>
      <c r="D132" s="4" t="s">
        <v>58</v>
      </c>
      <c r="E132" s="4" t="s">
        <v>58</v>
      </c>
      <c r="F132" s="4" t="s">
        <v>58</v>
      </c>
      <c r="G132" s="161">
        <f>(D44+(D48+D51)*G4+D45*180+D46*(G4-180)+D47+D49)/2</f>
        <v>21940.059999999998</v>
      </c>
    </row>
    <row r="133" spans="1:16">
      <c r="A133" s="175" t="s">
        <v>371</v>
      </c>
      <c r="B133" s="4">
        <v>0</v>
      </c>
      <c r="C133" s="381"/>
      <c r="D133" s="381"/>
      <c r="E133" s="381"/>
      <c r="F133" s="382"/>
      <c r="G133" s="383"/>
    </row>
    <row r="134" spans="1:16">
      <c r="A134" s="175" t="s">
        <v>382</v>
      </c>
      <c r="B134" s="4">
        <v>0</v>
      </c>
      <c r="C134" s="381"/>
      <c r="D134" s="381"/>
      <c r="E134" s="381"/>
      <c r="F134" s="381"/>
      <c r="G134" s="383"/>
      <c r="I134" s="451" t="s">
        <v>589</v>
      </c>
      <c r="J134" s="451"/>
      <c r="K134" s="451"/>
      <c r="L134" s="451"/>
      <c r="M134" s="451"/>
      <c r="N134" s="451"/>
      <c r="O134" s="451"/>
      <c r="P134" s="451"/>
    </row>
    <row r="135" spans="1:16">
      <c r="A135" s="175" t="s">
        <v>387</v>
      </c>
      <c r="B135" s="4">
        <v>0</v>
      </c>
      <c r="C135" s="381"/>
      <c r="D135" s="381"/>
      <c r="E135" s="381"/>
      <c r="F135" s="381"/>
      <c r="G135" s="384"/>
      <c r="I135" s="451"/>
      <c r="J135" s="451"/>
      <c r="K135" s="451"/>
      <c r="L135" s="451"/>
      <c r="M135" s="451"/>
      <c r="N135" s="451"/>
      <c r="O135" s="451"/>
      <c r="P135" s="451"/>
    </row>
    <row r="136" spans="1:16" ht="17" thickBot="1">
      <c r="A136" s="187" t="s">
        <v>388</v>
      </c>
      <c r="B136" s="179">
        <v>0</v>
      </c>
      <c r="C136" s="385"/>
      <c r="D136" s="385"/>
      <c r="E136" s="385"/>
      <c r="F136" s="385"/>
      <c r="G136" s="386"/>
      <c r="I136" s="451"/>
      <c r="J136" s="451"/>
      <c r="K136" s="451"/>
      <c r="L136" s="451"/>
      <c r="M136" s="451"/>
      <c r="N136" s="451"/>
      <c r="O136" s="451"/>
      <c r="P136" s="451"/>
    </row>
    <row r="137" spans="1:16">
      <c r="A137" s="4"/>
      <c r="B137" s="4"/>
      <c r="I137" s="451"/>
      <c r="J137" s="451"/>
      <c r="K137" s="451"/>
      <c r="L137" s="451"/>
      <c r="M137" s="451"/>
      <c r="N137" s="451"/>
      <c r="O137" s="451"/>
      <c r="P137" s="451"/>
    </row>
    <row r="138" spans="1:16">
      <c r="I138" s="451"/>
      <c r="J138" s="451"/>
      <c r="K138" s="451"/>
      <c r="L138" s="451"/>
      <c r="M138" s="451"/>
      <c r="N138" s="451"/>
      <c r="O138" s="451"/>
      <c r="P138" s="451"/>
    </row>
    <row r="139" spans="1:16">
      <c r="I139" s="451"/>
      <c r="J139" s="451"/>
      <c r="K139" s="451"/>
      <c r="L139" s="451"/>
      <c r="M139" s="451"/>
      <c r="N139" s="451"/>
      <c r="O139" s="451"/>
      <c r="P139" s="451"/>
    </row>
    <row r="140" spans="1:16">
      <c r="A140" s="129" t="s">
        <v>537</v>
      </c>
      <c r="B140" s="130" t="s">
        <v>97</v>
      </c>
      <c r="C140" s="130" t="s">
        <v>98</v>
      </c>
      <c r="D140" s="130" t="s">
        <v>99</v>
      </c>
      <c r="E140" s="130" t="s">
        <v>100</v>
      </c>
      <c r="F140" s="130" t="s">
        <v>101</v>
      </c>
      <c r="G140" s="131" t="s">
        <v>102</v>
      </c>
      <c r="I140" s="451"/>
      <c r="J140" s="451"/>
      <c r="K140" s="451"/>
      <c r="L140" s="451"/>
      <c r="M140" s="451"/>
      <c r="N140" s="451"/>
      <c r="O140" s="451"/>
      <c r="P140" s="451"/>
    </row>
    <row r="141" spans="1:16">
      <c r="A141" s="108" t="s">
        <v>539</v>
      </c>
      <c r="B141" s="109">
        <v>0</v>
      </c>
      <c r="C141" s="109">
        <f>AVERAGE(C117,C129)</f>
        <v>341.5924</v>
      </c>
      <c r="D141" s="109">
        <f>AVERAGE(D117,D129)</f>
        <v>531.04</v>
      </c>
      <c r="E141" s="109">
        <f>AVERAGE(E117,E129)</f>
        <v>1337.2</v>
      </c>
      <c r="F141" s="109">
        <f>AVERAGE(F119,F131)</f>
        <v>10004.75</v>
      </c>
      <c r="G141" s="110">
        <f>AVERAGE(G120,G132)</f>
        <v>22124.559999999998</v>
      </c>
      <c r="I141" s="451"/>
      <c r="J141" s="451"/>
      <c r="K141" s="451"/>
      <c r="L141" s="451"/>
      <c r="M141" s="451"/>
      <c r="N141" s="451"/>
      <c r="O141" s="451"/>
      <c r="P141" s="451"/>
    </row>
    <row r="142" spans="1:16">
      <c r="I142" s="451"/>
      <c r="J142" s="451"/>
      <c r="K142" s="451"/>
      <c r="L142" s="451"/>
      <c r="M142" s="451"/>
      <c r="N142" s="451"/>
      <c r="O142" s="451"/>
      <c r="P142" s="451"/>
    </row>
    <row r="148" spans="1:16">
      <c r="A148" s="3"/>
      <c r="B148" s="80"/>
      <c r="C148" s="80"/>
      <c r="D148" s="80"/>
      <c r="E148" s="80"/>
      <c r="F148" s="80"/>
      <c r="G148" s="80"/>
      <c r="I148" s="2"/>
      <c r="J148" s="2"/>
      <c r="K148" s="2"/>
      <c r="L148" s="2"/>
      <c r="M148" s="2"/>
      <c r="N148" s="2"/>
      <c r="O148" s="2"/>
      <c r="P148" s="2"/>
    </row>
    <row r="149" spans="1:16">
      <c r="A149" s="4"/>
      <c r="B149" s="4"/>
      <c r="C149" s="4"/>
      <c r="D149" s="4"/>
      <c r="E149" s="4"/>
      <c r="F149" s="4"/>
      <c r="G149" s="4"/>
      <c r="I149" s="2"/>
      <c r="J149" s="2"/>
      <c r="K149" s="2"/>
      <c r="L149" s="2"/>
      <c r="M149" s="2"/>
      <c r="N149" s="2"/>
      <c r="O149" s="2"/>
      <c r="P149" s="2"/>
    </row>
    <row r="150" spans="1:16">
      <c r="I150" s="2"/>
      <c r="J150" s="2"/>
      <c r="K150" s="2"/>
      <c r="L150" s="2"/>
      <c r="M150" s="2"/>
      <c r="N150" s="2"/>
      <c r="O150" s="2"/>
      <c r="P150" s="2"/>
    </row>
  </sheetData>
  <mergeCells count="22">
    <mergeCell ref="A127:G127"/>
    <mergeCell ref="B96:D96"/>
    <mergeCell ref="A105:D105"/>
    <mergeCell ref="B106:D106"/>
    <mergeCell ref="K64:O71"/>
    <mergeCell ref="A115:G115"/>
    <mergeCell ref="I134:P142"/>
    <mergeCell ref="L9:O16"/>
    <mergeCell ref="A20:D20"/>
    <mergeCell ref="A31:D31"/>
    <mergeCell ref="A42:D42"/>
    <mergeCell ref="A53:D53"/>
    <mergeCell ref="A9:D9"/>
    <mergeCell ref="F9:J15"/>
    <mergeCell ref="A64:D64"/>
    <mergeCell ref="F64:I73"/>
    <mergeCell ref="B65:D65"/>
    <mergeCell ref="A75:D75"/>
    <mergeCell ref="B76:D76"/>
    <mergeCell ref="A85:D85"/>
    <mergeCell ref="B86:D86"/>
    <mergeCell ref="A95:D95"/>
  </mergeCells>
  <hyperlinks>
    <hyperlink ref="K6" r:id="rId1" xr:uid="{5335B22B-FD14-784C-A402-BC2C8121A52D}"/>
  </hyperlinks>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74A23-9FE1-4649-8075-3CA5671981EB}">
  <dimension ref="A1:M15"/>
  <sheetViews>
    <sheetView zoomScale="150" workbookViewId="0">
      <selection activeCell="G9" sqref="G9"/>
    </sheetView>
  </sheetViews>
  <sheetFormatPr baseColWidth="10" defaultRowHeight="16"/>
  <cols>
    <col min="1" max="1" width="43.6640625" style="4" customWidth="1"/>
    <col min="2" max="7" width="10.83203125" style="4"/>
  </cols>
  <sheetData>
    <row r="1" spans="1:13">
      <c r="A1" s="172"/>
      <c r="B1" s="253" t="s">
        <v>97</v>
      </c>
      <c r="C1" s="253" t="s">
        <v>98</v>
      </c>
      <c r="D1" s="253" t="s">
        <v>99</v>
      </c>
      <c r="E1" s="253" t="s">
        <v>100</v>
      </c>
      <c r="F1" s="253" t="s">
        <v>101</v>
      </c>
      <c r="G1" s="253" t="s">
        <v>102</v>
      </c>
      <c r="H1" s="174" t="s">
        <v>199</v>
      </c>
    </row>
    <row r="2" spans="1:13">
      <c r="A2" s="175" t="s">
        <v>103</v>
      </c>
      <c r="B2" s="4">
        <v>0</v>
      </c>
      <c r="C2" s="4">
        <v>1.2E-2</v>
      </c>
      <c r="D2" s="4">
        <v>0.2</v>
      </c>
      <c r="E2" s="4">
        <v>1</v>
      </c>
      <c r="F2" s="4">
        <v>3.4</v>
      </c>
      <c r="G2" s="4">
        <v>8.1999999999999993</v>
      </c>
      <c r="H2" s="176" t="s">
        <v>200</v>
      </c>
    </row>
    <row r="3" spans="1:13" ht="18" thickBot="1">
      <c r="A3" s="178" t="s">
        <v>110</v>
      </c>
      <c r="B3" s="179">
        <v>0</v>
      </c>
      <c r="C3" s="179">
        <f>C2*30</f>
        <v>0.36</v>
      </c>
      <c r="D3" s="179">
        <f t="shared" ref="D3:G3" si="0">D2*30</f>
        <v>6</v>
      </c>
      <c r="E3" s="179">
        <f t="shared" si="0"/>
        <v>30</v>
      </c>
      <c r="F3" s="179">
        <f t="shared" si="0"/>
        <v>102</v>
      </c>
      <c r="G3" s="179">
        <f t="shared" si="0"/>
        <v>245.99999999999997</v>
      </c>
      <c r="H3" s="180" t="s">
        <v>200</v>
      </c>
    </row>
    <row r="4" spans="1:13" ht="17" thickBot="1"/>
    <row r="5" spans="1:13" ht="17" thickBot="1">
      <c r="A5" s="263" t="s">
        <v>286</v>
      </c>
      <c r="B5" s="264">
        <v>69</v>
      </c>
      <c r="C5" s="264" t="s">
        <v>282</v>
      </c>
      <c r="D5" s="264"/>
      <c r="E5" s="264">
        <f>B5/1000</f>
        <v>6.9000000000000006E-2</v>
      </c>
      <c r="F5" s="265" t="s">
        <v>283</v>
      </c>
      <c r="H5" s="27" t="s">
        <v>284</v>
      </c>
      <c r="I5" s="28"/>
      <c r="J5" s="26"/>
    </row>
    <row r="6" spans="1:13">
      <c r="A6" s="59"/>
    </row>
    <row r="8" spans="1:13">
      <c r="A8" s="111" t="s">
        <v>109</v>
      </c>
      <c r="B8" s="112" t="s">
        <v>97</v>
      </c>
      <c r="C8" s="112" t="s">
        <v>98</v>
      </c>
      <c r="D8" s="112" t="s">
        <v>99</v>
      </c>
      <c r="E8" s="112" t="s">
        <v>100</v>
      </c>
      <c r="F8" s="112" t="s">
        <v>101</v>
      </c>
      <c r="G8" s="113" t="s">
        <v>102</v>
      </c>
    </row>
    <row r="9" spans="1:13">
      <c r="A9" s="108" t="s">
        <v>59</v>
      </c>
      <c r="B9" s="109">
        <f>E5*B3</f>
        <v>0</v>
      </c>
      <c r="C9" s="109">
        <f>E5*C3</f>
        <v>2.4840000000000001E-2</v>
      </c>
      <c r="D9" s="109">
        <f>E5*D3</f>
        <v>0.41400000000000003</v>
      </c>
      <c r="E9" s="109">
        <f>E5*E3</f>
        <v>2.0700000000000003</v>
      </c>
      <c r="F9" s="109">
        <f>E5*F3</f>
        <v>7.0380000000000003</v>
      </c>
      <c r="G9" s="110">
        <f>E5*G3</f>
        <v>16.974</v>
      </c>
    </row>
    <row r="10" spans="1:13">
      <c r="I10" s="451" t="s">
        <v>538</v>
      </c>
      <c r="J10" s="451"/>
      <c r="K10" s="451"/>
      <c r="L10" s="451"/>
      <c r="M10" s="451"/>
    </row>
    <row r="11" spans="1:13">
      <c r="I11" s="451"/>
      <c r="J11" s="451"/>
      <c r="K11" s="451"/>
      <c r="L11" s="451"/>
      <c r="M11" s="451"/>
    </row>
    <row r="12" spans="1:13">
      <c r="I12" s="451"/>
      <c r="J12" s="451"/>
      <c r="K12" s="451"/>
      <c r="L12" s="451"/>
      <c r="M12" s="451"/>
    </row>
    <row r="13" spans="1:13">
      <c r="I13" s="451"/>
      <c r="J13" s="451"/>
      <c r="K13" s="451"/>
      <c r="L13" s="451"/>
      <c r="M13" s="451"/>
    </row>
    <row r="14" spans="1:13">
      <c r="I14" s="451"/>
      <c r="J14" s="451"/>
      <c r="K14" s="451"/>
      <c r="L14" s="451"/>
      <c r="M14" s="451"/>
    </row>
    <row r="15" spans="1:13">
      <c r="I15" s="451"/>
      <c r="J15" s="451"/>
      <c r="K15" s="451"/>
      <c r="L15" s="451"/>
      <c r="M15" s="451"/>
    </row>
  </sheetData>
  <mergeCells count="1">
    <mergeCell ref="I10:M15"/>
  </mergeCells>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8D8F-A6F6-164C-9922-80A2660FCC30}">
  <dimension ref="A1:N14"/>
  <sheetViews>
    <sheetView zoomScale="157" workbookViewId="0">
      <selection activeCell="G9" sqref="G9"/>
    </sheetView>
  </sheetViews>
  <sheetFormatPr baseColWidth="10" defaultRowHeight="16"/>
  <cols>
    <col min="1" max="1" width="26.1640625" customWidth="1"/>
  </cols>
  <sheetData>
    <row r="1" spans="1:14">
      <c r="A1" s="172"/>
      <c r="B1" s="253" t="s">
        <v>97</v>
      </c>
      <c r="C1" s="253" t="s">
        <v>98</v>
      </c>
      <c r="D1" s="253" t="s">
        <v>99</v>
      </c>
      <c r="E1" s="253" t="s">
        <v>100</v>
      </c>
      <c r="F1" s="253" t="s">
        <v>101</v>
      </c>
      <c r="G1" s="253" t="s">
        <v>102</v>
      </c>
      <c r="H1" s="174" t="s">
        <v>1041</v>
      </c>
    </row>
    <row r="2" spans="1:14">
      <c r="A2" s="175" t="s">
        <v>103</v>
      </c>
      <c r="B2" s="4">
        <v>0</v>
      </c>
      <c r="C2" s="4">
        <v>1.2E-2</v>
      </c>
      <c r="D2" s="4">
        <v>0.2</v>
      </c>
      <c r="E2" s="4">
        <v>1</v>
      </c>
      <c r="F2" s="4">
        <v>3.4</v>
      </c>
      <c r="G2" s="4">
        <v>8.1999999999999993</v>
      </c>
      <c r="H2" s="176" t="s">
        <v>1042</v>
      </c>
    </row>
    <row r="3" spans="1:14" ht="35" thickBot="1">
      <c r="A3" s="178" t="s">
        <v>110</v>
      </c>
      <c r="B3" s="179">
        <v>0</v>
      </c>
      <c r="C3" s="179">
        <f>C2*30</f>
        <v>0.36</v>
      </c>
      <c r="D3" s="179">
        <f t="shared" ref="D3:G3" si="0">D2*30</f>
        <v>6</v>
      </c>
      <c r="E3" s="179">
        <f t="shared" si="0"/>
        <v>30</v>
      </c>
      <c r="F3" s="179">
        <f t="shared" si="0"/>
        <v>102</v>
      </c>
      <c r="G3" s="179">
        <f t="shared" si="0"/>
        <v>245.99999999999997</v>
      </c>
      <c r="H3" s="180" t="s">
        <v>1042</v>
      </c>
    </row>
    <row r="4" spans="1:14" ht="17" thickBot="1"/>
    <row r="5" spans="1:14" ht="17" thickBot="1">
      <c r="A5" s="263" t="s">
        <v>690</v>
      </c>
      <c r="B5" s="264">
        <v>90</v>
      </c>
      <c r="C5" s="265" t="s">
        <v>689</v>
      </c>
      <c r="D5" s="4"/>
      <c r="E5" s="60" t="s">
        <v>1113</v>
      </c>
      <c r="F5" s="4"/>
      <c r="G5" s="4"/>
    </row>
    <row r="6" spans="1:14">
      <c r="A6" s="59"/>
      <c r="B6" s="4"/>
      <c r="C6" s="4"/>
      <c r="D6" s="4"/>
      <c r="E6" s="4"/>
      <c r="F6" s="4"/>
      <c r="G6" s="4"/>
    </row>
    <row r="7" spans="1:14" ht="17" thickBot="1">
      <c r="A7" s="4"/>
      <c r="B7" s="4"/>
      <c r="C7" s="4"/>
      <c r="D7" s="4"/>
      <c r="E7" s="4"/>
      <c r="F7" s="4"/>
      <c r="G7" s="4"/>
    </row>
    <row r="8" spans="1:14">
      <c r="A8" s="195" t="s">
        <v>109</v>
      </c>
      <c r="B8" s="196" t="s">
        <v>97</v>
      </c>
      <c r="C8" s="196" t="s">
        <v>98</v>
      </c>
      <c r="D8" s="196" t="s">
        <v>99</v>
      </c>
      <c r="E8" s="196" t="s">
        <v>100</v>
      </c>
      <c r="F8" s="196" t="s">
        <v>101</v>
      </c>
      <c r="G8" s="197" t="s">
        <v>102</v>
      </c>
    </row>
    <row r="9" spans="1:14" ht="17" thickBot="1">
      <c r="A9" s="198" t="s">
        <v>59</v>
      </c>
      <c r="B9" s="199">
        <f>B5*B3</f>
        <v>0</v>
      </c>
      <c r="C9" s="199">
        <f>C3*B5*1.15</f>
        <v>37.26</v>
      </c>
      <c r="D9" s="199">
        <f>D3*B5*1.15</f>
        <v>621</v>
      </c>
      <c r="E9" s="199">
        <f>E3*B5*1.15</f>
        <v>3104.9999999999995</v>
      </c>
      <c r="F9" s="199">
        <f>F3*B5*1.15</f>
        <v>10557</v>
      </c>
      <c r="G9" s="200">
        <f>G3*B5*1.15</f>
        <v>25460.999999999993</v>
      </c>
    </row>
    <row r="10" spans="1:14">
      <c r="I10" s="451" t="s">
        <v>691</v>
      </c>
      <c r="J10" s="451"/>
      <c r="K10" s="451"/>
      <c r="L10" s="451"/>
      <c r="M10" s="451"/>
      <c r="N10" s="451"/>
    </row>
    <row r="11" spans="1:14">
      <c r="I11" s="451"/>
      <c r="J11" s="451"/>
      <c r="K11" s="451"/>
      <c r="L11" s="451"/>
      <c r="M11" s="451"/>
      <c r="N11" s="451"/>
    </row>
    <row r="12" spans="1:14">
      <c r="I12" s="451"/>
      <c r="J12" s="451"/>
      <c r="K12" s="451"/>
      <c r="L12" s="451"/>
      <c r="M12" s="451"/>
      <c r="N12" s="451"/>
    </row>
    <row r="13" spans="1:14">
      <c r="I13" s="451"/>
      <c r="J13" s="451"/>
      <c r="K13" s="451"/>
      <c r="L13" s="451"/>
      <c r="M13" s="451"/>
      <c r="N13" s="451"/>
    </row>
    <row r="14" spans="1:14">
      <c r="I14" s="451"/>
      <c r="J14" s="451"/>
      <c r="K14" s="451"/>
      <c r="L14" s="451"/>
      <c r="M14" s="451"/>
      <c r="N14" s="451"/>
    </row>
  </sheetData>
  <mergeCells count="1">
    <mergeCell ref="I10:N14"/>
  </mergeCells>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0B528-FB4A-D94F-B8A4-BFAAA8FDE208}">
  <dimension ref="A1:N14"/>
  <sheetViews>
    <sheetView zoomScale="138" workbookViewId="0">
      <selection activeCell="K30" sqref="K30"/>
    </sheetView>
  </sheetViews>
  <sheetFormatPr baseColWidth="10" defaultRowHeight="16"/>
  <cols>
    <col min="1" max="1" width="28.1640625" customWidth="1"/>
  </cols>
  <sheetData>
    <row r="1" spans="1:14">
      <c r="A1" s="172"/>
      <c r="B1" s="253" t="s">
        <v>97</v>
      </c>
      <c r="C1" s="253" t="s">
        <v>98</v>
      </c>
      <c r="D1" s="253" t="s">
        <v>99</v>
      </c>
      <c r="E1" s="253" t="s">
        <v>100</v>
      </c>
      <c r="F1" s="253" t="s">
        <v>101</v>
      </c>
      <c r="G1" s="253" t="s">
        <v>102</v>
      </c>
      <c r="H1" s="174" t="s">
        <v>199</v>
      </c>
    </row>
    <row r="2" spans="1:14">
      <c r="A2" s="175" t="s">
        <v>103</v>
      </c>
      <c r="B2" s="4">
        <v>0</v>
      </c>
      <c r="C2" s="4">
        <v>1.2E-2</v>
      </c>
      <c r="D2" s="4">
        <v>0.2</v>
      </c>
      <c r="E2" s="4">
        <v>1</v>
      </c>
      <c r="F2" s="4">
        <v>3.4</v>
      </c>
      <c r="G2" s="4">
        <v>8.1999999999999993</v>
      </c>
      <c r="H2" s="176" t="s">
        <v>200</v>
      </c>
    </row>
    <row r="3" spans="1:14" ht="35" thickBot="1">
      <c r="A3" s="178" t="s">
        <v>110</v>
      </c>
      <c r="B3" s="179">
        <v>0</v>
      </c>
      <c r="C3" s="179">
        <f>C2*30</f>
        <v>0.36</v>
      </c>
      <c r="D3" s="179">
        <f t="shared" ref="D3:G3" si="0">D2*30</f>
        <v>6</v>
      </c>
      <c r="E3" s="179">
        <f t="shared" si="0"/>
        <v>30</v>
      </c>
      <c r="F3" s="179">
        <f t="shared" si="0"/>
        <v>102</v>
      </c>
      <c r="G3" s="179">
        <f t="shared" si="0"/>
        <v>245.99999999999997</v>
      </c>
      <c r="H3" s="180" t="s">
        <v>200</v>
      </c>
    </row>
    <row r="4" spans="1:14" ht="17" thickBot="1"/>
    <row r="5" spans="1:14" ht="17" thickBot="1">
      <c r="A5" s="263" t="s">
        <v>286</v>
      </c>
      <c r="B5" s="264">
        <v>240</v>
      </c>
      <c r="C5" s="264" t="s">
        <v>282</v>
      </c>
      <c r="D5" s="264"/>
      <c r="E5" s="264">
        <f>B5/1000</f>
        <v>0.24</v>
      </c>
      <c r="F5" s="265" t="s">
        <v>283</v>
      </c>
      <c r="G5" s="4"/>
      <c r="H5" s="27" t="s">
        <v>284</v>
      </c>
      <c r="I5" s="28"/>
      <c r="J5" s="26"/>
    </row>
    <row r="6" spans="1:14">
      <c r="A6" s="59"/>
      <c r="B6" s="4"/>
      <c r="C6" s="4"/>
      <c r="D6" s="4"/>
      <c r="E6" s="4"/>
      <c r="F6" s="4"/>
      <c r="G6" s="4"/>
    </row>
    <row r="7" spans="1:14" ht="17" thickBot="1">
      <c r="A7" s="4"/>
      <c r="B7" s="4"/>
      <c r="C7" s="4"/>
      <c r="D7" s="4"/>
      <c r="E7" s="4"/>
      <c r="F7" s="4"/>
      <c r="G7" s="4"/>
    </row>
    <row r="8" spans="1:14">
      <c r="A8" s="195" t="s">
        <v>109</v>
      </c>
      <c r="B8" s="196" t="s">
        <v>97</v>
      </c>
      <c r="C8" s="196" t="s">
        <v>98</v>
      </c>
      <c r="D8" s="196" t="s">
        <v>99</v>
      </c>
      <c r="E8" s="196" t="s">
        <v>100</v>
      </c>
      <c r="F8" s="196" t="s">
        <v>101</v>
      </c>
      <c r="G8" s="197" t="s">
        <v>102</v>
      </c>
    </row>
    <row r="9" spans="1:14" ht="17" thickBot="1">
      <c r="A9" s="198" t="s">
        <v>59</v>
      </c>
      <c r="B9" s="199">
        <f>E5*B3</f>
        <v>0</v>
      </c>
      <c r="C9" s="199">
        <f>E5*C3</f>
        <v>8.6399999999999991E-2</v>
      </c>
      <c r="D9" s="199">
        <f>E5*D3</f>
        <v>1.44</v>
      </c>
      <c r="E9" s="199">
        <f>E5*E3</f>
        <v>7.1999999999999993</v>
      </c>
      <c r="F9" s="199">
        <f>E5*F3</f>
        <v>24.48</v>
      </c>
      <c r="G9" s="200">
        <f>E5*G3</f>
        <v>59.039999999999992</v>
      </c>
    </row>
    <row r="10" spans="1:14">
      <c r="A10" s="4"/>
      <c r="B10" s="4"/>
      <c r="C10" s="4"/>
      <c r="D10" s="4"/>
      <c r="E10" s="4"/>
      <c r="F10" s="4"/>
      <c r="G10" s="4"/>
      <c r="I10" s="493" t="s">
        <v>538</v>
      </c>
      <c r="J10" s="493"/>
      <c r="K10" s="493"/>
      <c r="L10" s="493"/>
      <c r="M10" s="493"/>
      <c r="N10" s="493"/>
    </row>
    <row r="11" spans="1:14">
      <c r="I11" s="493"/>
      <c r="J11" s="493"/>
      <c r="K11" s="493"/>
      <c r="L11" s="493"/>
      <c r="M11" s="493"/>
      <c r="N11" s="493"/>
    </row>
    <row r="12" spans="1:14">
      <c r="I12" s="493"/>
      <c r="J12" s="493"/>
      <c r="K12" s="493"/>
      <c r="L12" s="493"/>
      <c r="M12" s="493"/>
      <c r="N12" s="493"/>
    </row>
    <row r="13" spans="1:14">
      <c r="I13" s="493"/>
      <c r="J13" s="493"/>
      <c r="K13" s="493"/>
      <c r="L13" s="493"/>
      <c r="M13" s="493"/>
      <c r="N13" s="493"/>
    </row>
    <row r="14" spans="1:14">
      <c r="I14" s="493"/>
      <c r="J14" s="493"/>
      <c r="K14" s="493"/>
      <c r="L14" s="493"/>
      <c r="M14" s="493"/>
      <c r="N14" s="493"/>
    </row>
  </sheetData>
  <mergeCells count="1">
    <mergeCell ref="I10:N14"/>
  </mergeCells>
  <pageMargins left="0.7" right="0.7" top="0.75" bottom="0.75" header="0.3" footer="0.3"/>
  <pageSetup paperSize="9"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B7DCF-E3F7-F447-98F5-604A43492974}">
  <dimension ref="A1:O20"/>
  <sheetViews>
    <sheetView zoomScale="142" workbookViewId="0">
      <selection activeCell="G17" sqref="G17"/>
    </sheetView>
  </sheetViews>
  <sheetFormatPr baseColWidth="10" defaultRowHeight="16"/>
  <cols>
    <col min="1" max="1" width="18.5" customWidth="1"/>
    <col min="3" max="3" width="13.33203125" customWidth="1"/>
    <col min="5" max="5" width="12.6640625" customWidth="1"/>
  </cols>
  <sheetData>
    <row r="1" spans="1:15">
      <c r="A1" s="172"/>
      <c r="B1" s="253" t="s">
        <v>97</v>
      </c>
      <c r="C1" s="253" t="s">
        <v>98</v>
      </c>
      <c r="D1" s="253" t="s">
        <v>99</v>
      </c>
      <c r="E1" s="253" t="s">
        <v>100</v>
      </c>
      <c r="F1" s="253" t="s">
        <v>101</v>
      </c>
      <c r="G1" s="253" t="s">
        <v>102</v>
      </c>
      <c r="H1" s="174" t="s">
        <v>199</v>
      </c>
    </row>
    <row r="2" spans="1:15">
      <c r="A2" s="175" t="s">
        <v>103</v>
      </c>
      <c r="B2" s="4">
        <v>0</v>
      </c>
      <c r="C2" s="4">
        <v>1.2E-2</v>
      </c>
      <c r="D2" s="4">
        <v>0.2</v>
      </c>
      <c r="E2" s="4">
        <v>1</v>
      </c>
      <c r="F2" s="4">
        <v>3.4</v>
      </c>
      <c r="G2" s="4">
        <v>8.1999999999999993</v>
      </c>
      <c r="H2" s="176" t="s">
        <v>200</v>
      </c>
    </row>
    <row r="3" spans="1:15" ht="35" thickBot="1">
      <c r="A3" s="178" t="s">
        <v>110</v>
      </c>
      <c r="B3" s="179">
        <v>0</v>
      </c>
      <c r="C3" s="179">
        <f>C2*30</f>
        <v>0.36</v>
      </c>
      <c r="D3" s="179">
        <f t="shared" ref="D3:G3" si="0">D2*30</f>
        <v>6</v>
      </c>
      <c r="E3" s="179">
        <f t="shared" si="0"/>
        <v>30</v>
      </c>
      <c r="F3" s="179">
        <f t="shared" si="0"/>
        <v>102</v>
      </c>
      <c r="G3" s="179">
        <f t="shared" si="0"/>
        <v>245.99999999999997</v>
      </c>
      <c r="H3" s="180" t="s">
        <v>200</v>
      </c>
    </row>
    <row r="4" spans="1:15" ht="17" thickBot="1"/>
    <row r="5" spans="1:15">
      <c r="A5" s="464" t="s">
        <v>248</v>
      </c>
      <c r="B5" s="448"/>
      <c r="C5" s="448"/>
      <c r="D5" s="448"/>
      <c r="E5" s="448"/>
      <c r="F5" s="449"/>
    </row>
    <row r="6" spans="1:15">
      <c r="A6" s="494" t="s">
        <v>244</v>
      </c>
      <c r="B6" s="495"/>
      <c r="C6" s="495"/>
      <c r="D6" s="495"/>
      <c r="E6" s="495"/>
      <c r="F6" s="496"/>
    </row>
    <row r="7" spans="1:15" ht="17" thickBot="1">
      <c r="A7" s="251" t="s">
        <v>245</v>
      </c>
      <c r="B7" s="163">
        <v>1.3958999999999999</v>
      </c>
      <c r="C7" s="163" t="s">
        <v>246</v>
      </c>
      <c r="D7" s="163">
        <v>2.3266</v>
      </c>
      <c r="E7" s="163" t="s">
        <v>247</v>
      </c>
      <c r="F7" s="164">
        <v>5.1185</v>
      </c>
    </row>
    <row r="8" spans="1:15" ht="17" thickBot="1"/>
    <row r="9" spans="1:15">
      <c r="A9" s="464" t="s">
        <v>249</v>
      </c>
      <c r="B9" s="449"/>
      <c r="F9" s="25" t="s">
        <v>214</v>
      </c>
    </row>
    <row r="10" spans="1:15" ht="17" thickBot="1">
      <c r="A10" s="251" t="s">
        <v>250</v>
      </c>
      <c r="B10" s="164">
        <v>2.3266</v>
      </c>
    </row>
    <row r="11" spans="1:15" ht="17" thickBot="1"/>
    <row r="12" spans="1:15">
      <c r="A12" s="241" t="s">
        <v>109</v>
      </c>
      <c r="B12" s="253" t="s">
        <v>97</v>
      </c>
      <c r="C12" s="253" t="s">
        <v>98</v>
      </c>
      <c r="D12" s="253" t="s">
        <v>99</v>
      </c>
      <c r="E12" s="253" t="s">
        <v>100</v>
      </c>
      <c r="F12" s="253" t="s">
        <v>101</v>
      </c>
      <c r="G12" s="242" t="s">
        <v>102</v>
      </c>
      <c r="I12" s="497" t="s">
        <v>1116</v>
      </c>
      <c r="J12" s="497"/>
      <c r="K12" s="497"/>
      <c r="L12" s="497"/>
      <c r="M12" s="497"/>
      <c r="N12" s="497"/>
      <c r="O12" s="497"/>
    </row>
    <row r="13" spans="1:15">
      <c r="A13" s="254" t="s">
        <v>248</v>
      </c>
      <c r="B13" s="334">
        <v>0</v>
      </c>
      <c r="C13" s="334">
        <f>C3*B7</f>
        <v>0.50252399999999997</v>
      </c>
      <c r="D13" s="334">
        <f>D3*B7</f>
        <v>8.3753999999999991</v>
      </c>
      <c r="E13" s="334">
        <f>E3*B7</f>
        <v>41.876999999999995</v>
      </c>
      <c r="F13" s="334" t="s">
        <v>58</v>
      </c>
      <c r="G13" s="255" t="s">
        <v>58</v>
      </c>
      <c r="I13" s="497"/>
      <c r="J13" s="497"/>
      <c r="K13" s="497"/>
      <c r="L13" s="497"/>
      <c r="M13" s="497"/>
      <c r="N13" s="497"/>
      <c r="O13" s="497"/>
    </row>
    <row r="14" spans="1:15" ht="17" thickBot="1">
      <c r="A14" s="256" t="s">
        <v>249</v>
      </c>
      <c r="B14" s="257">
        <v>0</v>
      </c>
      <c r="C14" s="257">
        <f>C3*B10</f>
        <v>0.83757599999999999</v>
      </c>
      <c r="D14" s="257">
        <f>D3*B10</f>
        <v>13.9596</v>
      </c>
      <c r="E14" s="257">
        <f>E3*B10</f>
        <v>69.798000000000002</v>
      </c>
      <c r="F14" s="257">
        <f>F3*B10</f>
        <v>237.31319999999999</v>
      </c>
      <c r="G14" s="258">
        <f>G3*B10</f>
        <v>572.34359999999992</v>
      </c>
      <c r="I14" s="497"/>
      <c r="J14" s="497"/>
      <c r="K14" s="497"/>
      <c r="L14" s="497"/>
      <c r="M14" s="497"/>
      <c r="N14" s="497"/>
      <c r="O14" s="497"/>
    </row>
    <row r="15" spans="1:15" ht="17" thickBot="1">
      <c r="I15" s="497"/>
      <c r="J15" s="497"/>
      <c r="K15" s="497"/>
      <c r="L15" s="497"/>
      <c r="M15" s="497"/>
      <c r="N15" s="497"/>
      <c r="O15" s="497"/>
    </row>
    <row r="16" spans="1:15">
      <c r="A16" s="238" t="s">
        <v>1015</v>
      </c>
      <c r="B16" s="335" t="s">
        <v>97</v>
      </c>
      <c r="C16" s="335" t="s">
        <v>98</v>
      </c>
      <c r="D16" s="335" t="s">
        <v>99</v>
      </c>
      <c r="E16" s="335" t="s">
        <v>100</v>
      </c>
      <c r="F16" s="335" t="s">
        <v>101</v>
      </c>
      <c r="G16" s="336" t="s">
        <v>102</v>
      </c>
      <c r="I16" s="497"/>
      <c r="J16" s="497"/>
      <c r="K16" s="497"/>
      <c r="L16" s="497"/>
      <c r="M16" s="497"/>
      <c r="N16" s="497"/>
      <c r="O16" s="497"/>
    </row>
    <row r="17" spans="1:15" ht="17" thickBot="1">
      <c r="A17" s="198" t="s">
        <v>539</v>
      </c>
      <c r="B17" s="199">
        <v>0</v>
      </c>
      <c r="C17" s="199">
        <f>AVERAGE(C13:C14)</f>
        <v>0.67005000000000003</v>
      </c>
      <c r="D17" s="199">
        <f t="shared" ref="D17:G17" si="1">AVERAGE(D13:D14)</f>
        <v>11.1675</v>
      </c>
      <c r="E17" s="199">
        <f>AVERAGE(E13:E14)</f>
        <v>55.837499999999999</v>
      </c>
      <c r="F17" s="199">
        <f>AVERAGE(F13:F14)</f>
        <v>237.31319999999999</v>
      </c>
      <c r="G17" s="200">
        <f t="shared" si="1"/>
        <v>572.34359999999992</v>
      </c>
      <c r="I17" s="497"/>
      <c r="J17" s="497"/>
      <c r="K17" s="497"/>
      <c r="L17" s="497"/>
      <c r="M17" s="497"/>
      <c r="N17" s="497"/>
      <c r="O17" s="497"/>
    </row>
    <row r="18" spans="1:15">
      <c r="I18" s="497"/>
      <c r="J18" s="497"/>
      <c r="K18" s="497"/>
      <c r="L18" s="497"/>
      <c r="M18" s="497"/>
      <c r="N18" s="497"/>
      <c r="O18" s="497"/>
    </row>
    <row r="19" spans="1:15">
      <c r="I19" s="497"/>
      <c r="J19" s="497"/>
      <c r="K19" s="497"/>
      <c r="L19" s="497"/>
      <c r="M19" s="497"/>
      <c r="N19" s="497"/>
      <c r="O19" s="497"/>
    </row>
    <row r="20" spans="1:15">
      <c r="I20" s="497"/>
      <c r="J20" s="497"/>
      <c r="K20" s="497"/>
      <c r="L20" s="497"/>
      <c r="M20" s="497"/>
      <c r="N20" s="497"/>
      <c r="O20" s="497"/>
    </row>
  </sheetData>
  <mergeCells count="4">
    <mergeCell ref="A6:F6"/>
    <mergeCell ref="A5:F5"/>
    <mergeCell ref="A9:B9"/>
    <mergeCell ref="I12:O20"/>
  </mergeCells>
  <pageMargins left="0.7" right="0.7" top="0.75" bottom="0.75" header="0.3" footer="0.3"/>
  <pageSetup paperSize="9"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1D2D0-05D8-084E-9002-E741BF280090}">
  <dimension ref="A1:P17"/>
  <sheetViews>
    <sheetView zoomScale="133" workbookViewId="0">
      <selection activeCell="H23" sqref="E18:H23"/>
    </sheetView>
  </sheetViews>
  <sheetFormatPr baseColWidth="10" defaultRowHeight="16"/>
  <cols>
    <col min="1" max="1" width="24.1640625" customWidth="1"/>
    <col min="3" max="3" width="21" customWidth="1"/>
  </cols>
  <sheetData>
    <row r="1" spans="1:16">
      <c r="A1" s="172"/>
      <c r="B1" s="253" t="s">
        <v>97</v>
      </c>
      <c r="C1" s="253" t="s">
        <v>98</v>
      </c>
      <c r="D1" s="253" t="s">
        <v>99</v>
      </c>
      <c r="E1" s="253" t="s">
        <v>100</v>
      </c>
      <c r="F1" s="253" t="s">
        <v>101</v>
      </c>
      <c r="G1" s="253" t="s">
        <v>102</v>
      </c>
      <c r="H1" s="174" t="s">
        <v>199</v>
      </c>
    </row>
    <row r="2" spans="1:16">
      <c r="A2" s="175" t="s">
        <v>103</v>
      </c>
      <c r="B2" s="4">
        <v>0</v>
      </c>
      <c r="C2" s="4">
        <v>1.2E-2</v>
      </c>
      <c r="D2" s="4">
        <v>0.2</v>
      </c>
      <c r="E2" s="4">
        <v>1</v>
      </c>
      <c r="F2" s="4">
        <v>3.4</v>
      </c>
      <c r="G2" s="4">
        <v>8.1999999999999993</v>
      </c>
      <c r="H2" s="176" t="s">
        <v>200</v>
      </c>
    </row>
    <row r="3" spans="1:16" ht="35" thickBot="1">
      <c r="A3" s="178" t="s">
        <v>110</v>
      </c>
      <c r="B3" s="179">
        <v>0</v>
      </c>
      <c r="C3" s="179">
        <f>C2*30</f>
        <v>0.36</v>
      </c>
      <c r="D3" s="179">
        <f t="shared" ref="D3:G3" si="0">D2*30</f>
        <v>6</v>
      </c>
      <c r="E3" s="179">
        <f t="shared" si="0"/>
        <v>30</v>
      </c>
      <c r="F3" s="179">
        <f t="shared" si="0"/>
        <v>102</v>
      </c>
      <c r="G3" s="179">
        <f t="shared" si="0"/>
        <v>245.99999999999997</v>
      </c>
      <c r="H3" s="180" t="s">
        <v>200</v>
      </c>
    </row>
    <row r="4" spans="1:16" ht="17" thickBot="1"/>
    <row r="5" spans="1:16">
      <c r="A5" s="498" t="s">
        <v>137</v>
      </c>
      <c r="B5" s="499"/>
      <c r="C5" s="499"/>
      <c r="D5" s="499"/>
      <c r="E5" s="499"/>
      <c r="F5" s="499"/>
      <c r="G5" s="499"/>
      <c r="H5" s="499"/>
      <c r="I5" s="499"/>
      <c r="J5" s="499"/>
      <c r="K5" s="499"/>
      <c r="L5" s="499"/>
      <c r="M5" s="499"/>
      <c r="N5" s="500"/>
    </row>
    <row r="6" spans="1:16" ht="35" thickBot="1">
      <c r="A6" s="243" t="s">
        <v>315</v>
      </c>
      <c r="B6">
        <v>0.52</v>
      </c>
      <c r="C6" s="248" t="s">
        <v>1007</v>
      </c>
      <c r="D6" s="163">
        <v>1.31</v>
      </c>
      <c r="E6" s="248" t="s">
        <v>1011</v>
      </c>
      <c r="F6" s="163">
        <v>2.41</v>
      </c>
      <c r="G6" s="248" t="s">
        <v>1012</v>
      </c>
      <c r="H6" s="163">
        <v>3.38</v>
      </c>
      <c r="I6" s="248" t="s">
        <v>1013</v>
      </c>
      <c r="J6" s="163">
        <v>3.57</v>
      </c>
      <c r="K6" s="248" t="s">
        <v>1014</v>
      </c>
      <c r="L6" s="163">
        <v>3.73</v>
      </c>
      <c r="M6" s="248" t="s">
        <v>136</v>
      </c>
      <c r="N6" s="164">
        <v>3.79</v>
      </c>
    </row>
    <row r="7" spans="1:16">
      <c r="A7" s="427" t="s">
        <v>1107</v>
      </c>
      <c r="B7" s="428" t="s">
        <v>1104</v>
      </c>
      <c r="C7" s="427" t="s">
        <v>1108</v>
      </c>
      <c r="D7" s="428" t="s">
        <v>1104</v>
      </c>
      <c r="E7" s="376"/>
      <c r="F7" s="376"/>
      <c r="G7" s="376"/>
      <c r="H7" s="376"/>
      <c r="I7" s="376"/>
      <c r="J7" s="376"/>
      <c r="K7" s="376"/>
      <c r="L7" s="376"/>
      <c r="M7" s="376"/>
      <c r="N7" s="375"/>
    </row>
    <row r="8" spans="1:16" ht="17">
      <c r="A8" s="299" t="s">
        <v>315</v>
      </c>
      <c r="B8" s="252">
        <v>10.71</v>
      </c>
      <c r="C8" s="299" t="s">
        <v>315</v>
      </c>
      <c r="D8" s="252">
        <v>4.01</v>
      </c>
      <c r="F8" s="2"/>
      <c r="G8" s="2"/>
      <c r="H8" s="2"/>
      <c r="I8" s="2"/>
      <c r="N8" s="20"/>
    </row>
    <row r="9" spans="1:16" ht="18" thickBot="1">
      <c r="A9" s="300" t="s">
        <v>1105</v>
      </c>
      <c r="B9" s="270">
        <v>44.85</v>
      </c>
      <c r="C9" s="300" t="s">
        <v>1105</v>
      </c>
      <c r="D9" s="270">
        <v>15.65</v>
      </c>
      <c r="F9" s="11"/>
      <c r="H9" s="11"/>
      <c r="M9" s="27" t="s">
        <v>140</v>
      </c>
      <c r="N9" s="26"/>
      <c r="O9" s="28"/>
      <c r="P9" s="26"/>
    </row>
    <row r="10" spans="1:16" ht="17" thickBot="1">
      <c r="A10" s="10"/>
    </row>
    <row r="11" spans="1:16">
      <c r="A11" s="403" t="s">
        <v>109</v>
      </c>
      <c r="B11" s="404" t="s">
        <v>97</v>
      </c>
      <c r="C11" s="404" t="s">
        <v>98</v>
      </c>
      <c r="D11" s="404" t="s">
        <v>99</v>
      </c>
      <c r="E11" s="404" t="s">
        <v>100</v>
      </c>
      <c r="F11" s="404" t="s">
        <v>101</v>
      </c>
      <c r="G11" s="405" t="s">
        <v>102</v>
      </c>
    </row>
    <row r="12" spans="1:16">
      <c r="A12" s="224" t="s">
        <v>1109</v>
      </c>
      <c r="B12" s="1">
        <v>0</v>
      </c>
      <c r="C12" s="1">
        <f>C3*$B6+$B8</f>
        <v>10.897200000000002</v>
      </c>
      <c r="D12" s="1">
        <f>D3*$B6+$B8</f>
        <v>13.830000000000002</v>
      </c>
      <c r="E12" s="1">
        <f>E3*$B6+$B8</f>
        <v>26.310000000000002</v>
      </c>
      <c r="F12" s="1">
        <f>50*B6+50*D6+(F3-100)*F6+B9</f>
        <v>141.16999999999999</v>
      </c>
      <c r="G12" s="252">
        <f>50*B6+(100-50)*D6+F6*(200-100)+(G3-200)*H6+B9</f>
        <v>532.82999999999993</v>
      </c>
    </row>
    <row r="13" spans="1:16" ht="17" thickBot="1">
      <c r="A13" s="181" t="s">
        <v>1110</v>
      </c>
      <c r="B13" s="182">
        <v>0</v>
      </c>
      <c r="C13" s="182">
        <f>C3*$B6+$D8</f>
        <v>4.1971999999999996</v>
      </c>
      <c r="D13" s="182">
        <f>D3*$B6+$D8</f>
        <v>7.13</v>
      </c>
      <c r="E13" s="182">
        <f>E3*$B6+$D8</f>
        <v>19.61</v>
      </c>
      <c r="F13" s="182">
        <f>50*B6+50*D6+(F3-100)*F6+D9</f>
        <v>111.97</v>
      </c>
      <c r="G13" s="270">
        <f>50*B6+(100-50)*D6+F6*(200-100)+(G3-200)*H6+D9</f>
        <v>503.62999999999988</v>
      </c>
      <c r="J13" s="451" t="s">
        <v>1106</v>
      </c>
      <c r="K13" s="451"/>
      <c r="L13" s="451"/>
      <c r="M13" s="451"/>
      <c r="N13" s="451"/>
    </row>
    <row r="14" spans="1:16" ht="17" thickBot="1">
      <c r="J14" s="451"/>
      <c r="K14" s="451"/>
      <c r="L14" s="451"/>
      <c r="M14" s="451"/>
      <c r="N14" s="451"/>
    </row>
    <row r="15" spans="1:16">
      <c r="A15" s="403" t="s">
        <v>109</v>
      </c>
      <c r="B15" s="404" t="s">
        <v>97</v>
      </c>
      <c r="C15" s="404" t="s">
        <v>98</v>
      </c>
      <c r="D15" s="404" t="s">
        <v>99</v>
      </c>
      <c r="E15" s="404" t="s">
        <v>100</v>
      </c>
      <c r="F15" s="404" t="s">
        <v>101</v>
      </c>
      <c r="G15" s="405" t="s">
        <v>102</v>
      </c>
      <c r="J15" s="451"/>
      <c r="K15" s="451"/>
      <c r="L15" s="451"/>
      <c r="M15" s="451"/>
      <c r="N15" s="451"/>
    </row>
    <row r="16" spans="1:16" ht="17" thickBot="1">
      <c r="A16" s="437" t="s">
        <v>78</v>
      </c>
      <c r="B16" s="438">
        <v>0</v>
      </c>
      <c r="C16" s="438">
        <f>AVERAGE(C12:C13)</f>
        <v>7.5472000000000001</v>
      </c>
      <c r="D16" s="438">
        <f t="shared" ref="D16" si="1">AVERAGE(D12:D13)</f>
        <v>10.48</v>
      </c>
      <c r="E16" s="438">
        <f>AVERAGE(E12:E13)</f>
        <v>22.96</v>
      </c>
      <c r="F16" s="438">
        <f>AVERAGE(F12:F13)</f>
        <v>126.57</v>
      </c>
      <c r="G16" s="439">
        <f>AVERAGE(G12:G13)</f>
        <v>518.2299999999999</v>
      </c>
      <c r="J16" s="451"/>
      <c r="K16" s="451"/>
      <c r="L16" s="451"/>
      <c r="M16" s="451"/>
      <c r="N16" s="451"/>
    </row>
    <row r="17" spans="1:7">
      <c r="A17" s="4"/>
      <c r="B17" s="4"/>
      <c r="C17" s="4"/>
      <c r="D17" s="4"/>
      <c r="E17" s="4"/>
      <c r="F17" s="4"/>
      <c r="G17" s="4"/>
    </row>
  </sheetData>
  <mergeCells count="2">
    <mergeCell ref="A5:N5"/>
    <mergeCell ref="J13:N16"/>
  </mergeCells>
  <phoneticPr fontId="1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B5039-ABC4-1D45-B998-96110DCE81D5}">
  <dimension ref="A1:V49"/>
  <sheetViews>
    <sheetView zoomScale="90" workbookViewId="0">
      <selection activeCell="G5" sqref="G5"/>
    </sheetView>
  </sheetViews>
  <sheetFormatPr baseColWidth="10" defaultRowHeight="16"/>
  <cols>
    <col min="1" max="1" width="10.83203125" style="60"/>
    <col min="2" max="2" width="33" style="60" customWidth="1"/>
    <col min="3" max="3" width="22.83203125" style="67" customWidth="1"/>
    <col min="4" max="4" width="28.1640625" style="60" customWidth="1"/>
    <col min="5" max="5" width="18.83203125" style="67" customWidth="1"/>
    <col min="6" max="6" width="27.6640625" style="67" customWidth="1"/>
    <col min="7" max="7" width="26.6640625" style="67" customWidth="1"/>
    <col min="8" max="8" width="21" style="67" customWidth="1"/>
    <col min="9" max="9" width="19.5" style="67" customWidth="1"/>
    <col min="10" max="10" width="22.83203125" style="67" customWidth="1"/>
    <col min="11" max="11" width="32.5" style="67" customWidth="1"/>
    <col min="12" max="12" width="26" style="67" customWidth="1"/>
    <col min="13" max="13" width="29.33203125" style="60" customWidth="1"/>
    <col min="14" max="14" width="71.5" style="60" customWidth="1"/>
    <col min="15" max="15" width="47.5" style="214" customWidth="1"/>
    <col min="16" max="16" width="12.6640625" style="67" customWidth="1"/>
    <col min="17" max="17" width="12.83203125" style="67" customWidth="1"/>
    <col min="18" max="19" width="13.5" style="67" customWidth="1"/>
    <col min="20" max="20" width="28.83203125" style="67" customWidth="1"/>
    <col min="22" max="22" width="10.83203125" style="4"/>
  </cols>
  <sheetData>
    <row r="1" spans="1:22" ht="85">
      <c r="B1" s="84" t="s">
        <v>10</v>
      </c>
      <c r="C1" s="201" t="s">
        <v>594</v>
      </c>
      <c r="D1" s="84" t="s">
        <v>46</v>
      </c>
      <c r="E1" s="201" t="s">
        <v>597</v>
      </c>
      <c r="F1" s="201" t="s">
        <v>1017</v>
      </c>
      <c r="G1" s="201" t="s">
        <v>1018</v>
      </c>
      <c r="H1" s="201" t="s">
        <v>306</v>
      </c>
      <c r="I1" s="201" t="s">
        <v>57</v>
      </c>
      <c r="J1" s="201" t="s">
        <v>55</v>
      </c>
      <c r="K1" s="201" t="s">
        <v>56</v>
      </c>
      <c r="L1" s="201" t="s">
        <v>49</v>
      </c>
      <c r="M1" s="201" t="s">
        <v>50</v>
      </c>
      <c r="N1" s="84" t="s">
        <v>599</v>
      </c>
      <c r="O1" s="218" t="s">
        <v>48</v>
      </c>
      <c r="P1" s="67" t="s">
        <v>635</v>
      </c>
      <c r="Q1" s="67" t="s">
        <v>636</v>
      </c>
      <c r="R1" s="67" t="s">
        <v>637</v>
      </c>
      <c r="T1" s="201" t="s">
        <v>600</v>
      </c>
    </row>
    <row r="2" spans="1:22" ht="42" customHeight="1">
      <c r="A2" s="60">
        <v>1</v>
      </c>
      <c r="B2" s="202" t="s">
        <v>0</v>
      </c>
      <c r="C2" s="203" t="s">
        <v>595</v>
      </c>
      <c r="D2" s="60">
        <v>2023</v>
      </c>
      <c r="E2" s="67" t="s">
        <v>598</v>
      </c>
      <c r="H2" s="204" t="s">
        <v>625</v>
      </c>
      <c r="I2" s="205">
        <v>0.14000000000000001</v>
      </c>
      <c r="J2" s="67" t="s">
        <v>58</v>
      </c>
      <c r="K2" s="67" t="s">
        <v>58</v>
      </c>
      <c r="L2" s="67" t="s">
        <v>78</v>
      </c>
      <c r="M2" s="60" t="s">
        <v>76</v>
      </c>
      <c r="N2" s="203" t="s">
        <v>305</v>
      </c>
      <c r="O2" s="206" t="s">
        <v>307</v>
      </c>
      <c r="P2" s="203" t="s">
        <v>52</v>
      </c>
      <c r="T2" s="67" t="s">
        <v>601</v>
      </c>
    </row>
    <row r="3" spans="1:22" ht="51">
      <c r="A3" s="60">
        <v>2</v>
      </c>
      <c r="B3" s="207" t="s">
        <v>1</v>
      </c>
      <c r="C3" s="204" t="s">
        <v>611</v>
      </c>
      <c r="D3" s="60">
        <v>2024</v>
      </c>
      <c r="E3" s="67" t="s">
        <v>598</v>
      </c>
      <c r="H3" s="204" t="s">
        <v>625</v>
      </c>
      <c r="I3" s="205">
        <v>0.18</v>
      </c>
      <c r="J3" s="67" t="s">
        <v>58</v>
      </c>
      <c r="K3" s="67" t="s">
        <v>58</v>
      </c>
      <c r="L3" s="67" t="s">
        <v>624</v>
      </c>
      <c r="M3" s="60" t="s">
        <v>53</v>
      </c>
      <c r="N3" s="203" t="s">
        <v>612</v>
      </c>
      <c r="O3" s="206" t="s">
        <v>308</v>
      </c>
      <c r="P3" s="203" t="s">
        <v>52</v>
      </c>
    </row>
    <row r="4" spans="1:22" ht="44" customHeight="1">
      <c r="A4" s="60">
        <v>3</v>
      </c>
      <c r="B4" s="202" t="s">
        <v>2</v>
      </c>
      <c r="C4" s="203" t="s">
        <v>627</v>
      </c>
      <c r="D4" s="60">
        <v>2024</v>
      </c>
      <c r="E4" s="216" t="s">
        <v>630</v>
      </c>
      <c r="F4" s="216"/>
      <c r="G4" s="216"/>
      <c r="H4" s="204" t="s">
        <v>625</v>
      </c>
      <c r="I4" s="205" t="s">
        <v>61</v>
      </c>
      <c r="J4" s="67" t="s">
        <v>649</v>
      </c>
      <c r="K4" s="67" t="s">
        <v>91</v>
      </c>
      <c r="L4" s="67" t="s">
        <v>628</v>
      </c>
      <c r="M4" s="60" t="s">
        <v>53</v>
      </c>
      <c r="N4" s="208" t="s">
        <v>54</v>
      </c>
      <c r="O4" s="206" t="s">
        <v>308</v>
      </c>
      <c r="P4" s="204" t="s">
        <v>629</v>
      </c>
      <c r="R4" s="204"/>
      <c r="S4" s="204"/>
    </row>
    <row r="5" spans="1:22" ht="36" customHeight="1">
      <c r="A5" s="60">
        <v>4</v>
      </c>
      <c r="B5" s="202" t="s">
        <v>3</v>
      </c>
      <c r="C5" s="203" t="s">
        <v>632</v>
      </c>
      <c r="D5" s="60">
        <v>2024</v>
      </c>
      <c r="E5" s="217" t="s">
        <v>598</v>
      </c>
      <c r="F5" s="217"/>
      <c r="G5" s="217"/>
      <c r="H5" s="203" t="s">
        <v>625</v>
      </c>
      <c r="I5" s="205">
        <v>0.18</v>
      </c>
      <c r="J5" s="203" t="s">
        <v>625</v>
      </c>
      <c r="K5" s="67" t="s">
        <v>550</v>
      </c>
      <c r="L5" s="67" t="s">
        <v>624</v>
      </c>
      <c r="M5" s="60" t="s">
        <v>53</v>
      </c>
      <c r="N5" s="208" t="s">
        <v>92</v>
      </c>
      <c r="O5" s="206" t="s">
        <v>308</v>
      </c>
      <c r="P5" s="203" t="s">
        <v>52</v>
      </c>
      <c r="Q5" s="203" t="s">
        <v>638</v>
      </c>
      <c r="R5" s="203" t="s">
        <v>634</v>
      </c>
      <c r="S5" s="203" t="s">
        <v>551</v>
      </c>
    </row>
    <row r="6" spans="1:22" ht="45" customHeight="1">
      <c r="A6" s="60">
        <v>5</v>
      </c>
      <c r="B6" s="202" t="s">
        <v>4</v>
      </c>
      <c r="C6" s="203" t="s">
        <v>633</v>
      </c>
      <c r="D6" s="60">
        <v>2021</v>
      </c>
      <c r="E6" s="67" t="s">
        <v>598</v>
      </c>
      <c r="H6" s="204" t="s">
        <v>625</v>
      </c>
      <c r="I6" s="205">
        <v>0</v>
      </c>
      <c r="J6" s="67" t="s">
        <v>58</v>
      </c>
      <c r="K6" s="67" t="s">
        <v>58</v>
      </c>
      <c r="L6" s="67" t="s">
        <v>78</v>
      </c>
      <c r="M6" s="60" t="s">
        <v>53</v>
      </c>
      <c r="N6" s="208" t="s">
        <v>334</v>
      </c>
      <c r="O6" s="206" t="s">
        <v>307</v>
      </c>
      <c r="P6" s="204" t="s">
        <v>52</v>
      </c>
      <c r="Q6" s="208"/>
      <c r="R6" s="208"/>
      <c r="S6" s="208"/>
      <c r="T6" s="67" t="s">
        <v>639</v>
      </c>
    </row>
    <row r="7" spans="1:22" s="69" customFormat="1" ht="34" customHeight="1">
      <c r="A7" s="60">
        <v>6</v>
      </c>
      <c r="B7" s="202" t="s">
        <v>37</v>
      </c>
      <c r="C7" s="203" t="s">
        <v>640</v>
      </c>
      <c r="D7" s="209">
        <v>2024</v>
      </c>
      <c r="E7" s="211" t="s">
        <v>598</v>
      </c>
      <c r="F7" s="211"/>
      <c r="G7" s="211"/>
      <c r="H7" s="204" t="s">
        <v>625</v>
      </c>
      <c r="I7" s="210">
        <v>0.19</v>
      </c>
      <c r="J7" s="211" t="s">
        <v>648</v>
      </c>
      <c r="K7" s="211" t="s">
        <v>58</v>
      </c>
      <c r="L7" s="67" t="s">
        <v>643</v>
      </c>
      <c r="M7" s="209" t="s">
        <v>76</v>
      </c>
      <c r="N7" s="208" t="s">
        <v>642</v>
      </c>
      <c r="O7" s="206" t="s">
        <v>308</v>
      </c>
      <c r="P7" s="204" t="s">
        <v>52</v>
      </c>
      <c r="Q7" s="211"/>
      <c r="R7" s="211"/>
      <c r="S7" s="211"/>
      <c r="T7" s="211"/>
      <c r="V7" s="59"/>
    </row>
    <row r="8" spans="1:22" ht="48" customHeight="1">
      <c r="A8" s="60">
        <v>7</v>
      </c>
      <c r="B8" s="202" t="s">
        <v>574</v>
      </c>
      <c r="C8" s="203" t="s">
        <v>656</v>
      </c>
      <c r="D8" s="67">
        <v>2024</v>
      </c>
      <c r="E8" s="67" t="s">
        <v>630</v>
      </c>
      <c r="H8" s="204" t="s">
        <v>625</v>
      </c>
      <c r="I8" s="67" t="s">
        <v>660</v>
      </c>
      <c r="J8" s="67" t="s">
        <v>58</v>
      </c>
      <c r="K8" s="67" t="s">
        <v>659</v>
      </c>
      <c r="L8" s="67" t="s">
        <v>657</v>
      </c>
      <c r="M8" s="60" t="s">
        <v>53</v>
      </c>
      <c r="N8" s="208" t="s">
        <v>63</v>
      </c>
      <c r="O8" s="206" t="s">
        <v>308</v>
      </c>
      <c r="P8" s="204" t="s">
        <v>52</v>
      </c>
    </row>
    <row r="9" spans="1:22" ht="44" customHeight="1">
      <c r="A9" s="60">
        <v>8</v>
      </c>
      <c r="B9" s="202" t="s">
        <v>5</v>
      </c>
      <c r="C9" s="203" t="s">
        <v>661</v>
      </c>
      <c r="D9" s="67">
        <v>2024</v>
      </c>
      <c r="E9" s="67" t="s">
        <v>598</v>
      </c>
      <c r="H9" s="204" t="s">
        <v>625</v>
      </c>
      <c r="I9" s="212">
        <v>0.1925</v>
      </c>
      <c r="J9" s="67" t="s">
        <v>58</v>
      </c>
      <c r="K9" s="67" t="s">
        <v>58</v>
      </c>
      <c r="L9" s="67" t="s">
        <v>78</v>
      </c>
      <c r="M9" s="60" t="s">
        <v>76</v>
      </c>
      <c r="N9" s="203" t="s">
        <v>62</v>
      </c>
      <c r="O9" s="206" t="s">
        <v>308</v>
      </c>
      <c r="P9" s="204" t="s">
        <v>52</v>
      </c>
      <c r="Q9" s="203"/>
      <c r="R9" s="203"/>
      <c r="S9" s="203"/>
    </row>
    <row r="10" spans="1:22" ht="38" customHeight="1">
      <c r="A10" s="60">
        <v>9</v>
      </c>
      <c r="B10" s="202" t="s">
        <v>6</v>
      </c>
      <c r="C10" s="203" t="s">
        <v>662</v>
      </c>
      <c r="D10" s="209">
        <v>2020</v>
      </c>
      <c r="E10" s="211" t="s">
        <v>598</v>
      </c>
      <c r="F10" s="211"/>
      <c r="G10" s="211"/>
      <c r="H10" s="203" t="s">
        <v>625</v>
      </c>
      <c r="I10" s="210">
        <v>0.18</v>
      </c>
      <c r="J10" s="211" t="s">
        <v>58</v>
      </c>
      <c r="K10" s="211" t="s">
        <v>58</v>
      </c>
      <c r="L10" s="67" t="s">
        <v>78</v>
      </c>
      <c r="M10" s="209" t="s">
        <v>76</v>
      </c>
      <c r="N10" s="208" t="s">
        <v>667</v>
      </c>
      <c r="O10" s="206" t="s">
        <v>668</v>
      </c>
      <c r="P10" s="203" t="s">
        <v>52</v>
      </c>
      <c r="T10" s="67" t="s">
        <v>663</v>
      </c>
    </row>
    <row r="11" spans="1:22" ht="37" customHeight="1">
      <c r="A11" s="60">
        <v>10</v>
      </c>
      <c r="B11" s="220" t="s">
        <v>7</v>
      </c>
      <c r="C11" s="221" t="s">
        <v>669</v>
      </c>
      <c r="D11" s="60">
        <v>2014</v>
      </c>
      <c r="E11" s="67" t="s">
        <v>598</v>
      </c>
      <c r="H11" s="203" t="s">
        <v>625</v>
      </c>
      <c r="I11" s="67" t="s">
        <v>859</v>
      </c>
      <c r="J11" s="67" t="s">
        <v>58</v>
      </c>
      <c r="K11" s="67" t="s">
        <v>58</v>
      </c>
      <c r="L11" s="67" t="s">
        <v>78</v>
      </c>
      <c r="M11" s="60" t="s">
        <v>51</v>
      </c>
      <c r="N11" s="203" t="s">
        <v>854</v>
      </c>
      <c r="O11" s="67" t="s">
        <v>858</v>
      </c>
      <c r="P11" s="67" t="s">
        <v>860</v>
      </c>
      <c r="T11" s="219" t="s">
        <v>670</v>
      </c>
      <c r="V11"/>
    </row>
    <row r="12" spans="1:22" s="281" customFormat="1" ht="37" customHeight="1">
      <c r="A12" s="60">
        <v>11</v>
      </c>
      <c r="B12" s="202" t="s">
        <v>8</v>
      </c>
      <c r="C12" s="213" t="s">
        <v>671</v>
      </c>
      <c r="D12" s="280">
        <v>2024</v>
      </c>
      <c r="E12" s="214" t="s">
        <v>598</v>
      </c>
      <c r="F12" s="214"/>
      <c r="G12" s="214"/>
      <c r="H12" s="203" t="s">
        <v>625</v>
      </c>
      <c r="I12" s="210" t="s">
        <v>862</v>
      </c>
      <c r="J12" s="203" t="s">
        <v>625</v>
      </c>
      <c r="K12" s="203" t="s">
        <v>625</v>
      </c>
      <c r="L12" s="67" t="s">
        <v>624</v>
      </c>
      <c r="M12" s="280" t="s">
        <v>53</v>
      </c>
      <c r="N12" s="203" t="s">
        <v>575</v>
      </c>
      <c r="O12" s="206" t="s">
        <v>308</v>
      </c>
      <c r="P12" s="67" t="s">
        <v>861</v>
      </c>
      <c r="Q12" s="214"/>
      <c r="R12" s="214"/>
      <c r="S12" s="214"/>
      <c r="T12" s="214"/>
      <c r="V12" s="282"/>
    </row>
    <row r="13" spans="1:22" ht="51">
      <c r="A13" s="60">
        <v>12</v>
      </c>
      <c r="B13" s="202" t="s">
        <v>38</v>
      </c>
      <c r="C13" s="203" t="s">
        <v>681</v>
      </c>
      <c r="D13" s="209">
        <v>2022</v>
      </c>
      <c r="E13" s="67" t="s">
        <v>598</v>
      </c>
      <c r="H13" s="204" t="s">
        <v>796</v>
      </c>
      <c r="I13" s="210">
        <v>0.16</v>
      </c>
      <c r="J13" s="211" t="s">
        <v>58</v>
      </c>
      <c r="K13" s="211" t="s">
        <v>58</v>
      </c>
      <c r="L13" s="67" t="s">
        <v>78</v>
      </c>
      <c r="M13" s="209" t="s">
        <v>686</v>
      </c>
      <c r="N13" s="208" t="s">
        <v>285</v>
      </c>
      <c r="O13" s="206" t="s">
        <v>339</v>
      </c>
      <c r="P13" s="204" t="s">
        <v>52</v>
      </c>
      <c r="T13" s="67" t="s">
        <v>682</v>
      </c>
    </row>
    <row r="14" spans="1:22" ht="34">
      <c r="A14" s="60">
        <v>13</v>
      </c>
      <c r="B14" s="202" t="s">
        <v>40</v>
      </c>
      <c r="C14" s="213" t="s">
        <v>683</v>
      </c>
      <c r="D14" s="60">
        <v>2021</v>
      </c>
      <c r="E14" s="211" t="s">
        <v>650</v>
      </c>
      <c r="F14" s="211"/>
      <c r="G14" s="211"/>
      <c r="H14" s="204" t="s">
        <v>625</v>
      </c>
      <c r="I14" s="210">
        <v>0.15</v>
      </c>
      <c r="J14" s="211" t="s">
        <v>58</v>
      </c>
      <c r="K14" s="211" t="s">
        <v>58</v>
      </c>
      <c r="L14" s="67" t="s">
        <v>687</v>
      </c>
      <c r="M14" s="60" t="s">
        <v>51</v>
      </c>
      <c r="N14" s="203" t="s">
        <v>688</v>
      </c>
      <c r="O14" s="214" t="s">
        <v>307</v>
      </c>
      <c r="P14" s="204" t="s">
        <v>52</v>
      </c>
    </row>
    <row r="15" spans="1:22" ht="51">
      <c r="A15" s="60">
        <v>14</v>
      </c>
      <c r="B15" s="202" t="s">
        <v>41</v>
      </c>
      <c r="C15" s="203" t="s">
        <v>684</v>
      </c>
      <c r="D15" s="60">
        <v>2022</v>
      </c>
      <c r="E15" s="67" t="s">
        <v>630</v>
      </c>
      <c r="H15" s="204" t="s">
        <v>797</v>
      </c>
      <c r="I15" s="205">
        <v>0</v>
      </c>
      <c r="J15" s="67" t="s">
        <v>58</v>
      </c>
      <c r="K15" s="67" t="s">
        <v>58</v>
      </c>
      <c r="L15" s="67" t="s">
        <v>78</v>
      </c>
      <c r="M15" s="60" t="s">
        <v>686</v>
      </c>
      <c r="N15" s="208" t="s">
        <v>287</v>
      </c>
      <c r="O15" s="206" t="s">
        <v>339</v>
      </c>
      <c r="P15" s="204" t="s">
        <v>52</v>
      </c>
      <c r="T15" s="67" t="s">
        <v>685</v>
      </c>
    </row>
    <row r="16" spans="1:22" ht="40" customHeight="1">
      <c r="A16" s="60">
        <v>15</v>
      </c>
      <c r="B16" s="202" t="s">
        <v>590</v>
      </c>
      <c r="C16" s="203" t="s">
        <v>672</v>
      </c>
      <c r="D16" s="60">
        <v>2024</v>
      </c>
      <c r="E16" s="67" t="s">
        <v>630</v>
      </c>
      <c r="H16" s="204" t="s">
        <v>625</v>
      </c>
      <c r="I16" s="205">
        <v>0</v>
      </c>
      <c r="J16" s="67" t="s">
        <v>58</v>
      </c>
      <c r="K16" s="67" t="s">
        <v>692</v>
      </c>
      <c r="L16" s="67" t="s">
        <v>624</v>
      </c>
      <c r="M16" s="60" t="s">
        <v>53</v>
      </c>
      <c r="N16" s="203" t="s">
        <v>693</v>
      </c>
      <c r="O16" s="214" t="s">
        <v>308</v>
      </c>
      <c r="P16" s="204" t="s">
        <v>52</v>
      </c>
      <c r="Q16" s="204" t="s">
        <v>1016</v>
      </c>
    </row>
    <row r="17" spans="1:22" ht="127" customHeight="1">
      <c r="A17" s="60">
        <v>16</v>
      </c>
      <c r="B17" s="202" t="s">
        <v>9</v>
      </c>
      <c r="C17" s="203" t="s">
        <v>694</v>
      </c>
      <c r="D17" s="60">
        <v>2024</v>
      </c>
      <c r="E17" s="217" t="s">
        <v>598</v>
      </c>
      <c r="F17" s="217"/>
      <c r="G17" s="217"/>
      <c r="H17" s="203" t="s">
        <v>625</v>
      </c>
      <c r="I17" s="205">
        <v>0</v>
      </c>
      <c r="J17" s="67" t="s">
        <v>96</v>
      </c>
      <c r="K17" s="67" t="s">
        <v>58</v>
      </c>
      <c r="L17" s="67" t="s">
        <v>78</v>
      </c>
      <c r="M17" s="60" t="s">
        <v>1101</v>
      </c>
      <c r="N17" s="203" t="s">
        <v>1008</v>
      </c>
      <c r="O17" s="206" t="s">
        <v>1006</v>
      </c>
      <c r="P17" s="203" t="s">
        <v>52</v>
      </c>
    </row>
    <row r="18" spans="1:22" ht="47" customHeight="1">
      <c r="A18" s="60">
        <v>17</v>
      </c>
      <c r="B18" s="202" t="s">
        <v>11</v>
      </c>
      <c r="C18" s="203" t="s">
        <v>695</v>
      </c>
      <c r="D18" s="60" t="s">
        <v>1009</v>
      </c>
      <c r="E18" s="67" t="s">
        <v>598</v>
      </c>
      <c r="H18" s="204" t="s">
        <v>625</v>
      </c>
      <c r="I18" s="205">
        <v>0.1</v>
      </c>
      <c r="J18" s="204" t="s">
        <v>625</v>
      </c>
      <c r="K18" s="67" t="s">
        <v>58</v>
      </c>
      <c r="L18" s="67" t="s">
        <v>624</v>
      </c>
      <c r="M18" s="60" t="s">
        <v>1025</v>
      </c>
      <c r="N18" s="208" t="s">
        <v>712</v>
      </c>
      <c r="O18" s="206" t="s">
        <v>308</v>
      </c>
      <c r="P18" s="203" t="s">
        <v>52</v>
      </c>
      <c r="Q18" s="204" t="s">
        <v>714</v>
      </c>
    </row>
    <row r="19" spans="1:22" ht="62" customHeight="1">
      <c r="A19" s="60">
        <v>18</v>
      </c>
      <c r="B19" s="202" t="s">
        <v>12</v>
      </c>
      <c r="C19" s="203" t="s">
        <v>715</v>
      </c>
      <c r="D19" s="60" t="s">
        <v>1010</v>
      </c>
      <c r="E19" s="67" t="s">
        <v>630</v>
      </c>
      <c r="H19" s="204" t="s">
        <v>625</v>
      </c>
      <c r="I19" s="205" t="s">
        <v>716</v>
      </c>
      <c r="J19" s="67" t="s">
        <v>58</v>
      </c>
      <c r="K19" s="67" t="s">
        <v>58</v>
      </c>
      <c r="L19" s="215" t="s">
        <v>78</v>
      </c>
      <c r="M19" s="60" t="s">
        <v>76</v>
      </c>
      <c r="N19" s="208" t="s">
        <v>64</v>
      </c>
      <c r="O19" s="206" t="s">
        <v>308</v>
      </c>
      <c r="P19" s="203" t="s">
        <v>717</v>
      </c>
      <c r="Q19" s="204" t="s">
        <v>718</v>
      </c>
      <c r="R19" s="204" t="s">
        <v>719</v>
      </c>
    </row>
    <row r="20" spans="1:22" ht="90" customHeight="1">
      <c r="A20" s="60">
        <v>19</v>
      </c>
      <c r="B20" s="202" t="s">
        <v>13</v>
      </c>
      <c r="C20" s="203" t="s">
        <v>673</v>
      </c>
      <c r="D20" s="60">
        <v>2024</v>
      </c>
      <c r="E20" s="217" t="s">
        <v>630</v>
      </c>
      <c r="F20" s="217"/>
      <c r="G20" s="217"/>
      <c r="H20" s="204" t="s">
        <v>625</v>
      </c>
      <c r="I20" s="205">
        <v>0</v>
      </c>
      <c r="J20" s="67" t="s">
        <v>723</v>
      </c>
      <c r="K20" s="67" t="s">
        <v>95</v>
      </c>
      <c r="L20" s="215" t="s">
        <v>624</v>
      </c>
      <c r="M20" s="60" t="s">
        <v>76</v>
      </c>
      <c r="N20" s="208" t="s">
        <v>724</v>
      </c>
      <c r="O20" s="206" t="s">
        <v>308</v>
      </c>
      <c r="P20" s="204" t="s">
        <v>52</v>
      </c>
    </row>
    <row r="21" spans="1:22" ht="68" customHeight="1">
      <c r="A21" s="60">
        <v>20</v>
      </c>
      <c r="B21" s="202" t="s">
        <v>14</v>
      </c>
      <c r="C21" s="203" t="s">
        <v>674</v>
      </c>
      <c r="D21" s="209">
        <v>2024</v>
      </c>
      <c r="E21" s="211" t="s">
        <v>598</v>
      </c>
      <c r="F21" s="211"/>
      <c r="G21" s="211"/>
      <c r="H21" s="204" t="s">
        <v>625</v>
      </c>
      <c r="I21" s="210">
        <v>0.18</v>
      </c>
      <c r="J21" s="211" t="s">
        <v>58</v>
      </c>
      <c r="K21" s="211" t="s">
        <v>58</v>
      </c>
      <c r="L21" s="215" t="s">
        <v>78</v>
      </c>
      <c r="M21" s="209" t="s">
        <v>53</v>
      </c>
      <c r="N21" s="208" t="s">
        <v>727</v>
      </c>
      <c r="O21" s="206" t="s">
        <v>308</v>
      </c>
      <c r="P21" s="203" t="s">
        <v>52</v>
      </c>
    </row>
    <row r="22" spans="1:22" ht="82" customHeight="1">
      <c r="A22" s="60">
        <v>21</v>
      </c>
      <c r="B22" s="202" t="s">
        <v>42</v>
      </c>
      <c r="C22" s="213" t="s">
        <v>729</v>
      </c>
      <c r="D22" s="60">
        <v>2024</v>
      </c>
      <c r="E22" s="67" t="s">
        <v>598</v>
      </c>
      <c r="H22" s="204" t="s">
        <v>625</v>
      </c>
      <c r="I22" s="205">
        <v>0.15</v>
      </c>
      <c r="J22" s="211" t="s">
        <v>58</v>
      </c>
      <c r="K22" s="211" t="s">
        <v>58</v>
      </c>
      <c r="L22" s="215" t="s">
        <v>78</v>
      </c>
      <c r="M22" s="209" t="s">
        <v>53</v>
      </c>
      <c r="N22" s="208" t="s">
        <v>347</v>
      </c>
      <c r="O22" s="206" t="s">
        <v>741</v>
      </c>
      <c r="P22" s="203" t="s">
        <v>52</v>
      </c>
      <c r="Q22" s="204" t="s">
        <v>730</v>
      </c>
    </row>
    <row r="23" spans="1:22" ht="37" customHeight="1">
      <c r="A23" s="60">
        <v>22</v>
      </c>
      <c r="B23" s="202" t="s">
        <v>15</v>
      </c>
      <c r="C23" s="213" t="s">
        <v>675</v>
      </c>
      <c r="D23" s="60">
        <v>2024</v>
      </c>
      <c r="E23" s="67" t="s">
        <v>651</v>
      </c>
      <c r="H23" s="203" t="s">
        <v>625</v>
      </c>
      <c r="I23" s="205">
        <v>0.16</v>
      </c>
      <c r="J23" s="67" t="s">
        <v>58</v>
      </c>
      <c r="K23" s="203" t="s">
        <v>625</v>
      </c>
      <c r="L23" s="215" t="s">
        <v>624</v>
      </c>
      <c r="M23" s="60" t="s">
        <v>76</v>
      </c>
      <c r="N23" s="203" t="s">
        <v>93</v>
      </c>
      <c r="O23" s="206" t="s">
        <v>885</v>
      </c>
      <c r="P23" s="203" t="s">
        <v>52</v>
      </c>
      <c r="Q23" s="203"/>
      <c r="R23" s="203"/>
      <c r="S23" s="203"/>
      <c r="T23" s="203"/>
    </row>
    <row r="24" spans="1:22" ht="78" customHeight="1">
      <c r="A24" s="60">
        <v>23</v>
      </c>
      <c r="B24" s="202" t="s">
        <v>16</v>
      </c>
      <c r="C24" s="203" t="s">
        <v>731</v>
      </c>
      <c r="D24" s="60">
        <v>2024</v>
      </c>
      <c r="E24" s="217" t="s">
        <v>598</v>
      </c>
      <c r="F24" s="337" t="s">
        <v>1020</v>
      </c>
      <c r="G24" s="217" t="s">
        <v>1019</v>
      </c>
      <c r="H24" s="203" t="s">
        <v>625</v>
      </c>
      <c r="I24" s="205">
        <v>0.1</v>
      </c>
      <c r="J24" s="67" t="s">
        <v>58</v>
      </c>
      <c r="K24" s="67" t="s">
        <v>58</v>
      </c>
      <c r="L24" s="215" t="s">
        <v>624</v>
      </c>
      <c r="M24" s="60" t="s">
        <v>51</v>
      </c>
      <c r="N24" s="208" t="s">
        <v>77</v>
      </c>
      <c r="O24" s="206" t="s">
        <v>308</v>
      </c>
      <c r="P24" s="203" t="s">
        <v>52</v>
      </c>
      <c r="Q24" s="204" t="s">
        <v>1021</v>
      </c>
    </row>
    <row r="25" spans="1:22" ht="30" customHeight="1">
      <c r="A25" s="60">
        <v>24</v>
      </c>
      <c r="B25" s="202" t="s">
        <v>17</v>
      </c>
      <c r="C25" s="213" t="s">
        <v>676</v>
      </c>
      <c r="D25" s="60">
        <v>2024</v>
      </c>
      <c r="E25" s="217" t="s">
        <v>652</v>
      </c>
      <c r="F25" s="217"/>
      <c r="G25" s="217"/>
      <c r="H25" s="204" t="s">
        <v>625</v>
      </c>
      <c r="I25" s="205" t="s">
        <v>735</v>
      </c>
      <c r="J25" s="204" t="s">
        <v>625</v>
      </c>
      <c r="K25" s="67" t="s">
        <v>58</v>
      </c>
      <c r="L25" s="215" t="s">
        <v>624</v>
      </c>
      <c r="M25" s="60" t="s">
        <v>51</v>
      </c>
      <c r="N25" s="208" t="s">
        <v>734</v>
      </c>
      <c r="O25" s="206" t="s">
        <v>308</v>
      </c>
      <c r="P25" s="203" t="s">
        <v>52</v>
      </c>
    </row>
    <row r="26" spans="1:22" ht="34">
      <c r="A26" s="60">
        <v>25</v>
      </c>
      <c r="B26" s="202" t="s">
        <v>18</v>
      </c>
      <c r="C26" s="203" t="s">
        <v>737</v>
      </c>
      <c r="D26" s="60">
        <v>2024</v>
      </c>
      <c r="E26" s="67" t="s">
        <v>598</v>
      </c>
      <c r="H26" s="204" t="s">
        <v>625</v>
      </c>
      <c r="I26" s="205">
        <v>0</v>
      </c>
      <c r="J26" s="204" t="s">
        <v>625</v>
      </c>
      <c r="K26" s="67" t="s">
        <v>58</v>
      </c>
      <c r="L26" s="215" t="s">
        <v>78</v>
      </c>
      <c r="M26" s="60" t="s">
        <v>76</v>
      </c>
      <c r="N26" s="203" t="s">
        <v>349</v>
      </c>
      <c r="O26" s="206" t="s">
        <v>308</v>
      </c>
      <c r="P26" s="204" t="s">
        <v>52</v>
      </c>
    </row>
    <row r="27" spans="1:22" ht="47" customHeight="1">
      <c r="A27" s="60">
        <v>26</v>
      </c>
      <c r="B27" s="202" t="s">
        <v>19</v>
      </c>
      <c r="C27" s="203" t="s">
        <v>738</v>
      </c>
      <c r="D27" s="60">
        <v>2024</v>
      </c>
      <c r="E27" s="217" t="s">
        <v>630</v>
      </c>
      <c r="F27" s="217"/>
      <c r="G27" s="217"/>
      <c r="H27" s="204" t="s">
        <v>625</v>
      </c>
      <c r="I27" s="212">
        <v>0.16500000000000001</v>
      </c>
      <c r="J27" s="67" t="s">
        <v>75</v>
      </c>
      <c r="K27" s="67" t="s">
        <v>58</v>
      </c>
      <c r="L27" s="67" t="s">
        <v>739</v>
      </c>
      <c r="M27" s="60" t="s">
        <v>76</v>
      </c>
      <c r="N27" s="208" t="s">
        <v>66</v>
      </c>
      <c r="O27" s="206" t="s">
        <v>308</v>
      </c>
      <c r="P27" s="203" t="s">
        <v>52</v>
      </c>
      <c r="Q27" s="204" t="s">
        <v>740</v>
      </c>
    </row>
    <row r="28" spans="1:22" ht="34">
      <c r="A28" s="60">
        <v>27</v>
      </c>
      <c r="B28" s="202" t="s">
        <v>20</v>
      </c>
      <c r="C28" s="203" t="s">
        <v>677</v>
      </c>
      <c r="D28" s="60">
        <v>2019</v>
      </c>
      <c r="E28" s="67" t="s">
        <v>598</v>
      </c>
      <c r="H28" s="203" t="s">
        <v>625</v>
      </c>
      <c r="I28" s="211" t="s">
        <v>58</v>
      </c>
      <c r="J28" s="211" t="s">
        <v>58</v>
      </c>
      <c r="K28" s="211" t="s">
        <v>58</v>
      </c>
      <c r="L28" s="215" t="s">
        <v>624</v>
      </c>
      <c r="M28" s="209" t="s">
        <v>53</v>
      </c>
      <c r="N28" s="208" t="s">
        <v>928</v>
      </c>
      <c r="O28" s="206" t="s">
        <v>308</v>
      </c>
      <c r="P28" s="67" t="s">
        <v>861</v>
      </c>
      <c r="Q28" s="204" t="s">
        <v>1016</v>
      </c>
    </row>
    <row r="29" spans="1:22" ht="148" customHeight="1">
      <c r="A29" s="60">
        <v>28</v>
      </c>
      <c r="B29" s="202" t="s">
        <v>21</v>
      </c>
      <c r="C29" s="203" t="s">
        <v>678</v>
      </c>
      <c r="D29" s="60">
        <v>2024</v>
      </c>
      <c r="E29" s="217" t="s">
        <v>653</v>
      </c>
      <c r="F29" s="217"/>
      <c r="G29" s="217"/>
      <c r="H29" s="204" t="s">
        <v>625</v>
      </c>
      <c r="I29" s="205">
        <v>0.16</v>
      </c>
      <c r="J29" s="67" t="s">
        <v>67</v>
      </c>
      <c r="K29" s="67" t="s">
        <v>68</v>
      </c>
      <c r="L29" s="67" t="s">
        <v>624</v>
      </c>
      <c r="M29" s="60" t="s">
        <v>51</v>
      </c>
      <c r="N29" s="208" t="s">
        <v>69</v>
      </c>
      <c r="O29" s="206" t="s">
        <v>308</v>
      </c>
      <c r="P29" s="203" t="s">
        <v>52</v>
      </c>
    </row>
    <row r="30" spans="1:22" ht="118" customHeight="1">
      <c r="A30" s="60">
        <v>29</v>
      </c>
      <c r="B30" s="202" t="s">
        <v>45</v>
      </c>
      <c r="C30" s="203" t="s">
        <v>679</v>
      </c>
      <c r="D30" s="60">
        <v>2024</v>
      </c>
      <c r="E30" s="217" t="s">
        <v>630</v>
      </c>
      <c r="F30" s="217"/>
      <c r="G30" s="217"/>
      <c r="H30" s="204" t="s">
        <v>625</v>
      </c>
      <c r="I30" s="205">
        <v>0</v>
      </c>
      <c r="J30" s="67" t="s">
        <v>71</v>
      </c>
      <c r="K30" s="67" t="s">
        <v>72</v>
      </c>
      <c r="L30" s="67" t="s">
        <v>624</v>
      </c>
      <c r="M30" s="60" t="s">
        <v>53</v>
      </c>
      <c r="N30" s="208" t="s">
        <v>73</v>
      </c>
      <c r="O30" s="206" t="s">
        <v>308</v>
      </c>
      <c r="P30" s="204" t="s">
        <v>52</v>
      </c>
      <c r="Q30" s="204" t="s">
        <v>742</v>
      </c>
      <c r="V30" s="12"/>
    </row>
    <row r="31" spans="1:22" ht="47" customHeight="1">
      <c r="A31" s="60">
        <v>30</v>
      </c>
      <c r="B31" s="202" t="s">
        <v>22</v>
      </c>
      <c r="C31" s="203" t="s">
        <v>677</v>
      </c>
      <c r="D31" s="60">
        <v>2024</v>
      </c>
      <c r="E31" s="67" t="s">
        <v>598</v>
      </c>
      <c r="H31" s="203" t="s">
        <v>625</v>
      </c>
      <c r="I31" s="67" t="s">
        <v>743</v>
      </c>
      <c r="J31" s="203" t="s">
        <v>625</v>
      </c>
      <c r="K31" s="67" t="s">
        <v>58</v>
      </c>
      <c r="L31" s="215" t="s">
        <v>624</v>
      </c>
      <c r="M31" s="60" t="s">
        <v>53</v>
      </c>
      <c r="N31" s="208" t="s">
        <v>74</v>
      </c>
      <c r="O31" s="206" t="s">
        <v>308</v>
      </c>
      <c r="P31" s="203" t="s">
        <v>52</v>
      </c>
    </row>
    <row r="32" spans="1:22" ht="68">
      <c r="A32" s="60">
        <v>31</v>
      </c>
      <c r="B32" s="202" t="s">
        <v>23</v>
      </c>
      <c r="C32" s="213" t="s">
        <v>929</v>
      </c>
      <c r="D32" s="60">
        <v>2024</v>
      </c>
      <c r="E32" s="67" t="s">
        <v>598</v>
      </c>
      <c r="H32" s="203" t="s">
        <v>625</v>
      </c>
      <c r="I32" s="205">
        <v>0</v>
      </c>
      <c r="J32" s="203" t="s">
        <v>625</v>
      </c>
      <c r="K32" s="67" t="s">
        <v>79</v>
      </c>
      <c r="L32" s="67" t="s">
        <v>624</v>
      </c>
      <c r="M32" s="60" t="s">
        <v>1024</v>
      </c>
      <c r="N32" s="4" t="s">
        <v>930</v>
      </c>
      <c r="O32" s="214" t="s">
        <v>308</v>
      </c>
      <c r="P32" s="203" t="s">
        <v>52</v>
      </c>
      <c r="Q32" s="203" t="s">
        <v>931</v>
      </c>
      <c r="R32" s="203" t="s">
        <v>939</v>
      </c>
      <c r="S32" s="203" t="s">
        <v>953</v>
      </c>
    </row>
    <row r="33" spans="1:20" ht="51">
      <c r="A33" s="60">
        <v>32</v>
      </c>
      <c r="B33" s="202" t="s">
        <v>24</v>
      </c>
      <c r="C33" s="203" t="s">
        <v>680</v>
      </c>
      <c r="D33" s="60">
        <v>2020</v>
      </c>
      <c r="E33" s="217" t="s">
        <v>598</v>
      </c>
      <c r="F33" s="217"/>
      <c r="G33" s="217"/>
      <c r="H33" s="204" t="s">
        <v>625</v>
      </c>
      <c r="I33" s="205" t="s">
        <v>446</v>
      </c>
      <c r="J33" s="204" t="s">
        <v>625</v>
      </c>
      <c r="K33" s="67" t="s">
        <v>58</v>
      </c>
      <c r="L33" s="215" t="s">
        <v>624</v>
      </c>
      <c r="M33" s="60" t="s">
        <v>76</v>
      </c>
      <c r="N33" s="203" t="s">
        <v>447</v>
      </c>
      <c r="O33" s="206" t="s">
        <v>308</v>
      </c>
      <c r="P33" s="203" t="s">
        <v>52</v>
      </c>
    </row>
    <row r="34" spans="1:20" ht="34">
      <c r="A34" s="60">
        <v>33</v>
      </c>
      <c r="B34" s="202" t="s">
        <v>25</v>
      </c>
      <c r="C34" s="203" t="s">
        <v>744</v>
      </c>
      <c r="D34" s="60">
        <v>2024</v>
      </c>
      <c r="E34" s="217" t="s">
        <v>654</v>
      </c>
      <c r="F34" s="217"/>
      <c r="G34" s="217"/>
      <c r="H34" s="204" t="s">
        <v>625</v>
      </c>
      <c r="I34" s="212">
        <v>7.4999999999999997E-2</v>
      </c>
      <c r="J34" s="67" t="s">
        <v>58</v>
      </c>
      <c r="K34" s="67" t="s">
        <v>58</v>
      </c>
      <c r="L34" s="67" t="s">
        <v>624</v>
      </c>
      <c r="M34" s="60" t="s">
        <v>1025</v>
      </c>
      <c r="N34" s="203" t="s">
        <v>482</v>
      </c>
      <c r="O34" s="214" t="s">
        <v>308</v>
      </c>
      <c r="P34" s="203" t="s">
        <v>52</v>
      </c>
    </row>
    <row r="35" spans="1:20" ht="51">
      <c r="A35" s="60">
        <v>34</v>
      </c>
      <c r="B35" s="202" t="s">
        <v>39</v>
      </c>
      <c r="C35" s="203" t="s">
        <v>745</v>
      </c>
      <c r="D35" s="209">
        <v>2021</v>
      </c>
      <c r="E35" s="211" t="s">
        <v>630</v>
      </c>
      <c r="F35" s="211"/>
      <c r="G35" s="211"/>
      <c r="H35" s="204" t="s">
        <v>625</v>
      </c>
      <c r="I35" s="211" t="s">
        <v>747</v>
      </c>
      <c r="J35" s="204" t="s">
        <v>625</v>
      </c>
      <c r="K35" s="211" t="s">
        <v>58</v>
      </c>
      <c r="L35" s="215" t="s">
        <v>78</v>
      </c>
      <c r="M35" s="209" t="s">
        <v>51</v>
      </c>
      <c r="N35" s="208" t="s">
        <v>746</v>
      </c>
      <c r="O35" s="214" t="s">
        <v>794</v>
      </c>
      <c r="P35" s="204" t="s">
        <v>52</v>
      </c>
      <c r="Q35" s="204" t="s">
        <v>765</v>
      </c>
    </row>
    <row r="36" spans="1:20" ht="65" customHeight="1">
      <c r="A36" s="60">
        <v>35</v>
      </c>
      <c r="B36" s="202" t="s">
        <v>26</v>
      </c>
      <c r="C36" s="203" t="s">
        <v>766</v>
      </c>
      <c r="D36" s="60">
        <v>2024</v>
      </c>
      <c r="E36" s="217" t="s">
        <v>630</v>
      </c>
      <c r="F36" s="217"/>
      <c r="G36" s="217"/>
      <c r="H36" s="204" t="s">
        <v>625</v>
      </c>
      <c r="I36" s="205">
        <v>0.18</v>
      </c>
      <c r="J36" s="67" t="s">
        <v>58</v>
      </c>
      <c r="K36" s="67" t="s">
        <v>58</v>
      </c>
      <c r="L36" s="215" t="s">
        <v>78</v>
      </c>
      <c r="M36" s="60" t="s">
        <v>53</v>
      </c>
      <c r="N36" s="208" t="s">
        <v>80</v>
      </c>
      <c r="O36" s="214" t="s">
        <v>308</v>
      </c>
      <c r="P36" s="204" t="s">
        <v>52</v>
      </c>
    </row>
    <row r="37" spans="1:20" ht="75" customHeight="1">
      <c r="A37" s="60">
        <v>36</v>
      </c>
      <c r="B37" s="202" t="s">
        <v>27</v>
      </c>
      <c r="C37" s="213" t="s">
        <v>767</v>
      </c>
      <c r="D37" s="60">
        <v>2024</v>
      </c>
      <c r="E37" s="67" t="s">
        <v>630</v>
      </c>
      <c r="H37" s="203" t="s">
        <v>625</v>
      </c>
      <c r="I37" s="205" t="s">
        <v>792</v>
      </c>
      <c r="J37" s="203" t="s">
        <v>625</v>
      </c>
      <c r="K37" s="67" t="s">
        <v>58</v>
      </c>
      <c r="L37" s="215" t="s">
        <v>78</v>
      </c>
      <c r="M37" s="60" t="s">
        <v>798</v>
      </c>
      <c r="N37" s="203" t="s">
        <v>768</v>
      </c>
      <c r="O37" s="214" t="s">
        <v>308</v>
      </c>
      <c r="P37" s="203" t="s">
        <v>52</v>
      </c>
      <c r="Q37" s="203" t="s">
        <v>769</v>
      </c>
    </row>
    <row r="38" spans="1:20" ht="67" customHeight="1">
      <c r="A38" s="60">
        <v>37</v>
      </c>
      <c r="B38" s="202" t="s">
        <v>28</v>
      </c>
      <c r="C38" s="203" t="s">
        <v>793</v>
      </c>
      <c r="D38" s="60">
        <v>2024</v>
      </c>
      <c r="E38" s="67" t="s">
        <v>655</v>
      </c>
      <c r="H38" s="204" t="s">
        <v>625</v>
      </c>
      <c r="I38" s="205">
        <v>0</v>
      </c>
      <c r="J38" s="67" t="s">
        <v>58</v>
      </c>
      <c r="K38" s="67" t="s">
        <v>81</v>
      </c>
      <c r="L38" s="67" t="s">
        <v>78</v>
      </c>
      <c r="M38" s="60" t="s">
        <v>76</v>
      </c>
      <c r="N38" s="208" t="s">
        <v>82</v>
      </c>
      <c r="O38" s="214" t="s">
        <v>308</v>
      </c>
      <c r="P38" s="204" t="s">
        <v>717</v>
      </c>
      <c r="Q38" s="204" t="s">
        <v>718</v>
      </c>
    </row>
    <row r="39" spans="1:20" ht="34" customHeight="1">
      <c r="A39" s="60">
        <v>38</v>
      </c>
      <c r="B39" s="202" t="s">
        <v>29</v>
      </c>
      <c r="C39" s="203" t="s">
        <v>795</v>
      </c>
      <c r="D39" s="60">
        <v>2024</v>
      </c>
      <c r="E39" s="217" t="s">
        <v>630</v>
      </c>
      <c r="F39" s="217"/>
      <c r="G39" s="217"/>
      <c r="H39" s="204" t="s">
        <v>625</v>
      </c>
      <c r="I39" s="67" t="s">
        <v>85</v>
      </c>
      <c r="J39" s="204" t="s">
        <v>625</v>
      </c>
      <c r="K39" s="67" t="s">
        <v>58</v>
      </c>
      <c r="L39" s="67" t="s">
        <v>624</v>
      </c>
      <c r="M39" s="60" t="s">
        <v>76</v>
      </c>
      <c r="N39" s="208" t="s">
        <v>84</v>
      </c>
      <c r="O39" s="214" t="s">
        <v>308</v>
      </c>
      <c r="P39" s="204" t="s">
        <v>52</v>
      </c>
    </row>
    <row r="40" spans="1:20" ht="62" customHeight="1">
      <c r="A40" s="60">
        <v>39</v>
      </c>
      <c r="B40" s="202" t="s">
        <v>44</v>
      </c>
      <c r="C40" s="203" t="s">
        <v>850</v>
      </c>
      <c r="D40" s="60">
        <v>2022</v>
      </c>
      <c r="E40" s="67" t="s">
        <v>598</v>
      </c>
      <c r="H40" s="203" t="s">
        <v>289</v>
      </c>
      <c r="I40" s="67" t="s">
        <v>851</v>
      </c>
      <c r="J40" s="67" t="s">
        <v>58</v>
      </c>
      <c r="K40" s="67" t="s">
        <v>58</v>
      </c>
      <c r="L40" s="215" t="s">
        <v>78</v>
      </c>
      <c r="M40" s="60" t="s">
        <v>686</v>
      </c>
      <c r="N40" s="208" t="s">
        <v>288</v>
      </c>
      <c r="O40" s="206" t="s">
        <v>339</v>
      </c>
      <c r="P40" s="203" t="s">
        <v>52</v>
      </c>
    </row>
    <row r="41" spans="1:20" ht="70" customHeight="1">
      <c r="A41" s="60">
        <v>40</v>
      </c>
      <c r="B41" s="202" t="s">
        <v>30</v>
      </c>
      <c r="C41" s="213" t="s">
        <v>799</v>
      </c>
      <c r="D41" s="60">
        <v>2024</v>
      </c>
      <c r="E41" s="67" t="s">
        <v>630</v>
      </c>
      <c r="H41" s="203" t="s">
        <v>625</v>
      </c>
      <c r="I41" s="205" t="s">
        <v>592</v>
      </c>
      <c r="J41" s="203" t="s">
        <v>625</v>
      </c>
      <c r="K41" s="67" t="s">
        <v>58</v>
      </c>
      <c r="L41" s="215" t="s">
        <v>78</v>
      </c>
      <c r="M41" s="60" t="s">
        <v>76</v>
      </c>
      <c r="N41" s="203" t="s">
        <v>959</v>
      </c>
      <c r="O41" s="214" t="s">
        <v>308</v>
      </c>
      <c r="P41" s="203" t="s">
        <v>52</v>
      </c>
      <c r="Q41" s="203"/>
      <c r="R41" s="203"/>
      <c r="S41" s="203"/>
      <c r="T41" s="315"/>
    </row>
    <row r="42" spans="1:20" ht="197" customHeight="1">
      <c r="A42" s="60">
        <v>41</v>
      </c>
      <c r="B42" s="202" t="s">
        <v>31</v>
      </c>
      <c r="C42" s="203" t="s">
        <v>800</v>
      </c>
      <c r="D42" s="60">
        <v>2024</v>
      </c>
      <c r="E42" s="67" t="s">
        <v>630</v>
      </c>
      <c r="H42" s="204" t="s">
        <v>625</v>
      </c>
      <c r="I42" s="67" t="s">
        <v>592</v>
      </c>
      <c r="J42" s="67" t="s">
        <v>58</v>
      </c>
      <c r="K42" s="67" t="s">
        <v>58</v>
      </c>
      <c r="L42" s="215" t="s">
        <v>78</v>
      </c>
      <c r="M42" s="60" t="s">
        <v>53</v>
      </c>
      <c r="N42" s="208" t="s">
        <v>801</v>
      </c>
      <c r="O42" s="214" t="s">
        <v>802</v>
      </c>
      <c r="P42" s="204" t="s">
        <v>52</v>
      </c>
      <c r="T42" s="219" t="s">
        <v>803</v>
      </c>
    </row>
    <row r="43" spans="1:20" ht="44" customHeight="1">
      <c r="A43" s="60">
        <v>42</v>
      </c>
      <c r="B43" s="202" t="s">
        <v>43</v>
      </c>
      <c r="C43" s="183" t="s">
        <v>807</v>
      </c>
      <c r="D43" s="60">
        <v>2021</v>
      </c>
      <c r="E43" s="67" t="s">
        <v>630</v>
      </c>
      <c r="H43" s="204" t="s">
        <v>810</v>
      </c>
      <c r="I43" s="205" t="s">
        <v>812</v>
      </c>
      <c r="J43" s="67" t="s">
        <v>58</v>
      </c>
      <c r="K43" s="67" t="s">
        <v>58</v>
      </c>
      <c r="L43" s="215" t="s">
        <v>624</v>
      </c>
      <c r="M43" s="60" t="s">
        <v>686</v>
      </c>
      <c r="N43" s="208" t="s">
        <v>809</v>
      </c>
      <c r="O43" s="206" t="s">
        <v>811</v>
      </c>
      <c r="P43" s="204" t="s">
        <v>52</v>
      </c>
    </row>
    <row r="44" spans="1:20" ht="48" customHeight="1">
      <c r="A44" s="60">
        <v>43</v>
      </c>
      <c r="B44" s="202" t="s">
        <v>591</v>
      </c>
      <c r="C44" s="203" t="s">
        <v>813</v>
      </c>
      <c r="D44" s="60">
        <v>2024</v>
      </c>
      <c r="E44" s="67" t="s">
        <v>630</v>
      </c>
      <c r="H44" s="204" t="s">
        <v>625</v>
      </c>
      <c r="I44" s="205" t="s">
        <v>814</v>
      </c>
      <c r="J44" s="204" t="s">
        <v>625</v>
      </c>
      <c r="K44" s="67" t="s">
        <v>815</v>
      </c>
      <c r="L44" s="215" t="s">
        <v>78</v>
      </c>
      <c r="M44" s="60" t="s">
        <v>76</v>
      </c>
      <c r="N44" s="208" t="s">
        <v>492</v>
      </c>
      <c r="O44" s="214" t="s">
        <v>308</v>
      </c>
      <c r="P44" s="204" t="s">
        <v>52</v>
      </c>
    </row>
    <row r="45" spans="1:20" ht="56" customHeight="1">
      <c r="A45" s="60">
        <v>44</v>
      </c>
      <c r="B45" s="202" t="s">
        <v>32</v>
      </c>
      <c r="C45" s="203" t="s">
        <v>816</v>
      </c>
      <c r="D45" s="67">
        <v>2024</v>
      </c>
      <c r="E45" s="67" t="s">
        <v>654</v>
      </c>
      <c r="H45" s="204" t="s">
        <v>625</v>
      </c>
      <c r="I45" s="205">
        <v>0.18</v>
      </c>
      <c r="J45" s="67" t="s">
        <v>58</v>
      </c>
      <c r="K45" s="67" t="s">
        <v>820</v>
      </c>
      <c r="L45" s="215" t="s">
        <v>78</v>
      </c>
      <c r="M45" s="60" t="s">
        <v>76</v>
      </c>
      <c r="N45" s="203" t="s">
        <v>87</v>
      </c>
      <c r="O45" s="214" t="s">
        <v>308</v>
      </c>
      <c r="P45" s="204" t="s">
        <v>52</v>
      </c>
    </row>
    <row r="46" spans="1:20" ht="59" customHeight="1">
      <c r="A46" s="60">
        <v>45</v>
      </c>
      <c r="B46" s="202" t="s">
        <v>33</v>
      </c>
      <c r="C46" s="203" t="s">
        <v>817</v>
      </c>
      <c r="D46" s="60">
        <v>2024</v>
      </c>
      <c r="E46" s="67" t="s">
        <v>598</v>
      </c>
      <c r="H46" s="204" t="s">
        <v>625</v>
      </c>
      <c r="I46" s="205">
        <v>0.18</v>
      </c>
      <c r="J46" s="67" t="s">
        <v>819</v>
      </c>
      <c r="K46" s="67" t="s">
        <v>821</v>
      </c>
      <c r="L46" s="215" t="s">
        <v>624</v>
      </c>
      <c r="M46" s="60" t="s">
        <v>53</v>
      </c>
      <c r="N46" s="208" t="s">
        <v>818</v>
      </c>
      <c r="O46" s="214" t="s">
        <v>308</v>
      </c>
      <c r="P46" s="204" t="s">
        <v>52</v>
      </c>
    </row>
    <row r="47" spans="1:20" ht="73" customHeight="1">
      <c r="A47" s="60">
        <v>46</v>
      </c>
      <c r="B47" s="202" t="s">
        <v>34</v>
      </c>
      <c r="C47" s="203" t="s">
        <v>841</v>
      </c>
      <c r="D47" s="60">
        <v>2024</v>
      </c>
      <c r="E47" s="67" t="s">
        <v>651</v>
      </c>
      <c r="H47" s="204" t="s">
        <v>625</v>
      </c>
      <c r="I47" s="205">
        <v>0.18</v>
      </c>
      <c r="J47" s="67" t="s">
        <v>58</v>
      </c>
      <c r="K47" s="67" t="s">
        <v>58</v>
      </c>
      <c r="L47" s="215" t="s">
        <v>624</v>
      </c>
      <c r="M47" s="60" t="s">
        <v>53</v>
      </c>
      <c r="N47" s="203" t="s">
        <v>843</v>
      </c>
      <c r="O47" s="214" t="s">
        <v>308</v>
      </c>
      <c r="P47" s="204" t="s">
        <v>52</v>
      </c>
    </row>
    <row r="48" spans="1:20" ht="34">
      <c r="A48" s="60">
        <v>47</v>
      </c>
      <c r="B48" s="202" t="s">
        <v>35</v>
      </c>
      <c r="C48" s="203" t="s">
        <v>844</v>
      </c>
      <c r="D48" s="60">
        <v>2024</v>
      </c>
      <c r="E48" s="67" t="s">
        <v>630</v>
      </c>
      <c r="H48" s="204" t="s">
        <v>625</v>
      </c>
      <c r="I48" s="205">
        <v>0.16</v>
      </c>
      <c r="J48" s="67" t="s">
        <v>58</v>
      </c>
      <c r="K48" s="67" t="s">
        <v>88</v>
      </c>
      <c r="L48" s="215" t="s">
        <v>78</v>
      </c>
      <c r="M48" s="60" t="s">
        <v>76</v>
      </c>
      <c r="N48" s="203" t="s">
        <v>89</v>
      </c>
      <c r="O48" s="214" t="s">
        <v>308</v>
      </c>
      <c r="P48" s="204" t="s">
        <v>52</v>
      </c>
    </row>
    <row r="49" spans="1:18" ht="51">
      <c r="A49" s="60">
        <v>48</v>
      </c>
      <c r="B49" s="202" t="s">
        <v>36</v>
      </c>
      <c r="C49" s="203" t="s">
        <v>845</v>
      </c>
      <c r="D49" s="60">
        <v>2024</v>
      </c>
      <c r="E49" s="217" t="s">
        <v>651</v>
      </c>
      <c r="F49" s="217"/>
      <c r="G49" s="217"/>
      <c r="H49" s="204" t="s">
        <v>565</v>
      </c>
      <c r="I49" s="205">
        <v>0</v>
      </c>
      <c r="J49" s="67" t="s">
        <v>58</v>
      </c>
      <c r="K49" s="67" t="s">
        <v>90</v>
      </c>
      <c r="L49" s="67" t="s">
        <v>593</v>
      </c>
      <c r="M49" s="60" t="s">
        <v>53</v>
      </c>
      <c r="N49" s="203" t="s">
        <v>848</v>
      </c>
      <c r="O49" s="214" t="s">
        <v>308</v>
      </c>
      <c r="P49" s="203" t="s">
        <v>717</v>
      </c>
      <c r="Q49" s="204" t="s">
        <v>718</v>
      </c>
      <c r="R49" s="204" t="s">
        <v>849</v>
      </c>
    </row>
  </sheetData>
  <autoFilter ref="A1:T49" xr:uid="{157B5039-ABC4-1D45-B998-96110DCE81D5}"/>
  <hyperlinks>
    <hyperlink ref="N4" r:id="rId1" xr:uid="{05FEB1F0-04F5-0842-AD51-B110CB1C3EDB}"/>
    <hyperlink ref="N2" r:id="rId2" xr:uid="{EDA1E8FD-8898-9C4F-BB36-842BF7EC6D58}"/>
    <hyperlink ref="N9" r:id="rId3" xr:uid="{5237ABE1-611E-1149-895E-25C9C46DEAEB}"/>
    <hyperlink ref="N8" r:id="rId4" xr:uid="{08BFE232-C88E-0F4F-BA19-B57421293069}"/>
    <hyperlink ref="N19" r:id="rId5" xr:uid="{3EC29B05-4896-0244-B8B5-5401CCD1D3B3}"/>
    <hyperlink ref="N27" r:id="rId6" xr:uid="{D2F2A53D-3FBB-F94B-961B-C5196F976483}"/>
    <hyperlink ref="N29" r:id="rId7" xr:uid="{B3A10686-83F5-704F-AEBA-3FC925ACDB08}"/>
    <hyperlink ref="N30" r:id="rId8" xr:uid="{E007B01C-C71E-884A-8BE6-CF344DDCEDBF}"/>
    <hyperlink ref="N31" r:id="rId9" xr:uid="{D80407D8-FDD7-D943-8362-F20FBD88CC7D}"/>
    <hyperlink ref="N36" r:id="rId10" xr:uid="{F00DAABC-6F15-6C47-87AE-B534A5D3F730}"/>
    <hyperlink ref="N38" r:id="rId11" xr:uid="{100FB79D-BCBE-B24D-8E53-00D0EA59BB12}"/>
    <hyperlink ref="N39" r:id="rId12" xr:uid="{E53F9AAC-7FD4-3340-8DCD-852C10440D80}"/>
    <hyperlink ref="N45" r:id="rId13" xr:uid="{3E926ED8-4D2F-0F46-9B9A-E94A0812C141}"/>
    <hyperlink ref="N47" r:id="rId14" xr:uid="{700F29EF-8385-5749-B22E-C947586C65DB}"/>
    <hyperlink ref="N48" r:id="rId15" xr:uid="{13F83B6F-F00B-ED48-8D10-179F4FCB5990}"/>
    <hyperlink ref="N3" r:id="rId16" xr:uid="{E851127F-43A9-DC46-88EC-48F9C2855860}"/>
    <hyperlink ref="N23" r:id="rId17" xr:uid="{28F25E5F-ADDE-CC49-A4C4-DEB4EA4E0955}"/>
    <hyperlink ref="N17" r:id="rId18" xr:uid="{EB138ED3-C2B8-0240-A120-2580E0EEDCA5}"/>
    <hyperlink ref="P17" r:id="rId19" xr:uid="{25312029-2787-594B-98FB-F89523E0E7AA}"/>
    <hyperlink ref="B19" location="Gambia!A1" display="Gambia" xr:uid="{91558FCD-05B8-CE47-A6E6-EF06492409A5}"/>
    <hyperlink ref="B17" location="Ethiopia!A1" display="Ethiopia" xr:uid="{1E82EA55-3A06-9840-8399-2A58F4509EA8}"/>
    <hyperlink ref="B8" location="'Cabo Verde'!A1" display="Cabo Verde" xr:uid="{6BBB9C0C-7968-DD4F-A3D6-F22D20FC40AE}"/>
    <hyperlink ref="B9" location="Cameroon!A1" display="Cameroon" xr:uid="{B534B815-C6AD-B446-BE9B-3C6C2C7E81C6}"/>
    <hyperlink ref="B4" location="Botswana!A1" display="Botswana" xr:uid="{D238F33A-C007-A64A-ADBA-58812A649855}"/>
    <hyperlink ref="B20" location="Ghana!A1" display="Ghana" xr:uid="{1830D1FE-9170-E24E-955B-61B3D94C06C9}"/>
    <hyperlink ref="B23" location="Kenya!A1" display="Kenya" xr:uid="{ABBBCEC1-D4A2-EC48-BFD8-6C52294A6E5F}"/>
    <hyperlink ref="B24" location="Lesotho!A1" display="Lesotho" xr:uid="{13F1122D-948E-344E-924C-F89FF1E98DEC}"/>
    <hyperlink ref="B25" location="Liberia!A1" display="Liberia" xr:uid="{8129F5AD-5CC4-AD40-8259-1C3642ACAAD5}"/>
    <hyperlink ref="B27" location="Malawi!A1" display="Malawi" xr:uid="{416BAD6C-CC8F-C642-AA7B-B03204C33722}"/>
    <hyperlink ref="B29" location="Mauritania!A1" display="Mauritania" xr:uid="{D3A86F6D-2646-8645-B27C-45E40D71E6B7}"/>
    <hyperlink ref="N24" r:id="rId20" xr:uid="{FADA8ACE-FD8A-9344-8657-7C16BB42077E}"/>
    <hyperlink ref="B30" location="Mauritius!A1" display="Mauritius" xr:uid="{A72733D6-C221-2846-B7F2-87042CEB8C41}"/>
    <hyperlink ref="B31" location="Mozambique!A1" display="Mozambique" xr:uid="{19079292-6D18-A84E-907D-C2F8D688149D}"/>
    <hyperlink ref="B36" location="Rwanda!A1" display="Rwanda" xr:uid="{F537E06E-33AA-FE4C-B737-61824D57F9A5}"/>
    <hyperlink ref="B38" location="Seychelles!A1" display="Seychelles" xr:uid="{34F808A3-631D-D944-A015-91305D452AF9}"/>
    <hyperlink ref="B39" location="'Sierra Leone'!A1" display="Sierra Leone" xr:uid="{B96B779A-D8B1-FC4D-B744-5EAF7DF31075}"/>
    <hyperlink ref="B41" location="'South Africa'!A1" display="South Africa" xr:uid="{3715A710-3397-BE45-A2F7-46EB7B5AE3CD}"/>
    <hyperlink ref="B16" location="Eswatini!A1" display="Eswatini" xr:uid="{39A7499C-AC59-F841-BE03-D3F9B275D063}"/>
    <hyperlink ref="B45" location="Tanzania!A1" display="Tanzania" xr:uid="{CAE05BDF-72F5-E34D-A1C1-431C3F21DA5B}"/>
    <hyperlink ref="B47" location="Uganda!A1" display="Uganda" xr:uid="{DB4D9836-D398-A34B-89FF-EA89F43FB24F}"/>
    <hyperlink ref="B48" location="Zambia!A1" display="Zambia" xr:uid="{20507A2F-C3AA-864F-B810-70875AFCAC68}"/>
    <hyperlink ref="P49" r:id="rId21" display="https://www.zimra.co.zw/15-tax/vat/1769-taxable-and-exempt" xr:uid="{8074B7BA-4F9B-5F42-9718-4F63AEABAFB3}"/>
    <hyperlink ref="N5" r:id="rId22" xr:uid="{D309860E-0F2B-2446-A8F9-88CFCABD1FB2}"/>
    <hyperlink ref="B32" location="Namibia!A1" display="Namibia" xr:uid="{8019CD22-6A16-A443-BE52-1DC0B3B1D9A8}"/>
    <hyperlink ref="B7" location="'Central African Republic'!A1" display="Central African Republic" xr:uid="{23BF51AE-A59B-0B46-8166-3C709AE9FCE7}"/>
    <hyperlink ref="N13" r:id="rId23" xr:uid="{397A8625-1A18-9A42-A603-54C6F4B10008}"/>
    <hyperlink ref="B13" location="'Democratic Republic of the Cong'!A1" display="Democratic Republic of the Congo" xr:uid="{4B7DF4B6-12BF-8743-8D17-8F70AF30109E}"/>
    <hyperlink ref="B35" location="'Republic of the Congo'!A1" display="Republic of the Congo" xr:uid="{9544E009-5B97-4647-96BC-531AD920EC8A}"/>
    <hyperlink ref="B15" location="Eritrea!A1" display="Eritrea" xr:uid="{A233498F-DFE2-F04C-90FB-D7E19853D8DD}"/>
    <hyperlink ref="N15" r:id="rId24" xr:uid="{1604D91A-07C3-6440-99D8-C0C6CB545932}"/>
    <hyperlink ref="N40" r:id="rId25" xr:uid="{5D015E68-8BC7-514E-8A94-23E9837D54A8}"/>
    <hyperlink ref="B40" location="Somalia!A1" display="Somalia" xr:uid="{2BBFC882-6D38-6F43-A770-2B501EAB5E3B}"/>
    <hyperlink ref="B43" location="Sudan!A1" display="Sudan" xr:uid="{6B9E4340-E790-AD4C-991C-AD7A3CAF1B87}"/>
    <hyperlink ref="B42" location="'South Sudan'!A1" display="South Sudan" xr:uid="{D6465BD1-AB84-E547-AF3F-4D5474D72CF0}"/>
    <hyperlink ref="N42" r:id="rId26" location="pricing" xr:uid="{E9331B97-0227-F640-BEFB-B7B5689A8E92}"/>
    <hyperlink ref="B2" location="Angola!A1" display="Angola" xr:uid="{47F79E90-7037-F042-B3FD-1FCAEA3DF6FA}"/>
    <hyperlink ref="P3" r:id="rId27" display="https://finances.bj/wp-content/uploads/2022/09/Benin-General-Tax-Code-2022.pdf" xr:uid="{4816AD39-E550-FC44-96AC-9D437459D4FF}"/>
    <hyperlink ref="P2" r:id="rId28" xr:uid="{2B01662A-AC52-E244-AC10-3BEE0424090F}"/>
    <hyperlink ref="B5" location="'Burkina Faso'!A1" display="Burkina Faso" xr:uid="{128EFF2A-1B3F-0D43-BF50-7E2338979FC5}"/>
    <hyperlink ref="P5" r:id="rId29" display="https://www.pwc.co.za/en/publications/vat-in-africa/burkina-faso-overview.html" xr:uid="{C70E0367-9DED-5745-AE98-EDDF0A39F678}"/>
    <hyperlink ref="B6" location="Burundi!A1" display="Burundi" xr:uid="{0A14411E-3D96-EB47-8715-A41A216A28A3}"/>
    <hyperlink ref="N6" r:id="rId30" xr:uid="{C987852E-9641-C24A-A34C-B3A0E4FE8A64}"/>
    <hyperlink ref="B10" location="Chad!A1" display="Chad" xr:uid="{5AC8C667-1BD5-9645-B9A7-D3C18DF5766B}"/>
    <hyperlink ref="B11" location="Comoros!A1" display="Comoros" xr:uid="{79C6F498-28BC-D842-A517-7DB81C95B9BD}"/>
    <hyperlink ref="B14" location="'Equatorial Guinea'!A1" display="Equatorial Guinea" xr:uid="{CCEEEAB9-0CA8-C641-9703-349BD3E11BDA}"/>
    <hyperlink ref="B12" location="'Cote d''Ivoire'!A1" display="Côte d'Ivoire" xr:uid="{2684E7B0-BB3F-C148-8D3C-E57DB9D6E8BC}"/>
    <hyperlink ref="B18" location="Gabon!A1" display="Gabon" xr:uid="{A6AC036D-1086-5340-BBCC-901989F95DA6}"/>
    <hyperlink ref="B21" location="Guinea!A1" display="Guinea" xr:uid="{EC9FD743-54BA-7846-9869-63E41F65D4A3}"/>
    <hyperlink ref="P21" r:id="rId31" location=":~:text=Rates%20and%20scope,-Rates&amp;text=The%20standard%20VAT%20rate%20of,or%20that%20are%20zero%2Drated." display="https://www.pwc.co.za/en/publications/vat-in-africa/guinea-overview.html#:~:text=Rates%20and%20scope,-Rates&amp;text=The%20standard%20VAT%20rate%20of,or%20that%20are%20zero%2Drated." xr:uid="{823F618F-3951-5A42-84B1-E8E6BD1A74DF}"/>
    <hyperlink ref="B22" location="'Guinea-Bissau'!A1" display="Guinea-Bissau" xr:uid="{DEEFB872-256C-5046-9489-0B10B3151B90}"/>
    <hyperlink ref="N22" r:id="rId32" xr:uid="{BF31780E-9B68-414D-A7D2-594478020CA5}"/>
    <hyperlink ref="P22" r:id="rId33" xr:uid="{251A5EAE-C6CC-E74D-8E62-757B627A7D67}"/>
    <hyperlink ref="N26" r:id="rId34" xr:uid="{DAB48F76-CB36-5545-829D-6F5C3BB8DE14}"/>
    <hyperlink ref="B26" location="Madagascar!A1" display="Madagascar" xr:uid="{CA2D93BC-5438-AA48-A985-DF6F6D0BD5F8}"/>
    <hyperlink ref="B28" location="Mali!A1" display="Mali" xr:uid="{5A461431-3794-F84D-A291-F20944F1C3E3}"/>
    <hyperlink ref="B33" location="Niger!A1" display="Niger" xr:uid="{7D1B6438-C0FC-1645-B864-6BE5386463C2}"/>
    <hyperlink ref="B34" location="Nigeria!A1" display="Nigeria" xr:uid="{FEB9BD7D-3131-854D-843F-1C0EFD78E14F}"/>
    <hyperlink ref="N33" r:id="rId35" xr:uid="{896F9AE9-38C5-A94C-875B-215C68930E30}"/>
    <hyperlink ref="N34" r:id="rId36" xr:uid="{7406B5B6-6197-714D-8AAA-4026A8D18926}"/>
    <hyperlink ref="B37" location="Senegal!A1" display="Senegal" xr:uid="{8432B8CA-931A-004A-9A1B-9E8BBA7E73D3}"/>
    <hyperlink ref="N44" r:id="rId37" xr:uid="{5124EB77-741C-9543-AF63-31863E77ACDA}"/>
    <hyperlink ref="N14" r:id="rId38" xr:uid="{18A2294F-CC8C-574E-BE23-A4DC9285E784}"/>
    <hyperlink ref="B46" location="Togo!A1" display="Togo" xr:uid="{080E1B44-F905-6C41-9170-818B22D9EFE0}"/>
    <hyperlink ref="B3" location="Benin!A1" display="Benin" xr:uid="{442ED7EB-2B79-C64C-9893-C4A730C7961D}"/>
    <hyperlink ref="N20" r:id="rId39" xr:uid="{2EED1EC0-DA6D-E544-976C-394403EBA68A}"/>
    <hyperlink ref="B44" location="'São Tomé and Príncipe'!A1" display="São Tomé and Príncipe" xr:uid="{C681A31E-46FB-5348-B721-7743AA6115E2}"/>
    <hyperlink ref="C2" r:id="rId40" xr:uid="{1B3B8B1C-9AB4-654A-BEB6-9A4AFF32CB38}"/>
    <hyperlink ref="C3" r:id="rId41" xr:uid="{28DEB601-32A7-5845-A545-CC1B7A07C43C}"/>
    <hyperlink ref="H3" location="Benin!A1" display="see the detail      " xr:uid="{F2A9E166-8E19-FB4D-B3E7-DDB1B390FC7A}"/>
    <hyperlink ref="H2" location="Angola!A1" display="see the detail      " xr:uid="{B7BA88A5-BF7F-0D41-8CBE-F3B4DEA39F7B}"/>
    <hyperlink ref="C4" r:id="rId42" xr:uid="{624EB50E-5B1B-1344-AA1A-6A269CCACEB1}"/>
    <hyperlink ref="P4" r:id="rId43" location=":~:text=The%20subsidy%20comes%20from%20a,unit%20pays%20P40%20per%20month.&amp;text=What%20is%20the%20aim%20of%20the%20National%20Electricity%20Standard%20Connection%20Cost%3F" xr:uid="{03CD5739-4ED5-E24B-B795-654602773E74}"/>
    <hyperlink ref="H4" location="Botswana!A1" display="see the detail" xr:uid="{5296A04D-FE26-6E4E-B528-72DECA156FD6}"/>
    <hyperlink ref="H5" location="'Burkina Faso'!A1" display="see the detail" xr:uid="{72D441B7-C7DD-CC47-90C6-D07B48FFFE60}"/>
    <hyperlink ref="J5" location="'Burkina Faso'!A1" display="see detail" xr:uid="{36EB795B-6407-1F48-8693-8CF79B830E91}"/>
    <hyperlink ref="R5" r:id="rId44" xr:uid="{672CB0A2-0B92-9946-8465-960B849B2A6F}"/>
    <hyperlink ref="Q5" r:id="rId45" location=":~:text=C'est%20un%20pr%C3%A9l%C3%A8vement%20de,l'%C3%A9lectricit%C3%A9%20en%20milieu%20rural." xr:uid="{F2215B72-3BE8-ED45-BBEF-D589CDA15E11}"/>
    <hyperlink ref="S5" r:id="rId46" xr:uid="{E7E531BE-FD33-D443-B8CD-F5EDEFC9A04D}"/>
    <hyperlink ref="C5" r:id="rId47" xr:uid="{21CEA98A-AFAC-F04F-9E8C-B4E885F45B81}"/>
    <hyperlink ref="C6" r:id="rId48" xr:uid="{008FFCBC-ACE7-B348-8D81-3D78616A38D8}"/>
    <hyperlink ref="H6" location="Burundi!A1" display="see the detail" xr:uid="{A6000874-64D3-9949-A4BB-76DB66197AB0}"/>
    <hyperlink ref="C7" r:id="rId49" xr:uid="{AB9C2111-469E-6448-91B2-DEA5D74FBCE3}"/>
    <hyperlink ref="H7" location="'Central African Republic'!A1" display="see the detail" xr:uid="{B6E0D578-006B-2341-9272-50D20C022ABB}"/>
    <hyperlink ref="P7" r:id="rId50" xr:uid="{1470E45A-DFD7-6E46-BCCD-5D4199A282FB}"/>
    <hyperlink ref="P6" r:id="rId51" xr:uid="{C7854410-6E47-6B45-8709-A8125A48DA02}"/>
    <hyperlink ref="N7" r:id="rId52" xr:uid="{DC6A5023-A86A-4046-8F75-95E7A3B90563}"/>
    <hyperlink ref="C8" r:id="rId53" xr:uid="{84C916BE-03B5-014F-BB6D-44DE4F0AB2D8}"/>
    <hyperlink ref="H8" location="'Cabo Verde'!A1" display="see the detail" xr:uid="{D9119940-4651-FD4D-B5C2-672E7871EF1F}"/>
    <hyperlink ref="P8" r:id="rId54" xr:uid="{383FE54A-D3AB-B344-A067-B3F200994B7D}"/>
    <hyperlink ref="C9" r:id="rId55" xr:uid="{28B34571-66C7-A744-93C8-A5D16F679BA3}"/>
    <hyperlink ref="P9" r:id="rId56" xr:uid="{65AF5258-C12F-5840-9DAD-5A5478284AC6}"/>
    <hyperlink ref="H9" location="Cameroon!A1" display="see the detail" xr:uid="{2F849BE5-55A9-5A4D-850D-DEF5F62B4CCE}"/>
    <hyperlink ref="C10" r:id="rId57" xr:uid="{D3770246-639A-FC4C-A0E4-6A026917A846}"/>
    <hyperlink ref="H10" location="Chad!A1" display="see the detail" xr:uid="{0EFE283F-8240-6F4B-9C03-5871D0ACD267}"/>
    <hyperlink ref="P10" r:id="rId58" xr:uid="{ACA1F63A-72AF-7C44-A145-0D6E0006FC09}"/>
    <hyperlink ref="N10" r:id="rId59" xr:uid="{CC133B1C-5D8B-6741-8BE9-A10948291580}"/>
    <hyperlink ref="C11" r:id="rId60" xr:uid="{02CF9731-EE5A-4046-9969-362B10163579}"/>
    <hyperlink ref="H12" location="'Cote d''Ivoire'!A1" display="see the detail      " xr:uid="{827ECB72-59CD-DD44-90BD-EC6164AB8CAD}"/>
    <hyperlink ref="C13" r:id="rId61" xr:uid="{6EEED30E-3B29-6A41-AFCE-CE82388C891F}"/>
    <hyperlink ref="C15" r:id="rId62" xr:uid="{6ACF56B8-D358-C14E-B20E-54C101EF9C32}"/>
    <hyperlink ref="H14" location="'Equatorial Guinea'!A1" display="see the detail" xr:uid="{B0FB323A-8F2C-D44B-B4C9-6F69BCF0C05D}"/>
    <hyperlink ref="P14" r:id="rId63" xr:uid="{D2F376EC-C279-E94A-AAF7-C8701BD76DB2}"/>
    <hyperlink ref="P13" r:id="rId64" xr:uid="{57D15ECD-D6C5-3847-943F-DB17E644317B}"/>
    <hyperlink ref="H13" location="'Democratic Republic of the Cong'!A1" display="Average electricity price    69.00 USD/MWh" xr:uid="{F0169AE0-9E96-E946-8884-9674A54EF982}"/>
    <hyperlink ref="P15" r:id="rId65" xr:uid="{4889C759-B794-3A45-BD81-4FBE3E993ED2}"/>
    <hyperlink ref="H15" location="Eritrea!A1" display="Average electricity price    240 USD/MWh" xr:uid="{3C910315-46FD-0F42-B631-1FA6FC92356B}"/>
    <hyperlink ref="C16" r:id="rId66" xr:uid="{76FF22FC-02A4-4B4E-BE0E-C56D597BE694}"/>
    <hyperlink ref="H16" location="Eswatini!A1" display="see the detail" xr:uid="{13E8BAC0-7839-A144-A3B7-1957D34FA4EE}"/>
    <hyperlink ref="P16" r:id="rId67" location=":~:text=0%25%20on%20supplies%20of%20electricity,and%2015%25%20for%20commercial%20entities." xr:uid="{F944D90F-673B-9347-BC54-B3DAA975A702}"/>
    <hyperlink ref="N16" r:id="rId68" xr:uid="{7A6EBBE4-B066-804B-889E-98DDB9153AF2}"/>
    <hyperlink ref="C17" r:id="rId69" xr:uid="{EE9474AB-9593-D243-B79D-D58AB8F9C2F4}"/>
    <hyperlink ref="H17" location="Ethiopia!A1" display="see the detail" xr:uid="{0A795F52-53E8-C24E-A0C1-441E9EB8F379}"/>
    <hyperlink ref="H18" location="Gabon!A1" display="see the detail      " xr:uid="{AB43BF28-E2C7-2442-A3F9-F4BDAC39BED7}"/>
    <hyperlink ref="N18" r:id="rId70" xr:uid="{87D724F9-8437-514B-892A-E7532D1F5CFB}"/>
    <hyperlink ref="J18" location="Gabon!A1" display="see the detail      " xr:uid="{3CF1EFF6-22E2-7845-BBBA-4F433656932E}"/>
    <hyperlink ref="P18" r:id="rId71" xr:uid="{0C53F63D-9397-2942-9E4B-0923C5C115F2}"/>
    <hyperlink ref="Q18" r:id="rId72" display="Bill" xr:uid="{1A805622-5B9D-384E-8B90-70DAF1C014C2}"/>
    <hyperlink ref="C18" r:id="rId73" xr:uid="{3BB35872-93BE-244C-9345-E3F8C294F0B7}"/>
    <hyperlink ref="C19" r:id="rId74" xr:uid="{AF50813D-3204-8E40-80E3-D1C0C3FA7437}"/>
    <hyperlink ref="H19" location="Gambia!A1" display="see the detail      " xr:uid="{24359302-AFAE-1043-81A9-ACE735AD1373}"/>
    <hyperlink ref="P19" r:id="rId75" display="VAT" xr:uid="{EB7E1633-CD73-D74D-A623-9B4664936EBA}"/>
    <hyperlink ref="Q19" r:id="rId76" xr:uid="{035C781C-7E64-104B-B392-6DEE25A3336A}"/>
    <hyperlink ref="R19" r:id="rId77" xr:uid="{623A80AB-545E-1943-848B-78CEF9B5566B}"/>
    <hyperlink ref="H20" location="Ghana!A1" display="see the detail" xr:uid="{9954CD14-3409-3546-80EC-15CF861F1ADB}"/>
    <hyperlink ref="P20" r:id="rId78" location=":~:text=Following%20agitations%20and%20calls%20for,specified%20for%20block%20charges%20for" xr:uid="{9E69830A-1F8E-1545-8492-17A753D276FF}"/>
    <hyperlink ref="C20" r:id="rId79" xr:uid="{F34376F0-5A7D-D745-A4DA-D1F89138698A}"/>
    <hyperlink ref="C21" r:id="rId80" xr:uid="{F9A4CB05-986E-E04F-BC99-643254B8089B}"/>
    <hyperlink ref="H21" location="Guinea!A1" display="see the detail" xr:uid="{4DDB848F-889C-CF46-AA6B-541E080C559B}"/>
    <hyperlink ref="N21" r:id="rId81" xr:uid="{9D616842-543F-5045-BEC2-D492A7DB7A27}"/>
    <hyperlink ref="H22" location="'Guinea-Bissau'!A1" display="see the detail" xr:uid="{2980D71F-8DA8-7A49-B855-D4D5A340D082}"/>
    <hyperlink ref="Q22" r:id="rId82" xr:uid="{6F246C89-CE56-2A41-8828-D873E57E9322}"/>
    <hyperlink ref="C24" r:id="rId83" xr:uid="{94D1085E-F7BF-A946-BA6F-61D1E6D439A8}"/>
    <hyperlink ref="H24" location="Lesotho!A1" display="see the detail" xr:uid="{AD1EA45B-076D-B94D-A51B-343C9E776C58}"/>
    <hyperlink ref="P24" r:id="rId84" xr:uid="{65AD5665-182E-3F4F-A4FB-6A1FD383EE1C}"/>
    <hyperlink ref="H25" location="Liberia!A1" display="see the detail" xr:uid="{DDA69B61-3C18-0048-A1E5-E59654D7B3FD}"/>
    <hyperlink ref="J25" location="Liberia!A1" display="see the detail" xr:uid="{4CBA635D-FAF4-E24E-86EA-087B646BC1B6}"/>
    <hyperlink ref="P25" r:id="rId85" location=":~:text=Services%20attract%2010%25%20GST%20except,they%20are%20received%20in%20Liberia." xr:uid="{ABA2E20E-3568-3947-B22F-300D1BF270B7}"/>
    <hyperlink ref="C26" r:id="rId86" xr:uid="{39FBB192-17CE-B741-9331-1ACECF276B11}"/>
    <hyperlink ref="H26" location="Madagascar!A1" display="see the detail      " xr:uid="{9A4456E5-824A-0140-919B-B96153E24A9D}"/>
    <hyperlink ref="J26" location="Madagascar!A1" display="see the detail" xr:uid="{5A0DF1A4-CF7F-3A45-87E2-EAEBA878C77D}"/>
    <hyperlink ref="P26" r:id="rId87" xr:uid="{5E2159A8-83B7-E848-877A-BEB867B95BC7}"/>
    <hyperlink ref="C27" r:id="rId88" xr:uid="{91410D0D-FB7E-B24C-AA7C-1C87A471557A}"/>
    <hyperlink ref="H27" location="Malawi!A1" display="see the detail" xr:uid="{A5A8F486-DC7A-BA4A-BAAB-AFA8E09E0AC6}"/>
    <hyperlink ref="Q27" r:id="rId89" location=":~:text=Electricity%20Supply%20Corporation%20of%20Malawi,billing%20system%20in%20the%20country." xr:uid="{FFAF658A-C4AE-6C41-8DE6-0A4BE443065C}"/>
    <hyperlink ref="P27" r:id="rId90" xr:uid="{9F115655-E799-0847-94D6-B226E424C796}"/>
    <hyperlink ref="C28" r:id="rId91" xr:uid="{6F00DD96-E182-B54A-8F86-8F5A380F44FD}"/>
    <hyperlink ref="C29" r:id="rId92" xr:uid="{28748402-3BEE-3F49-8BA3-2AC8C53FEAB7}"/>
    <hyperlink ref="H29" location="Mauritania!A1" display="see the detail" xr:uid="{88EB30BC-7C06-554D-A419-B653B01FC7EE}"/>
    <hyperlink ref="P29" r:id="rId93" xr:uid="{96B6E4A4-4D32-ED48-B461-9319A9EE40AE}"/>
    <hyperlink ref="H30" location="Mauritius!A1" display="see the detail" xr:uid="{7D758B22-7BB6-7F4E-B2F7-B93EE8799A66}"/>
    <hyperlink ref="P30" r:id="rId94" xr:uid="{E14B7C30-2CB5-074C-9158-B166F21CC80C}"/>
    <hyperlink ref="Q30" r:id="rId95" xr:uid="{CC30E9AF-B282-934E-A614-8F185C1E544E}"/>
    <hyperlink ref="C30" r:id="rId96" xr:uid="{2E6EBADB-CBCD-B143-A984-A7187B1AFBD8}"/>
    <hyperlink ref="C31" r:id="rId97" xr:uid="{AF7FDB8E-4F5D-8A40-803D-21E4898E3654}"/>
    <hyperlink ref="H31" location="Mozambique!A1" display="see the detail" xr:uid="{B08B76EF-9B0F-CD43-894D-1B42A37D3148}"/>
    <hyperlink ref="P31" r:id="rId98" xr:uid="{B628D3A6-959F-CF40-98FE-189B1CA728A3}"/>
    <hyperlink ref="J31" location="Mozambique!A1" display="see the detail" xr:uid="{682F9F7D-9AA1-554F-B095-F1CCD3F0D453}"/>
    <hyperlink ref="C33" r:id="rId99" xr:uid="{9CE89894-2581-C549-A073-069ED33A6EE0}"/>
    <hyperlink ref="H33" location="Niger!A1" display="see the detail      " xr:uid="{C921AA5F-12C5-BE42-AC46-A9167A42145D}"/>
    <hyperlink ref="P33" r:id="rId100" xr:uid="{17E4C51B-024B-8C4B-847D-F4E2EF4E08F0}"/>
    <hyperlink ref="C34" r:id="rId101" xr:uid="{2598EBD3-BF04-6747-B11A-F56D002997CC}"/>
    <hyperlink ref="H34" location="Nigeria!A1" display="see the detail      " xr:uid="{DA63CCB1-E34F-7B4B-975D-8821A62136DD}"/>
    <hyperlink ref="P34" r:id="rId102" xr:uid="{AE1671D0-35C1-F341-91FE-2A027DB68215}"/>
    <hyperlink ref="C35" r:id="rId103" xr:uid="{481B8E71-4329-6D49-927D-F9A928FAA851}"/>
    <hyperlink ref="H35" location="'Republic of the Congo'!A1" display="see the detail" xr:uid="{B5008495-BEC5-D548-8431-6BAD55068E8F}"/>
    <hyperlink ref="P35" r:id="rId104" xr:uid="{EFBBBA61-9A0C-A049-B6E3-E51B7D613ADE}"/>
    <hyperlink ref="N35" r:id="rId105" xr:uid="{57220DEF-B21E-7347-9A40-64394F64033A}"/>
    <hyperlink ref="J35" location="'Republic of the Congo'!A1" display="see the detail" xr:uid="{CCA1F247-0BE8-F64E-B9B2-48524C625B1E}"/>
    <hyperlink ref="Q35" r:id="rId106" xr:uid="{D099DD0C-59D4-7C46-87EF-6C81B613E8C5}"/>
    <hyperlink ref="C36" r:id="rId107" xr:uid="{9278288F-7511-E044-956A-0E21568A2E8B}"/>
    <hyperlink ref="H36" location="Rwanda!A1" display="see the detail" xr:uid="{27A65A44-0B9A-DE4E-95C6-8AC690CDA1DD}"/>
    <hyperlink ref="P36" r:id="rId108" xr:uid="{668F69D3-28DC-BE49-93F3-3DFDF1932271}"/>
    <hyperlink ref="H37" location="Senegal!A1" display="see the detail" xr:uid="{A041DFD3-9F5E-AB49-BBBE-76060B0F4EBF}"/>
    <hyperlink ref="J37" location="Senegal!A1" display="see the detail" xr:uid="{8BA7A59A-57C8-0948-8D8A-66E9CF80E757}"/>
    <hyperlink ref="N37" r:id="rId109" xr:uid="{2B73A99D-E7AA-4E4E-B9DF-29B7B5EE53DF}"/>
    <hyperlink ref="P37" r:id="rId110" xr:uid="{F67432F1-1CED-6145-A826-FEE2D10F23F7}"/>
    <hyperlink ref="Q37" r:id="rId111" xr:uid="{C732F383-19D9-F14C-90D1-9E0686B12946}"/>
    <hyperlink ref="C38" r:id="rId112" xr:uid="{69A46B9A-F989-F440-B8E6-82DB34567D1A}"/>
    <hyperlink ref="H38" location="Seychelles!A1" display="see the detail" xr:uid="{36640A22-B013-4041-9850-AAD8649F3E56}"/>
    <hyperlink ref="P38" r:id="rId113" location=":~:text=As%20public%20utilities%20are%20zero,to%20deduct%20on%20PUC%20invoices." display="VAT" xr:uid="{A46DF775-2DB9-2D40-889F-D4876E893A2D}"/>
    <hyperlink ref="Q38" r:id="rId114" xr:uid="{337DEC32-AD35-854F-879C-706D8D18259D}"/>
    <hyperlink ref="H39" location="'Sierra Leone'!A1" display="see the detail" xr:uid="{1FA91F81-8E2B-CF46-879D-B07430EF319F}"/>
    <hyperlink ref="J39" location="'Sierra Leone'!A1" display="see the detail" xr:uid="{B03BC0CA-75E6-3447-BD48-E4204197CA06}"/>
    <hyperlink ref="P39" r:id="rId115" xr:uid="{C9A4C59B-F415-0645-ACBF-7E1AC4F7016E}"/>
    <hyperlink ref="C39" r:id="rId116" xr:uid="{25EA5A31-0E05-A549-A6C3-EB4EB3252FA9}"/>
    <hyperlink ref="P32" r:id="rId117" xr:uid="{316D6CD9-FDD8-984B-9B7C-FA904EC3A734}"/>
    <hyperlink ref="C42" r:id="rId118" display="SSEC" xr:uid="{4FF4E443-AE3B-A845-AFD8-C214AD356677}"/>
    <hyperlink ref="H42" location="'South Sudan'!A1" display="see the detail" xr:uid="{A639242F-CED1-6D46-99BD-AD2C3EE3D88E}"/>
    <hyperlink ref="P42" r:id="rId119" xr:uid="{C225DCA9-9E4F-8D4F-8467-18F7702DA7F1}"/>
    <hyperlink ref="H43" location="Sudan!A1" display="Average electricity price    0.94 USD/MWh" xr:uid="{4BEB6767-C2D1-4546-9C31-95190D4F7451}"/>
    <hyperlink ref="P43" r:id="rId120" xr:uid="{36746C21-A047-734B-94B3-8AF74AE8B5E5}"/>
    <hyperlink ref="C43" r:id="rId121" xr:uid="{B6294205-D3F6-BF42-A867-19FA37CD694E}"/>
    <hyperlink ref="C44" r:id="rId122" xr:uid="{52879C6E-3A0A-814E-95D9-D167E57562DA}"/>
    <hyperlink ref="H44" location="'São Tomé and Príncipe'!A1" display="see the detail      " xr:uid="{3603F627-6F2C-174C-A18A-3DFB87DEC663}"/>
    <hyperlink ref="J44" location="'São Tomé and Príncipe'!A1" display="see the detail" xr:uid="{220A99E4-3EE4-3B47-BA56-2F0EB950FC50}"/>
    <hyperlink ref="P44" r:id="rId123" xr:uid="{03712641-BF6B-0A41-A72C-9443F9EB3BC4}"/>
    <hyperlink ref="C45" r:id="rId124" xr:uid="{823B414F-5304-EB46-9FA7-7B8CE15F3858}"/>
    <hyperlink ref="H45" location="Tanzania!A1" display="see the detail" xr:uid="{F43129A4-329C-5A4A-86C1-9ED4BA622407}"/>
    <hyperlink ref="P45" r:id="rId125" xr:uid="{A363ECF4-5E36-B146-9EB0-17038864627C}"/>
    <hyperlink ref="C46" r:id="rId126" xr:uid="{2FE60E29-1FEF-8347-A1A9-B78F24EA21A1}"/>
    <hyperlink ref="H46" location="Togo!A1" display="see the detail" xr:uid="{33AC2050-F201-234F-BE07-BBECCBDC5ECF}"/>
    <hyperlink ref="P46" r:id="rId127" xr:uid="{2E1CCDD8-4DFF-0D42-A586-363B7D78C273}"/>
    <hyperlink ref="N46" r:id="rId128" xr:uid="{2E04423B-6FC4-2544-AD82-F87C19CADD74}"/>
    <hyperlink ref="C47" r:id="rId129" xr:uid="{E6C36F5A-2A75-3142-BFA7-CDE1D9B3057C}"/>
    <hyperlink ref="H47" location="Uganda!A1" display="see the detail" xr:uid="{C476108F-EAB3-FD45-9763-4A2146670C8B}"/>
    <hyperlink ref="P47" r:id="rId130" location=":~:text=Import%20Duty%20%2D%2025%25,VAT%20%2D%2018%25" xr:uid="{FE863BB1-31DD-EE4D-9C39-72293036EC09}"/>
    <hyperlink ref="C48" r:id="rId131" xr:uid="{7E64E8A8-C5EF-AA48-98D6-1B83FF99473B}"/>
    <hyperlink ref="H48" location="Zambia!A1" display="see the detail" xr:uid="{1EF3A68E-EFC0-5B44-BF3A-73DE001C4D2A}"/>
    <hyperlink ref="P48" r:id="rId132" xr:uid="{FDCFAB23-56D9-CA47-93A5-ADD03B2FBAAC}"/>
    <hyperlink ref="C49" r:id="rId133" xr:uid="{D0BC8BA1-694C-F04B-B739-79C9F5C43DC3}"/>
    <hyperlink ref="H49" location="Zimbabwe!A1" display=" see the detail" xr:uid="{AEC58F31-2C1F-B746-823E-4580B78CB1AA}"/>
    <hyperlink ref="Q49" r:id="rId134" xr:uid="{476926A8-3D01-8B49-8017-AC4B750DBE35}"/>
    <hyperlink ref="N49" r:id="rId135" xr:uid="{2EED258E-8E87-8C40-A9D2-EC57EC53A114}"/>
    <hyperlink ref="R49" r:id="rId136" xr:uid="{2A5B6337-C3F0-604C-9D20-0756C6AE78EB}"/>
    <hyperlink ref="B49" location="Zimbabwe!A1" display="Zimbabwe" xr:uid="{2DEEC5DD-955D-6944-AF66-ECAF4A644694}"/>
    <hyperlink ref="H40" location="Somalia!A1" display="Average electricity price    79.42 USD/MWh" xr:uid="{07CCB0EE-1833-DA45-9B8E-95861EFF6421}"/>
    <hyperlink ref="C40" r:id="rId137" xr:uid="{FCE4F5F9-B2E9-2C4E-9B10-C4EE2ABE7895}"/>
    <hyperlink ref="P40" r:id="rId138" xr:uid="{5AD1133C-E32C-2642-B48F-DA5D938995D0}"/>
    <hyperlink ref="H11" location="Comoros!A1" display="see the detail" xr:uid="{523F82E6-9D71-CB41-8FF9-B3F42EB54959}"/>
    <hyperlink ref="N11" r:id="rId139" xr:uid="{92E17942-2607-E140-82B3-ED2F98BE8133}"/>
    <hyperlink ref="J12" location="'Cote d''Ivoire'!A1" display="see the detail" xr:uid="{1B315FC2-F3E3-B747-824E-2819C155B418}"/>
    <hyperlink ref="K12" location="'Cote d''Ivoire'!A1" display="see the detail" xr:uid="{D7AEF251-EEA6-2F46-8CF2-618F920401D6}"/>
    <hyperlink ref="N12" r:id="rId140" xr:uid="{E99B811A-FC18-8B43-9002-CA217A85C5CE}"/>
    <hyperlink ref="K23" location="Kenya!A1" display="see the detail" xr:uid="{20393351-083E-664C-915B-750F83C0C680}"/>
    <hyperlink ref="P23" r:id="rId141" xr:uid="{306DE039-EB5C-DF42-AB9B-266B238AB641}"/>
    <hyperlink ref="H28" location="Mali!A1" display="see the detail" xr:uid="{92A5CC48-642D-DA45-B0CA-B88DBB812770}"/>
    <hyperlink ref="N28" r:id="rId142" xr:uid="{59964189-152B-4C4B-9435-AE30898F2ED7}"/>
    <hyperlink ref="Q32" r:id="rId143" xr:uid="{806DD829-34DE-2D44-BC32-4B6D44C36B4C}"/>
    <hyperlink ref="H32" location="Namibia!A1" display="see the detail" xr:uid="{8CE21F69-EB04-EB49-A90B-EBE922275A7F}"/>
    <hyperlink ref="R32" r:id="rId144" xr:uid="{D709DC64-7CF7-6D40-AF48-CC2DD6FB5A09}"/>
    <hyperlink ref="J32" location="Namibia!A1" display="see the detail" xr:uid="{A9700E87-03B5-AF47-87EB-00EB9F906399}"/>
    <hyperlink ref="S32" r:id="rId145" xr:uid="{1878AD7A-DBFE-EF47-A9BA-987A819BC872}"/>
    <hyperlink ref="H41" location="'South Africa'!A1" display="see the detail      " xr:uid="{F2656B66-13C4-934E-9616-0F90666B92DE}"/>
    <hyperlink ref="J41" location="'South Africa'!A1" display="see the detail" xr:uid="{ED713060-7C5D-CE47-8C0F-BB9704878F45}"/>
    <hyperlink ref="N41" r:id="rId146" xr:uid="{0A37A9B6-442A-0647-AEF7-0335FD38C4B9}"/>
    <hyperlink ref="P41" r:id="rId147" xr:uid="{AC04FF07-D302-BB4C-B395-7A75C01313B3}"/>
    <hyperlink ref="H23" location="Kenya!A1" display="see the detail" xr:uid="{F3B64C2C-2C16-AA44-A2F3-894968DD2CDA}"/>
    <hyperlink ref="N25" r:id="rId148" xr:uid="{F1845EF2-8E9C-E542-A72A-E37EA08F4D95}"/>
    <hyperlink ref="Q16" r:id="rId149" xr:uid="{91E2DEE0-7A8D-2842-9990-1A796ADE8B54}"/>
    <hyperlink ref="F24" r:id="rId150" xr:uid="{6A53D478-A338-0646-B030-0C0D2900386C}"/>
    <hyperlink ref="Q24" r:id="rId151" location=":~:text=Electricity%20could%20be%20used%20to,implemented%20before%20giving%20concluding%20remarks." xr:uid="{1C3B2E35-08F9-7240-B911-C6DB471EA2F4}"/>
    <hyperlink ref="Q28" r:id="rId152" xr:uid="{E9A844A9-8FD3-0248-BC2E-12F4E9D616A9}"/>
    <hyperlink ref="N43" r:id="rId153" xr:uid="{A4F1B3EE-51EB-5F42-B8D1-7BF9F2EF9D42}"/>
  </hyperlinks>
  <pageMargins left="0.7" right="0.7" top="0.75" bottom="0.75"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28293-187C-7541-9738-E45C9BE0C14B}">
  <dimension ref="A1:O25"/>
  <sheetViews>
    <sheetView zoomScale="111" workbookViewId="0">
      <selection activeCell="E24" sqref="E24"/>
    </sheetView>
  </sheetViews>
  <sheetFormatPr baseColWidth="10" defaultRowHeight="16"/>
  <cols>
    <col min="1" max="1" width="19" style="1" customWidth="1"/>
    <col min="2" max="2" width="29.83203125" style="4" customWidth="1"/>
    <col min="3" max="3" width="34.1640625" style="1" customWidth="1"/>
    <col min="4" max="4" width="11.33203125" style="4" customWidth="1"/>
    <col min="5" max="5" width="36" style="4" customWidth="1"/>
    <col min="6" max="6" width="10.83203125" style="4"/>
    <col min="7" max="7" width="31.1640625" style="4" customWidth="1"/>
  </cols>
  <sheetData>
    <row r="1" spans="1:15">
      <c r="A1" s="172"/>
      <c r="B1" s="253" t="s">
        <v>97</v>
      </c>
      <c r="C1" s="253" t="s">
        <v>98</v>
      </c>
      <c r="D1" s="253" t="s">
        <v>99</v>
      </c>
      <c r="E1" s="253" t="s">
        <v>100</v>
      </c>
      <c r="F1" s="253" t="s">
        <v>101</v>
      </c>
      <c r="G1" s="253" t="s">
        <v>102</v>
      </c>
      <c r="H1" s="174" t="s">
        <v>199</v>
      </c>
    </row>
    <row r="2" spans="1:15">
      <c r="A2" s="175" t="s">
        <v>103</v>
      </c>
      <c r="B2" s="4">
        <v>0</v>
      </c>
      <c r="C2" s="4">
        <v>1.2E-2</v>
      </c>
      <c r="D2" s="4">
        <v>0.2</v>
      </c>
      <c r="E2" s="4">
        <v>1</v>
      </c>
      <c r="F2" s="4">
        <v>3.4</v>
      </c>
      <c r="G2" s="4">
        <v>8.1999999999999993</v>
      </c>
      <c r="H2" s="176" t="s">
        <v>200</v>
      </c>
    </row>
    <row r="3" spans="1:15" ht="34">
      <c r="A3" s="177" t="s">
        <v>110</v>
      </c>
      <c r="B3" s="4">
        <v>0</v>
      </c>
      <c r="C3" s="4">
        <f>C2*30</f>
        <v>0.36</v>
      </c>
      <c r="D3" s="4">
        <f t="shared" ref="D3:G3" si="0">D2*30</f>
        <v>6</v>
      </c>
      <c r="E3" s="4">
        <f t="shared" si="0"/>
        <v>30</v>
      </c>
      <c r="F3" s="4">
        <f t="shared" si="0"/>
        <v>102</v>
      </c>
      <c r="G3" s="4">
        <f t="shared" si="0"/>
        <v>245.99999999999997</v>
      </c>
      <c r="H3" s="176" t="s">
        <v>200</v>
      </c>
    </row>
    <row r="4" spans="1:15" ht="17" thickBot="1">
      <c r="A4" s="181" t="s">
        <v>1071</v>
      </c>
      <c r="B4" s="182" t="s">
        <v>58</v>
      </c>
      <c r="C4" s="182">
        <v>0.05</v>
      </c>
      <c r="D4" s="182">
        <v>0.2</v>
      </c>
      <c r="E4" s="182">
        <v>0.8</v>
      </c>
      <c r="F4" s="182">
        <v>2</v>
      </c>
      <c r="G4" s="182">
        <v>14</v>
      </c>
      <c r="H4" s="180" t="s">
        <v>201</v>
      </c>
    </row>
    <row r="5" spans="1:15" ht="17" thickBot="1">
      <c r="A5" s="6"/>
      <c r="C5" s="4"/>
      <c r="H5" s="4"/>
    </row>
    <row r="6" spans="1:15">
      <c r="A6" s="184"/>
      <c r="B6" s="173" t="s">
        <v>702</v>
      </c>
      <c r="C6" s="185" t="s">
        <v>703</v>
      </c>
      <c r="D6" s="173" t="s">
        <v>704</v>
      </c>
      <c r="E6" s="173" t="s">
        <v>706</v>
      </c>
      <c r="F6" s="173" t="s">
        <v>709</v>
      </c>
      <c r="G6" s="174" t="s">
        <v>711</v>
      </c>
    </row>
    <row r="7" spans="1:15">
      <c r="A7" s="224" t="s">
        <v>696</v>
      </c>
      <c r="B7" s="4">
        <v>52.4</v>
      </c>
      <c r="C7" s="1">
        <v>0</v>
      </c>
      <c r="D7" s="4" t="s">
        <v>705</v>
      </c>
      <c r="E7" s="4" t="s">
        <v>707</v>
      </c>
      <c r="F7" s="4" t="s">
        <v>710</v>
      </c>
      <c r="G7" s="176">
        <v>55.02</v>
      </c>
    </row>
    <row r="8" spans="1:15">
      <c r="A8" s="224" t="s">
        <v>697</v>
      </c>
      <c r="B8" s="4">
        <v>84.68</v>
      </c>
      <c r="C8" s="1">
        <v>0</v>
      </c>
      <c r="D8" s="4" t="s">
        <v>705</v>
      </c>
      <c r="E8" s="4" t="s">
        <v>707</v>
      </c>
      <c r="F8" s="4" t="s">
        <v>710</v>
      </c>
      <c r="G8" s="176">
        <v>88.91</v>
      </c>
      <c r="H8" s="81"/>
      <c r="I8" s="81"/>
      <c r="J8" s="81"/>
      <c r="K8" s="81"/>
      <c r="L8" s="81"/>
      <c r="M8" s="81"/>
      <c r="N8" s="81"/>
      <c r="O8" s="81"/>
    </row>
    <row r="9" spans="1:15">
      <c r="A9" s="224" t="s">
        <v>698</v>
      </c>
      <c r="B9" s="4">
        <v>111.18</v>
      </c>
      <c r="C9" s="1">
        <v>5.93</v>
      </c>
      <c r="D9" s="4" t="s">
        <v>705</v>
      </c>
      <c r="E9" s="4" t="s">
        <v>707</v>
      </c>
      <c r="F9" s="4" t="s">
        <v>710</v>
      </c>
      <c r="G9" s="176">
        <v>122.96</v>
      </c>
    </row>
    <row r="10" spans="1:15">
      <c r="A10" s="224" t="s">
        <v>699</v>
      </c>
      <c r="B10" s="4">
        <v>117.36</v>
      </c>
      <c r="C10" s="1">
        <v>5.93</v>
      </c>
      <c r="D10" s="222">
        <v>7.0000000000000007E-2</v>
      </c>
      <c r="E10" s="4" t="s">
        <v>708</v>
      </c>
      <c r="F10" s="223">
        <v>0.1</v>
      </c>
      <c r="G10" s="176">
        <v>136.86000000000001</v>
      </c>
    </row>
    <row r="11" spans="1:15">
      <c r="A11" s="224" t="s">
        <v>700</v>
      </c>
      <c r="B11" s="4">
        <v>122.42</v>
      </c>
      <c r="C11" s="1">
        <v>5.93</v>
      </c>
      <c r="D11" s="222">
        <v>7.0000000000000007E-2</v>
      </c>
      <c r="E11" s="223">
        <v>0.01</v>
      </c>
      <c r="F11" s="223">
        <v>0.1</v>
      </c>
      <c r="G11" s="176">
        <v>142.47</v>
      </c>
    </row>
    <row r="12" spans="1:15" ht="17" thickBot="1">
      <c r="A12" s="181" t="s">
        <v>701</v>
      </c>
      <c r="B12" s="179">
        <v>126.63</v>
      </c>
      <c r="C12" s="182">
        <v>5.93</v>
      </c>
      <c r="D12" s="225">
        <v>7.0000000000000007E-2</v>
      </c>
      <c r="E12" s="226">
        <v>0.01</v>
      </c>
      <c r="F12" s="226">
        <v>0.1</v>
      </c>
      <c r="G12" s="180">
        <v>147.13999999999999</v>
      </c>
    </row>
    <row r="13" spans="1:15">
      <c r="F13" s="223"/>
    </row>
    <row r="14" spans="1:15" ht="17" thickBot="1"/>
    <row r="15" spans="1:15">
      <c r="A15" s="235" t="s">
        <v>109</v>
      </c>
      <c r="B15" s="236" t="s">
        <v>97</v>
      </c>
      <c r="C15" s="236" t="s">
        <v>98</v>
      </c>
      <c r="D15" s="236" t="s">
        <v>99</v>
      </c>
      <c r="E15" s="236" t="s">
        <v>100</v>
      </c>
      <c r="F15" s="236" t="s">
        <v>101</v>
      </c>
      <c r="G15" s="237" t="s">
        <v>102</v>
      </c>
    </row>
    <row r="16" spans="1:15">
      <c r="A16" s="224" t="s">
        <v>696</v>
      </c>
      <c r="B16" s="4">
        <v>0</v>
      </c>
      <c r="C16" s="1">
        <f>$G7*C3</f>
        <v>19.807200000000002</v>
      </c>
      <c r="D16" s="1">
        <f>$G7*D3</f>
        <v>330.12</v>
      </c>
      <c r="E16" s="1">
        <f>$G7*E3</f>
        <v>1650.6000000000001</v>
      </c>
      <c r="F16" s="1" t="s">
        <v>58</v>
      </c>
      <c r="G16" s="252" t="s">
        <v>58</v>
      </c>
    </row>
    <row r="17" spans="1:13">
      <c r="A17" s="224" t="s">
        <v>697</v>
      </c>
      <c r="B17" s="4">
        <v>0</v>
      </c>
      <c r="C17" s="1" t="s">
        <v>58</v>
      </c>
      <c r="D17" s="1" t="s">
        <v>58</v>
      </c>
      <c r="E17" s="1" t="s">
        <v>58</v>
      </c>
      <c r="F17" s="1">
        <f>G8*F3</f>
        <v>9068.82</v>
      </c>
      <c r="G17" s="252" t="s">
        <v>58</v>
      </c>
    </row>
    <row r="18" spans="1:13">
      <c r="A18" s="224" t="s">
        <v>698</v>
      </c>
      <c r="B18" s="4">
        <v>0</v>
      </c>
      <c r="C18" s="1" t="s">
        <v>58</v>
      </c>
      <c r="D18" s="1" t="s">
        <v>58</v>
      </c>
      <c r="E18" s="1" t="s">
        <v>58</v>
      </c>
      <c r="F18" s="1" t="s">
        <v>58</v>
      </c>
      <c r="G18" s="176">
        <f>G9*G3</f>
        <v>30248.159999999996</v>
      </c>
    </row>
    <row r="19" spans="1:13">
      <c r="A19" s="224" t="s">
        <v>699</v>
      </c>
      <c r="B19" s="4">
        <v>0</v>
      </c>
      <c r="C19" s="1" t="s">
        <v>58</v>
      </c>
      <c r="D19" s="1" t="s">
        <v>58</v>
      </c>
      <c r="E19" s="1" t="s">
        <v>58</v>
      </c>
      <c r="F19" s="1" t="s">
        <v>58</v>
      </c>
      <c r="G19" s="176">
        <f>G10*G3</f>
        <v>33667.56</v>
      </c>
    </row>
    <row r="20" spans="1:13">
      <c r="A20" s="224" t="s">
        <v>700</v>
      </c>
      <c r="B20" s="4">
        <v>0</v>
      </c>
      <c r="C20" s="1" t="s">
        <v>58</v>
      </c>
      <c r="D20" s="1" t="s">
        <v>58</v>
      </c>
      <c r="E20" s="1" t="s">
        <v>58</v>
      </c>
      <c r="F20" s="1" t="s">
        <v>58</v>
      </c>
      <c r="G20" s="176">
        <f>G11*G3</f>
        <v>35047.619999999995</v>
      </c>
    </row>
    <row r="21" spans="1:13" ht="17" thickBot="1">
      <c r="A21" s="181" t="s">
        <v>701</v>
      </c>
      <c r="B21" s="179">
        <v>0</v>
      </c>
      <c r="C21" s="182" t="s">
        <v>58</v>
      </c>
      <c r="D21" s="182" t="s">
        <v>58</v>
      </c>
      <c r="E21" s="182" t="s">
        <v>58</v>
      </c>
      <c r="F21" s="182" t="s">
        <v>58</v>
      </c>
      <c r="G21" s="180">
        <f>G12*G3</f>
        <v>36196.439999999995</v>
      </c>
    </row>
    <row r="22" spans="1:13" ht="17" thickBot="1">
      <c r="D22" s="1"/>
      <c r="E22" s="1"/>
      <c r="F22" s="1"/>
      <c r="G22" s="42"/>
    </row>
    <row r="23" spans="1:13">
      <c r="A23" s="238" t="s">
        <v>537</v>
      </c>
      <c r="B23" s="239" t="s">
        <v>97</v>
      </c>
      <c r="C23" s="239" t="s">
        <v>98</v>
      </c>
      <c r="D23" s="239" t="s">
        <v>99</v>
      </c>
      <c r="E23" s="239" t="s">
        <v>100</v>
      </c>
      <c r="F23" s="239" t="s">
        <v>101</v>
      </c>
      <c r="G23" s="240" t="s">
        <v>102</v>
      </c>
      <c r="I23" s="501" t="s">
        <v>713</v>
      </c>
      <c r="J23" s="502"/>
      <c r="K23" s="502"/>
      <c r="L23" s="502"/>
      <c r="M23" s="502"/>
    </row>
    <row r="24" spans="1:13" ht="17" thickBot="1">
      <c r="A24" s="198" t="s">
        <v>539</v>
      </c>
      <c r="B24" s="199">
        <v>0</v>
      </c>
      <c r="C24" s="199">
        <v>19.807200000000002</v>
      </c>
      <c r="D24" s="199">
        <v>330.12</v>
      </c>
      <c r="E24" s="199">
        <v>1650.6</v>
      </c>
      <c r="F24" s="199">
        <v>9068.82</v>
      </c>
      <c r="G24" s="200">
        <f>AVERAGE(G18:G21)</f>
        <v>33789.945</v>
      </c>
      <c r="I24" s="502"/>
      <c r="J24" s="502"/>
      <c r="K24" s="502"/>
      <c r="L24" s="502"/>
      <c r="M24" s="502"/>
    </row>
    <row r="25" spans="1:13">
      <c r="I25" s="502"/>
      <c r="J25" s="502"/>
      <c r="K25" s="502"/>
      <c r="L25" s="502"/>
      <c r="M25" s="502"/>
    </row>
  </sheetData>
  <mergeCells count="1">
    <mergeCell ref="I23:M25"/>
  </mergeCells>
  <pageMargins left="0.7" right="0.7" top="0.75" bottom="0.75" header="0.3" footer="0.3"/>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7B6ED-0383-4648-92CE-39ECFE0EB98A}">
  <dimension ref="A1:L14"/>
  <sheetViews>
    <sheetView zoomScale="150" workbookViewId="0">
      <selection activeCell="G9" sqref="G9"/>
    </sheetView>
  </sheetViews>
  <sheetFormatPr baseColWidth="10" defaultRowHeight="16"/>
  <cols>
    <col min="1" max="1" width="14" customWidth="1"/>
  </cols>
  <sheetData>
    <row r="1" spans="1:12">
      <c r="A1" s="172"/>
      <c r="B1" s="253" t="s">
        <v>97</v>
      </c>
      <c r="C1" s="253" t="s">
        <v>98</v>
      </c>
      <c r="D1" s="253" t="s">
        <v>99</v>
      </c>
      <c r="E1" s="253" t="s">
        <v>100</v>
      </c>
      <c r="F1" s="253" t="s">
        <v>101</v>
      </c>
      <c r="G1" s="253" t="s">
        <v>102</v>
      </c>
      <c r="H1" s="174" t="s">
        <v>199</v>
      </c>
    </row>
    <row r="2" spans="1:12">
      <c r="A2" s="175" t="s">
        <v>103</v>
      </c>
      <c r="B2" s="4">
        <v>0</v>
      </c>
      <c r="C2" s="4">
        <v>1.2E-2</v>
      </c>
      <c r="D2" s="4">
        <v>0.2</v>
      </c>
      <c r="E2" s="4">
        <v>1</v>
      </c>
      <c r="F2" s="4">
        <v>3.4</v>
      </c>
      <c r="G2" s="4">
        <v>8.1999999999999993</v>
      </c>
      <c r="H2" s="176" t="s">
        <v>1042</v>
      </c>
    </row>
    <row r="3" spans="1:12" ht="69" thickBot="1">
      <c r="A3" s="178" t="s">
        <v>110</v>
      </c>
      <c r="B3" s="179">
        <v>0</v>
      </c>
      <c r="C3" s="179">
        <f>C2*30</f>
        <v>0.36</v>
      </c>
      <c r="D3" s="179">
        <f t="shared" ref="D3:G3" si="0">D2*30</f>
        <v>6</v>
      </c>
      <c r="E3" s="179">
        <f t="shared" si="0"/>
        <v>30</v>
      </c>
      <c r="F3" s="179">
        <f t="shared" si="0"/>
        <v>102</v>
      </c>
      <c r="G3" s="179">
        <f t="shared" si="0"/>
        <v>245.99999999999997</v>
      </c>
      <c r="H3" s="180" t="s">
        <v>1042</v>
      </c>
    </row>
    <row r="4" spans="1:12" ht="17" thickBot="1"/>
    <row r="5" spans="1:12">
      <c r="A5" s="157" t="s">
        <v>1072</v>
      </c>
      <c r="B5" s="158"/>
      <c r="C5" s="158"/>
      <c r="D5" s="158"/>
      <c r="E5" s="158"/>
      <c r="F5" s="158"/>
      <c r="G5" s="158"/>
      <c r="H5" s="159"/>
    </row>
    <row r="6" spans="1:12" ht="52" thickBot="1">
      <c r="A6" s="244" t="s">
        <v>141</v>
      </c>
      <c r="B6" s="163">
        <v>10.14</v>
      </c>
      <c r="C6" s="248" t="s">
        <v>142</v>
      </c>
      <c r="D6" s="163">
        <v>10.49</v>
      </c>
      <c r="E6" s="248" t="s">
        <v>143</v>
      </c>
      <c r="F6" s="163">
        <v>10.77</v>
      </c>
      <c r="G6" s="248" t="s">
        <v>144</v>
      </c>
      <c r="H6" s="164">
        <v>11.54</v>
      </c>
    </row>
    <row r="7" spans="1:12">
      <c r="K7" s="27" t="s">
        <v>145</v>
      </c>
      <c r="L7" s="26"/>
    </row>
    <row r="8" spans="1:12">
      <c r="A8" s="132" t="s">
        <v>109</v>
      </c>
      <c r="B8" s="130" t="s">
        <v>97</v>
      </c>
      <c r="C8" s="130" t="s">
        <v>98</v>
      </c>
      <c r="D8" s="130" t="s">
        <v>99</v>
      </c>
      <c r="E8" s="130" t="s">
        <v>100</v>
      </c>
      <c r="F8" s="130" t="s">
        <v>101</v>
      </c>
      <c r="G8" s="131" t="s">
        <v>102</v>
      </c>
    </row>
    <row r="9" spans="1:12">
      <c r="A9" s="108" t="s">
        <v>59</v>
      </c>
      <c r="B9" s="109">
        <f>B3*B6</f>
        <v>0</v>
      </c>
      <c r="C9" s="109">
        <f>C3*B6</f>
        <v>3.6503999999999999</v>
      </c>
      <c r="D9" s="109">
        <f>D3*B6</f>
        <v>60.84</v>
      </c>
      <c r="E9" s="109">
        <f>E3*B6</f>
        <v>304.20000000000005</v>
      </c>
      <c r="F9" s="109">
        <f>F3*B6</f>
        <v>1034.28</v>
      </c>
      <c r="G9" s="110">
        <f>G3*B6</f>
        <v>2494.44</v>
      </c>
    </row>
    <row r="10" spans="1:12">
      <c r="A10" s="4"/>
      <c r="B10" s="4"/>
      <c r="C10" s="4"/>
      <c r="D10" s="4"/>
      <c r="E10" s="4"/>
      <c r="F10" s="4"/>
      <c r="G10" s="4"/>
    </row>
    <row r="14" spans="1:12">
      <c r="A14" s="6"/>
    </row>
  </sheetData>
  <pageMargins left="0.7" right="0.7" top="0.75" bottom="0.75" header="0.3" footer="0.3"/>
  <pageSetup paperSize="9"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5F949-4C64-DA44-96AB-32D02C90EF45}">
  <dimension ref="A1:M23"/>
  <sheetViews>
    <sheetView topLeftCell="A2" zoomScale="173" workbookViewId="0">
      <selection activeCell="E24" sqref="E22:E24"/>
    </sheetView>
  </sheetViews>
  <sheetFormatPr baseColWidth="10" defaultRowHeight="16"/>
  <cols>
    <col min="1" max="1" width="23.83203125" customWidth="1"/>
    <col min="3" max="3" width="12.6640625" bestFit="1" customWidth="1"/>
    <col min="7" max="7" width="11.33203125" customWidth="1"/>
  </cols>
  <sheetData>
    <row r="1" spans="1:13">
      <c r="A1" s="172"/>
      <c r="B1" s="253" t="s">
        <v>97</v>
      </c>
      <c r="C1" s="253" t="s">
        <v>98</v>
      </c>
      <c r="D1" s="253" t="s">
        <v>99</v>
      </c>
      <c r="E1" s="253" t="s">
        <v>100</v>
      </c>
      <c r="F1" s="253" t="s">
        <v>101</v>
      </c>
      <c r="G1" s="253" t="s">
        <v>102</v>
      </c>
      <c r="H1" s="174" t="s">
        <v>1041</v>
      </c>
    </row>
    <row r="2" spans="1:13">
      <c r="A2" s="175" t="s">
        <v>103</v>
      </c>
      <c r="B2" s="4">
        <v>0</v>
      </c>
      <c r="C2" s="4">
        <v>1.2E-2</v>
      </c>
      <c r="D2" s="4">
        <v>0.2</v>
      </c>
      <c r="E2" s="4">
        <v>1</v>
      </c>
      <c r="F2" s="4">
        <v>3.4</v>
      </c>
      <c r="G2" s="4">
        <v>8.1999999999999993</v>
      </c>
      <c r="H2" s="176" t="s">
        <v>1042</v>
      </c>
    </row>
    <row r="3" spans="1:13" ht="35" thickBot="1">
      <c r="A3" s="178" t="s">
        <v>110</v>
      </c>
      <c r="B3" s="179">
        <v>0</v>
      </c>
      <c r="C3" s="179">
        <f>C2*30</f>
        <v>0.36</v>
      </c>
      <c r="D3" s="179">
        <f t="shared" ref="D3:G3" si="0">D2*30</f>
        <v>6</v>
      </c>
      <c r="E3" s="179">
        <f t="shared" si="0"/>
        <v>30</v>
      </c>
      <c r="F3" s="179">
        <f t="shared" si="0"/>
        <v>102</v>
      </c>
      <c r="G3" s="179">
        <f t="shared" si="0"/>
        <v>245.99999999999997</v>
      </c>
      <c r="H3" s="180" t="s">
        <v>1042</v>
      </c>
    </row>
    <row r="4" spans="1:13" ht="17" thickBot="1"/>
    <row r="5" spans="1:13">
      <c r="A5" s="503" t="s">
        <v>146</v>
      </c>
      <c r="B5" s="504"/>
      <c r="C5" s="165"/>
      <c r="D5" s="165"/>
      <c r="E5" s="165"/>
      <c r="F5" s="165"/>
      <c r="G5" s="165"/>
      <c r="H5" s="165"/>
    </row>
    <row r="6" spans="1:13" ht="17">
      <c r="A6" s="243" t="s">
        <v>151</v>
      </c>
      <c r="B6" s="161">
        <f>67.6495/100</f>
        <v>0.67649500000000007</v>
      </c>
      <c r="C6" s="11"/>
      <c r="E6" s="11"/>
      <c r="G6" s="11"/>
    </row>
    <row r="7" spans="1:13" ht="17">
      <c r="A7" s="243" t="s">
        <v>720</v>
      </c>
      <c r="B7" s="161">
        <f>153.2683/100</f>
        <v>1.532683</v>
      </c>
      <c r="C7" s="11"/>
      <c r="E7" s="11"/>
      <c r="G7" s="11"/>
    </row>
    <row r="8" spans="1:13" ht="18" thickBot="1">
      <c r="A8" s="244" t="s">
        <v>721</v>
      </c>
      <c r="B8" s="164">
        <f>202.519/100</f>
        <v>2.0251900000000003</v>
      </c>
      <c r="C8" s="11"/>
      <c r="E8" s="11"/>
      <c r="G8" s="11"/>
    </row>
    <row r="9" spans="1:13" ht="17" thickBot="1">
      <c r="A9" s="11"/>
      <c r="C9" s="11"/>
      <c r="E9" s="11"/>
      <c r="G9" s="11"/>
    </row>
    <row r="10" spans="1:13">
      <c r="A10" s="485" t="s">
        <v>147</v>
      </c>
      <c r="B10" s="486"/>
      <c r="C10" s="486"/>
      <c r="D10" s="487"/>
    </row>
    <row r="11" spans="1:13" ht="52" thickBot="1">
      <c r="A11" s="244" t="s">
        <v>148</v>
      </c>
      <c r="B11" s="163">
        <f>213/100</f>
        <v>2.13</v>
      </c>
      <c r="C11" s="248" t="s">
        <v>722</v>
      </c>
      <c r="D11" s="249">
        <f>1073.0886/100</f>
        <v>10.730886</v>
      </c>
    </row>
    <row r="12" spans="1:13" ht="17" thickBot="1">
      <c r="A12" s="245" t="s">
        <v>94</v>
      </c>
      <c r="B12" s="246"/>
      <c r="C12" s="246"/>
      <c r="D12" s="247">
        <v>1E-4</v>
      </c>
      <c r="F12" s="29" t="s">
        <v>152</v>
      </c>
      <c r="G12" s="30"/>
      <c r="H12" s="31">
        <v>2.0000000000000001E-4</v>
      </c>
      <c r="J12" s="250" t="s">
        <v>149</v>
      </c>
    </row>
    <row r="14" spans="1:13">
      <c r="A14" s="95" t="s">
        <v>109</v>
      </c>
      <c r="B14" s="96" t="s">
        <v>97</v>
      </c>
      <c r="C14" s="96" t="s">
        <v>98</v>
      </c>
      <c r="D14" s="96" t="s">
        <v>99</v>
      </c>
      <c r="E14" s="96" t="s">
        <v>100</v>
      </c>
      <c r="F14" s="96" t="s">
        <v>101</v>
      </c>
      <c r="G14" s="97" t="s">
        <v>102</v>
      </c>
    </row>
    <row r="15" spans="1:13">
      <c r="A15" s="19" t="s">
        <v>150</v>
      </c>
      <c r="B15">
        <v>0</v>
      </c>
      <c r="C15">
        <f>C3*B6+B11+(D12+H12)*C3</f>
        <v>2.3736462</v>
      </c>
      <c r="D15">
        <f>D3*$B6+$B11+($D12+$H12)*D3</f>
        <v>6.1907700000000006</v>
      </c>
      <c r="E15">
        <f>E3*$B6+$B11+($D12+$H12)*E3</f>
        <v>22.433850000000003</v>
      </c>
      <c r="G15" s="20"/>
    </row>
    <row r="16" spans="1:13" ht="16" customHeight="1">
      <c r="A16" s="22" t="s">
        <v>60</v>
      </c>
      <c r="B16" s="36"/>
      <c r="C16" s="36"/>
      <c r="D16" s="36"/>
      <c r="E16" s="36"/>
      <c r="F16" s="36">
        <f>F3*B7+D11+(D12+H12)*F3</f>
        <v>167.09515199999998</v>
      </c>
      <c r="G16" s="24">
        <f>G3*B7+D11+(D12+H12)*G3</f>
        <v>387.84470399999998</v>
      </c>
      <c r="I16" s="451" t="s">
        <v>576</v>
      </c>
      <c r="J16" s="451"/>
      <c r="K16" s="451"/>
      <c r="L16" s="451"/>
      <c r="M16" s="451"/>
    </row>
    <row r="17" spans="1:13">
      <c r="I17" s="451"/>
      <c r="J17" s="451"/>
      <c r="K17" s="451"/>
      <c r="L17" s="451"/>
      <c r="M17" s="451"/>
    </row>
    <row r="18" spans="1:13">
      <c r="A18" s="129" t="s">
        <v>535</v>
      </c>
      <c r="B18" s="130" t="s">
        <v>97</v>
      </c>
      <c r="C18" s="130" t="s">
        <v>98</v>
      </c>
      <c r="D18" s="130" t="s">
        <v>99</v>
      </c>
      <c r="E18" s="130" t="s">
        <v>100</v>
      </c>
      <c r="F18" s="130" t="s">
        <v>101</v>
      </c>
      <c r="G18" s="131" t="s">
        <v>102</v>
      </c>
      <c r="I18" s="451"/>
      <c r="J18" s="451"/>
      <c r="K18" s="451"/>
      <c r="L18" s="451"/>
      <c r="M18" s="451"/>
    </row>
    <row r="19" spans="1:13">
      <c r="A19" s="108" t="s">
        <v>59</v>
      </c>
      <c r="B19" s="109">
        <v>0</v>
      </c>
      <c r="C19" s="109">
        <v>2.3736462</v>
      </c>
      <c r="D19" s="109">
        <v>6.1907700000000006</v>
      </c>
      <c r="E19" s="109">
        <v>22.43385</v>
      </c>
      <c r="F19" s="109">
        <v>167.09515200000001</v>
      </c>
      <c r="G19" s="110">
        <v>387.84470399999998</v>
      </c>
      <c r="I19" s="451"/>
      <c r="J19" s="451"/>
      <c r="K19" s="451"/>
      <c r="L19" s="451"/>
      <c r="M19" s="451"/>
    </row>
    <row r="20" spans="1:13">
      <c r="I20" s="451"/>
      <c r="J20" s="451"/>
      <c r="K20" s="451"/>
      <c r="L20" s="451"/>
      <c r="M20" s="451"/>
    </row>
    <row r="21" spans="1:13">
      <c r="I21" s="451"/>
      <c r="J21" s="451"/>
      <c r="K21" s="451"/>
      <c r="L21" s="451"/>
      <c r="M21" s="451"/>
    </row>
    <row r="22" spans="1:13">
      <c r="I22" s="451"/>
      <c r="J22" s="451"/>
      <c r="K22" s="451"/>
      <c r="L22" s="451"/>
      <c r="M22" s="451"/>
    </row>
    <row r="23" spans="1:13">
      <c r="A23" s="7"/>
    </row>
  </sheetData>
  <mergeCells count="3">
    <mergeCell ref="A10:D10"/>
    <mergeCell ref="I16:M22"/>
    <mergeCell ref="A5:B5"/>
  </mergeCells>
  <pageMargins left="0.7" right="0.7" top="0.75" bottom="0.75" header="0.3" footer="0.3"/>
  <pageSetup paperSize="9"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6F4DC-DFDC-964A-88A6-3BA8DC9E502F}">
  <dimension ref="A1:H26"/>
  <sheetViews>
    <sheetView topLeftCell="A3" zoomScale="182" workbookViewId="0">
      <selection activeCell="D25" sqref="D25"/>
    </sheetView>
  </sheetViews>
  <sheetFormatPr baseColWidth="10" defaultRowHeight="16"/>
  <cols>
    <col min="1" max="1" width="22.33203125" style="1" customWidth="1"/>
    <col min="3" max="3" width="16.5" customWidth="1"/>
    <col min="4" max="4" width="20.33203125" style="1" customWidth="1"/>
  </cols>
  <sheetData>
    <row r="1" spans="1:8">
      <c r="A1" s="172"/>
      <c r="B1" s="173" t="s">
        <v>97</v>
      </c>
      <c r="C1" s="173" t="s">
        <v>98</v>
      </c>
      <c r="D1" s="173" t="s">
        <v>99</v>
      </c>
      <c r="E1" s="173" t="s">
        <v>100</v>
      </c>
      <c r="F1" s="173" t="s">
        <v>101</v>
      </c>
      <c r="G1" s="173" t="s">
        <v>102</v>
      </c>
      <c r="H1" s="174" t="s">
        <v>199</v>
      </c>
    </row>
    <row r="2" spans="1:8">
      <c r="A2" s="175" t="s">
        <v>103</v>
      </c>
      <c r="B2" s="4">
        <v>0</v>
      </c>
      <c r="C2" s="4">
        <v>1.2E-2</v>
      </c>
      <c r="D2" s="4">
        <v>0.2</v>
      </c>
      <c r="E2" s="4">
        <v>1</v>
      </c>
      <c r="F2" s="4">
        <v>3.4</v>
      </c>
      <c r="G2" s="4">
        <v>8.1999999999999993</v>
      </c>
      <c r="H2" s="176" t="s">
        <v>200</v>
      </c>
    </row>
    <row r="3" spans="1:8" ht="34">
      <c r="A3" s="177" t="s">
        <v>110</v>
      </c>
      <c r="B3" s="4">
        <v>0</v>
      </c>
      <c r="C3" s="4">
        <f>C2*30</f>
        <v>0.36</v>
      </c>
      <c r="D3" s="4">
        <f t="shared" ref="D3:F3" si="0">D2*30</f>
        <v>6</v>
      </c>
      <c r="E3" s="4">
        <f t="shared" si="0"/>
        <v>30</v>
      </c>
      <c r="F3" s="4">
        <f t="shared" si="0"/>
        <v>102</v>
      </c>
      <c r="G3" s="4">
        <f>G2*30</f>
        <v>245.99999999999997</v>
      </c>
      <c r="H3" s="176" t="s">
        <v>200</v>
      </c>
    </row>
    <row r="4" spans="1:8" ht="17">
      <c r="A4" s="177" t="s">
        <v>297</v>
      </c>
      <c r="B4" s="4">
        <v>0</v>
      </c>
      <c r="C4" s="4" t="s">
        <v>304</v>
      </c>
      <c r="D4" s="4" t="s">
        <v>303</v>
      </c>
      <c r="E4" s="4" t="s">
        <v>302</v>
      </c>
      <c r="F4" s="4" t="s">
        <v>301</v>
      </c>
      <c r="G4" s="4" t="s">
        <v>1032</v>
      </c>
      <c r="H4" s="176" t="s">
        <v>201</v>
      </c>
    </row>
    <row r="5" spans="1:8" ht="18" thickBot="1">
      <c r="A5" s="177" t="s">
        <v>1026</v>
      </c>
      <c r="B5" s="4">
        <v>0</v>
      </c>
      <c r="C5" s="1">
        <v>5.2631578947368397E-2</v>
      </c>
      <c r="D5" s="4">
        <v>0.2105263157894737</v>
      </c>
      <c r="E5" s="179">
        <v>0.8421052631578948</v>
      </c>
      <c r="F5" s="179">
        <v>2.1052631578947367</v>
      </c>
      <c r="G5" s="179">
        <f>14/0.95</f>
        <v>14.736842105263159</v>
      </c>
      <c r="H5" s="180" t="s">
        <v>300</v>
      </c>
    </row>
    <row r="6" spans="1:8" ht="17" thickBot="1">
      <c r="B6" s="1"/>
      <c r="C6" s="1"/>
      <c r="E6" s="1"/>
      <c r="F6" s="1"/>
      <c r="G6" s="1"/>
      <c r="H6" s="4"/>
    </row>
    <row r="7" spans="1:8">
      <c r="A7" s="464" t="s">
        <v>1126</v>
      </c>
      <c r="B7" s="448"/>
      <c r="C7" s="448"/>
      <c r="D7" s="186"/>
      <c r="E7" s="1"/>
      <c r="F7" s="1"/>
      <c r="G7" s="1"/>
      <c r="H7" s="4"/>
    </row>
    <row r="8" spans="1:8">
      <c r="A8" s="224"/>
      <c r="B8" s="456" t="s">
        <v>1119</v>
      </c>
      <c r="C8" s="456"/>
      <c r="D8" s="252" t="s">
        <v>1123</v>
      </c>
      <c r="E8" s="1"/>
      <c r="F8" s="1"/>
      <c r="G8" s="1"/>
      <c r="H8" s="4"/>
    </row>
    <row r="9" spans="1:8">
      <c r="A9" s="224" t="s">
        <v>1121</v>
      </c>
      <c r="B9" s="1">
        <v>387</v>
      </c>
      <c r="C9" t="s">
        <v>341</v>
      </c>
      <c r="D9" s="252" t="s">
        <v>1124</v>
      </c>
      <c r="E9" s="1"/>
      <c r="F9" s="1"/>
      <c r="G9" s="1"/>
      <c r="H9" s="4"/>
    </row>
    <row r="10" spans="1:8" ht="17" thickBot="1">
      <c r="A10" s="224" t="s">
        <v>1122</v>
      </c>
      <c r="B10" s="1">
        <v>453</v>
      </c>
      <c r="C10" t="s">
        <v>341</v>
      </c>
      <c r="D10" s="252" t="s">
        <v>1125</v>
      </c>
      <c r="E10" s="1"/>
      <c r="F10" s="1"/>
      <c r="G10" s="1"/>
      <c r="H10" s="4"/>
    </row>
    <row r="11" spans="1:8">
      <c r="A11" s="464" t="s">
        <v>1118</v>
      </c>
      <c r="B11" s="448"/>
      <c r="C11" s="448"/>
      <c r="D11" s="464" t="s">
        <v>1102</v>
      </c>
      <c r="E11" s="448"/>
      <c r="F11" s="449"/>
    </row>
    <row r="12" spans="1:8">
      <c r="A12" s="224"/>
      <c r="B12" s="495" t="s">
        <v>1120</v>
      </c>
      <c r="C12" s="495"/>
      <c r="D12" s="224" t="s">
        <v>725</v>
      </c>
      <c r="E12">
        <v>10000</v>
      </c>
      <c r="F12" s="161" t="s">
        <v>1117</v>
      </c>
    </row>
    <row r="13" spans="1:8">
      <c r="A13" s="224" t="s">
        <v>340</v>
      </c>
      <c r="B13">
        <v>107</v>
      </c>
      <c r="C13" t="s">
        <v>341</v>
      </c>
      <c r="D13" s="224" t="s">
        <v>726</v>
      </c>
      <c r="E13">
        <v>20000</v>
      </c>
      <c r="F13" s="161" t="s">
        <v>1117</v>
      </c>
      <c r="G13" t="s">
        <v>344</v>
      </c>
    </row>
    <row r="14" spans="1:8">
      <c r="A14" s="224" t="s">
        <v>342</v>
      </c>
      <c r="B14">
        <v>387</v>
      </c>
      <c r="C14" t="s">
        <v>341</v>
      </c>
      <c r="D14" s="224"/>
      <c r="F14" s="161"/>
    </row>
    <row r="15" spans="1:8" ht="17" thickBot="1">
      <c r="A15" s="181" t="s">
        <v>343</v>
      </c>
      <c r="B15" s="163">
        <v>453</v>
      </c>
      <c r="C15" s="163" t="s">
        <v>341</v>
      </c>
      <c r="D15" s="181"/>
      <c r="E15" s="163"/>
      <c r="F15" s="164"/>
    </row>
    <row r="16" spans="1:8" ht="18" customHeight="1" thickBot="1"/>
    <row r="17" spans="1:7" ht="18" customHeight="1">
      <c r="A17" s="441" t="s">
        <v>109</v>
      </c>
      <c r="B17" s="347" t="s">
        <v>97</v>
      </c>
      <c r="C17" s="347" t="s">
        <v>98</v>
      </c>
      <c r="D17" s="347" t="s">
        <v>99</v>
      </c>
      <c r="E17" s="347" t="s">
        <v>100</v>
      </c>
      <c r="F17" s="347" t="s">
        <v>101</v>
      </c>
      <c r="G17" s="440" t="s">
        <v>102</v>
      </c>
    </row>
    <row r="18" spans="1:7" ht="18" customHeight="1">
      <c r="A18" s="275" t="s">
        <v>1127</v>
      </c>
      <c r="B18" s="25">
        <v>0</v>
      </c>
      <c r="C18" s="25">
        <f>$B9*C3*1.18</f>
        <v>164.39759999999998</v>
      </c>
      <c r="D18" s="68">
        <f>$B9*D3*1.18</f>
        <v>2739.96</v>
      </c>
      <c r="E18" s="25">
        <f>$B9*E3*1.18</f>
        <v>13699.8</v>
      </c>
      <c r="F18" s="25">
        <f>$B9*F3*1.18</f>
        <v>46579.32</v>
      </c>
      <c r="G18" s="285">
        <f>B10*G3*1.18</f>
        <v>131496.83999999997</v>
      </c>
    </row>
    <row r="19" spans="1:7" ht="18" customHeight="1" thickBot="1">
      <c r="A19" s="276" t="s">
        <v>1128</v>
      </c>
      <c r="B19" s="287">
        <v>0</v>
      </c>
      <c r="C19" s="287">
        <f>($B13*C3+$E12)*1.18</f>
        <v>11845.453600000001</v>
      </c>
      <c r="D19" s="277">
        <f t="shared" ref="D19" si="1">($B13*D3+$E12)*1.18</f>
        <v>12557.56</v>
      </c>
      <c r="E19" s="287">
        <f>($B13*E3+$E12)*1.18</f>
        <v>15587.8</v>
      </c>
      <c r="F19" s="287">
        <f>(($B13*40)+$B14*(102-40)+$E12)*1.18</f>
        <v>45163.32</v>
      </c>
      <c r="G19" s="288">
        <f>(($B13*40)+$B14*(246-40)+$E12)*1.18</f>
        <v>110922.36</v>
      </c>
    </row>
    <row r="20" spans="1:7" ht="18" customHeight="1" thickBot="1"/>
    <row r="21" spans="1:7">
      <c r="A21" s="387" t="s">
        <v>109</v>
      </c>
      <c r="B21" s="335" t="s">
        <v>97</v>
      </c>
      <c r="C21" s="335" t="s">
        <v>98</v>
      </c>
      <c r="D21" s="335" t="s">
        <v>99</v>
      </c>
      <c r="E21" s="335" t="s">
        <v>100</v>
      </c>
      <c r="F21" s="335" t="s">
        <v>101</v>
      </c>
      <c r="G21" s="336" t="s">
        <v>102</v>
      </c>
    </row>
    <row r="22" spans="1:7" ht="17" thickBot="1">
      <c r="A22" s="345" t="s">
        <v>728</v>
      </c>
      <c r="B22" s="388">
        <v>0</v>
      </c>
      <c r="C22" s="388">
        <f>AVERAGE(C18:C19)</f>
        <v>6004.9256000000005</v>
      </c>
      <c r="D22" s="259">
        <f t="shared" ref="D22:G22" si="2">AVERAGE(D18:D19)</f>
        <v>7648.76</v>
      </c>
      <c r="E22" s="388">
        <f t="shared" si="2"/>
        <v>14643.8</v>
      </c>
      <c r="F22" s="388">
        <f>AVERAGE(F18:F19)</f>
        <v>45871.32</v>
      </c>
      <c r="G22" s="389">
        <f t="shared" si="2"/>
        <v>121209.59999999998</v>
      </c>
    </row>
    <row r="25" spans="1:7">
      <c r="A25" s="3"/>
      <c r="B25" s="3"/>
      <c r="C25" s="3"/>
      <c r="D25" s="3"/>
      <c r="E25" s="3"/>
      <c r="F25" s="3"/>
      <c r="G25" s="3"/>
    </row>
    <row r="26" spans="1:7">
      <c r="A26" s="4"/>
      <c r="B26" s="4"/>
      <c r="C26" s="4"/>
      <c r="D26" s="4"/>
      <c r="E26" s="4"/>
      <c r="F26" s="4"/>
      <c r="G26" s="4"/>
    </row>
  </sheetData>
  <mergeCells count="5">
    <mergeCell ref="A11:C11"/>
    <mergeCell ref="B12:C12"/>
    <mergeCell ref="D11:F11"/>
    <mergeCell ref="A7:C7"/>
    <mergeCell ref="B8:C8"/>
  </mergeCells>
  <pageMargins left="0.7" right="0.7" top="0.75" bottom="0.75" header="0.3" footer="0.3"/>
  <pageSetup paperSize="9"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14C00-B3CC-934C-BA98-DB30B87B290A}">
  <dimension ref="A1:H11"/>
  <sheetViews>
    <sheetView zoomScale="186" workbookViewId="0">
      <selection activeCell="E11" sqref="E11"/>
    </sheetView>
  </sheetViews>
  <sheetFormatPr baseColWidth="10" defaultRowHeight="16"/>
  <cols>
    <col min="1" max="1" width="14.6640625" customWidth="1"/>
  </cols>
  <sheetData>
    <row r="1" spans="1:8">
      <c r="A1" s="172"/>
      <c r="B1" s="253" t="s">
        <v>97</v>
      </c>
      <c r="C1" s="253" t="s">
        <v>98</v>
      </c>
      <c r="D1" s="253" t="s">
        <v>99</v>
      </c>
      <c r="E1" s="253" t="s">
        <v>100</v>
      </c>
      <c r="F1" s="253" t="s">
        <v>101</v>
      </c>
      <c r="G1" s="253" t="s">
        <v>102</v>
      </c>
      <c r="H1" s="174" t="s">
        <v>199</v>
      </c>
    </row>
    <row r="2" spans="1:8">
      <c r="A2" s="175" t="s">
        <v>103</v>
      </c>
      <c r="B2" s="4">
        <v>0</v>
      </c>
      <c r="C2" s="4">
        <v>1.2E-2</v>
      </c>
      <c r="D2" s="4">
        <v>0.2</v>
      </c>
      <c r="E2" s="4">
        <v>1</v>
      </c>
      <c r="F2" s="4">
        <v>3.4</v>
      </c>
      <c r="G2" s="4">
        <v>8.1999999999999993</v>
      </c>
      <c r="H2" s="176" t="s">
        <v>200</v>
      </c>
    </row>
    <row r="3" spans="1:8" ht="69" thickBot="1">
      <c r="A3" s="178" t="s">
        <v>110</v>
      </c>
      <c r="B3" s="179">
        <v>0</v>
      </c>
      <c r="C3" s="179">
        <f>C2*30</f>
        <v>0.36</v>
      </c>
      <c r="D3" s="179">
        <f t="shared" ref="D3:G3" si="0">D2*30</f>
        <v>6</v>
      </c>
      <c r="E3" s="179">
        <f t="shared" si="0"/>
        <v>30</v>
      </c>
      <c r="F3" s="179">
        <f t="shared" si="0"/>
        <v>102</v>
      </c>
      <c r="G3" s="179">
        <f t="shared" si="0"/>
        <v>245.99999999999997</v>
      </c>
      <c r="H3" s="180" t="s">
        <v>200</v>
      </c>
    </row>
    <row r="5" spans="1:8">
      <c r="A5" s="505" t="s">
        <v>78</v>
      </c>
      <c r="B5" s="506"/>
      <c r="C5" s="507"/>
    </row>
    <row r="6" spans="1:8">
      <c r="A6" s="19" t="s">
        <v>315</v>
      </c>
      <c r="B6">
        <v>81</v>
      </c>
      <c r="C6" s="20" t="s">
        <v>372</v>
      </c>
      <c r="G6" t="s">
        <v>348</v>
      </c>
    </row>
    <row r="7" spans="1:8">
      <c r="A7" s="19" t="s">
        <v>345</v>
      </c>
      <c r="B7">
        <v>161</v>
      </c>
      <c r="C7" s="20" t="s">
        <v>372</v>
      </c>
    </row>
    <row r="8" spans="1:8">
      <c r="A8" s="22" t="s">
        <v>346</v>
      </c>
      <c r="B8" s="36">
        <v>322</v>
      </c>
      <c r="C8" s="24" t="s">
        <v>372</v>
      </c>
    </row>
    <row r="10" spans="1:8">
      <c r="A10" s="129" t="s">
        <v>109</v>
      </c>
      <c r="B10" s="136" t="s">
        <v>97</v>
      </c>
      <c r="C10" s="136" t="s">
        <v>98</v>
      </c>
      <c r="D10" s="136" t="s">
        <v>99</v>
      </c>
      <c r="E10" s="136" t="s">
        <v>100</v>
      </c>
      <c r="F10" s="136" t="s">
        <v>101</v>
      </c>
      <c r="G10" s="137" t="s">
        <v>102</v>
      </c>
    </row>
    <row r="11" spans="1:8">
      <c r="A11" s="108" t="s">
        <v>59</v>
      </c>
      <c r="B11" s="109">
        <v>0</v>
      </c>
      <c r="C11" s="109">
        <f>B6*C3*1.15</f>
        <v>33.533999999999999</v>
      </c>
      <c r="D11" s="109">
        <f>B6*D3*1.15</f>
        <v>558.9</v>
      </c>
      <c r="E11" s="109">
        <f>E3*B6*1.15</f>
        <v>2794.5</v>
      </c>
      <c r="F11" s="109">
        <f>(50*B6+(F3-50)*B7)*1.15</f>
        <v>14285.3</v>
      </c>
      <c r="G11" s="110">
        <f>(50*B6+(200-50)*B7+(G3-200)*B8)*1.15</f>
        <v>49463.799999999988</v>
      </c>
    </row>
  </sheetData>
  <mergeCells count="1">
    <mergeCell ref="A5:C5"/>
  </mergeCells>
  <pageMargins left="0.7" right="0.7" top="0.75" bottom="0.75" header="0.3" footer="0.3"/>
  <pageSetup paperSize="9"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DAC7C-6DC1-9F44-85A3-E6DAFFF50A0D}">
  <dimension ref="A1:Q35"/>
  <sheetViews>
    <sheetView topLeftCell="A3" zoomScale="125" workbookViewId="0">
      <selection activeCell="G31" sqref="G31"/>
    </sheetView>
  </sheetViews>
  <sheetFormatPr baseColWidth="10" defaultRowHeight="16"/>
  <cols>
    <col min="1" max="1" width="22.83203125" style="4" customWidth="1"/>
    <col min="2" max="3" width="10.83203125" style="4"/>
    <col min="4" max="4" width="15.5" style="4" customWidth="1"/>
    <col min="5" max="6" width="10.83203125" style="4"/>
    <col min="7" max="7" width="13.6640625" style="4" customWidth="1"/>
    <col min="8" max="8" width="15" style="4" customWidth="1"/>
    <col min="10" max="10" width="14.6640625" customWidth="1"/>
  </cols>
  <sheetData>
    <row r="1" spans="1:17">
      <c r="A1" s="172"/>
      <c r="B1" s="3" t="s">
        <v>97</v>
      </c>
      <c r="C1" s="3" t="s">
        <v>98</v>
      </c>
      <c r="D1" s="3" t="s">
        <v>99</v>
      </c>
      <c r="E1" s="3" t="s">
        <v>100</v>
      </c>
      <c r="F1" s="3" t="s">
        <v>101</v>
      </c>
      <c r="G1" s="3" t="s">
        <v>102</v>
      </c>
      <c r="H1" s="174" t="s">
        <v>199</v>
      </c>
    </row>
    <row r="2" spans="1:17">
      <c r="A2" s="175" t="s">
        <v>103</v>
      </c>
      <c r="B2" s="4">
        <v>0</v>
      </c>
      <c r="C2" s="4">
        <v>1.2E-2</v>
      </c>
      <c r="D2" s="4">
        <v>0.2</v>
      </c>
      <c r="E2" s="4">
        <v>1</v>
      </c>
      <c r="F2" s="4">
        <v>3.4</v>
      </c>
      <c r="G2" s="4">
        <v>8.1999999999999993</v>
      </c>
      <c r="H2" s="176" t="s">
        <v>200</v>
      </c>
    </row>
    <row r="3" spans="1:17" ht="35" thickBot="1">
      <c r="A3" s="178" t="s">
        <v>110</v>
      </c>
      <c r="B3" s="179">
        <v>0</v>
      </c>
      <c r="C3" s="179">
        <f>C2*30</f>
        <v>0.36</v>
      </c>
      <c r="D3" s="179">
        <f t="shared" ref="D3:G3" si="0">D2*30</f>
        <v>6</v>
      </c>
      <c r="E3" s="179">
        <f t="shared" si="0"/>
        <v>30</v>
      </c>
      <c r="F3" s="179">
        <f>F2*30</f>
        <v>102</v>
      </c>
      <c r="G3" s="179">
        <f t="shared" si="0"/>
        <v>245.99999999999997</v>
      </c>
      <c r="H3" s="180" t="s">
        <v>200</v>
      </c>
    </row>
    <row r="4" spans="1:17" ht="17" thickBot="1"/>
    <row r="5" spans="1:17" ht="51">
      <c r="A5" s="172" t="s">
        <v>863</v>
      </c>
      <c r="B5" s="189" t="s">
        <v>864</v>
      </c>
      <c r="C5" s="190" t="s">
        <v>865</v>
      </c>
    </row>
    <row r="6" spans="1:17">
      <c r="A6" s="175" t="s">
        <v>866</v>
      </c>
      <c r="B6" s="4">
        <v>12.23</v>
      </c>
      <c r="C6" s="176" t="s">
        <v>58</v>
      </c>
    </row>
    <row r="7" spans="1:17">
      <c r="A7" s="175" t="s">
        <v>867</v>
      </c>
      <c r="B7" s="4">
        <v>16.54</v>
      </c>
      <c r="C7" s="176" t="s">
        <v>58</v>
      </c>
    </row>
    <row r="8" spans="1:17" ht="17" thickBot="1">
      <c r="A8" s="187" t="s">
        <v>868</v>
      </c>
      <c r="B8" s="179">
        <v>19.079999999999998</v>
      </c>
      <c r="C8" s="180" t="s">
        <v>58</v>
      </c>
    </row>
    <row r="9" spans="1:17" ht="17" thickBot="1"/>
    <row r="10" spans="1:17" ht="34">
      <c r="A10" s="284" t="s">
        <v>869</v>
      </c>
      <c r="B10" s="228">
        <v>5.19</v>
      </c>
      <c r="C10" s="508" t="s">
        <v>870</v>
      </c>
      <c r="D10" s="508"/>
      <c r="E10" s="508"/>
      <c r="F10" s="508"/>
      <c r="G10" s="508"/>
      <c r="H10" s="508"/>
      <c r="I10" s="508"/>
      <c r="J10" s="508"/>
      <c r="K10" s="508"/>
      <c r="L10" s="508"/>
      <c r="M10" s="508"/>
      <c r="N10" s="508"/>
      <c r="O10" s="508"/>
      <c r="P10" s="509"/>
      <c r="Q10" s="2"/>
    </row>
    <row r="11" spans="1:17" ht="51">
      <c r="A11" s="232" t="s">
        <v>884</v>
      </c>
      <c r="B11" s="60">
        <v>1.149</v>
      </c>
      <c r="C11" s="514" t="s">
        <v>882</v>
      </c>
      <c r="D11" s="515"/>
      <c r="E11" s="515"/>
      <c r="F11" s="515"/>
      <c r="G11" s="515"/>
      <c r="H11" s="515"/>
      <c r="I11" s="515"/>
      <c r="J11" s="515"/>
      <c r="K11" s="515"/>
      <c r="L11" s="515"/>
      <c r="M11" s="515"/>
      <c r="N11" s="515"/>
      <c r="O11" s="515"/>
      <c r="P11" s="516"/>
    </row>
    <row r="12" spans="1:17" ht="35" customHeight="1">
      <c r="A12" s="232" t="s">
        <v>871</v>
      </c>
      <c r="B12" s="60">
        <v>0.09</v>
      </c>
      <c r="C12" s="514" t="s">
        <v>880</v>
      </c>
      <c r="D12" s="515"/>
      <c r="E12" s="515"/>
      <c r="F12" s="515"/>
      <c r="G12" s="515"/>
      <c r="H12" s="515"/>
      <c r="I12" s="515"/>
      <c r="J12" s="515"/>
      <c r="K12" s="515"/>
      <c r="L12" s="515"/>
      <c r="M12" s="515"/>
      <c r="N12" s="515"/>
      <c r="O12" s="515"/>
      <c r="P12" s="516"/>
    </row>
    <row r="13" spans="1:17">
      <c r="A13" s="230" t="s">
        <v>872</v>
      </c>
      <c r="B13" s="60">
        <v>0.05</v>
      </c>
      <c r="C13" s="510" t="s">
        <v>873</v>
      </c>
      <c r="D13" s="510"/>
      <c r="E13" s="510"/>
      <c r="F13" s="510"/>
      <c r="G13" s="510"/>
      <c r="H13" s="510"/>
      <c r="I13" s="510"/>
      <c r="J13" s="510"/>
      <c r="K13" s="510"/>
      <c r="L13" s="510"/>
      <c r="M13" s="510"/>
      <c r="N13" s="510"/>
      <c r="O13" s="25"/>
      <c r="P13" s="285"/>
    </row>
    <row r="14" spans="1:17">
      <c r="A14" s="230" t="s">
        <v>874</v>
      </c>
      <c r="B14" s="60">
        <v>0.03</v>
      </c>
      <c r="C14" s="60"/>
      <c r="D14" s="60"/>
      <c r="E14" s="60"/>
      <c r="F14" s="60"/>
      <c r="G14" s="60"/>
      <c r="H14" s="60"/>
      <c r="I14" s="25"/>
      <c r="J14" s="25"/>
      <c r="K14" s="25"/>
      <c r="L14" s="25"/>
      <c r="M14" s="25"/>
      <c r="N14" s="25"/>
      <c r="O14" s="25"/>
      <c r="P14" s="285"/>
    </row>
    <row r="15" spans="1:17">
      <c r="A15" s="230" t="s">
        <v>875</v>
      </c>
      <c r="B15" s="283">
        <v>0.05</v>
      </c>
      <c r="C15" s="60"/>
      <c r="D15" s="60"/>
      <c r="E15" s="60"/>
      <c r="F15" s="60"/>
      <c r="G15" s="60"/>
      <c r="H15" s="60"/>
      <c r="I15" s="25"/>
      <c r="J15" s="25"/>
      <c r="K15" s="25"/>
      <c r="L15" s="25"/>
      <c r="M15" s="25"/>
      <c r="N15" s="25"/>
      <c r="O15" s="25"/>
      <c r="P15" s="285"/>
    </row>
    <row r="16" spans="1:17">
      <c r="A16" s="230" t="s">
        <v>876</v>
      </c>
      <c r="B16" s="283"/>
      <c r="C16" s="511" t="s">
        <v>877</v>
      </c>
      <c r="D16" s="511"/>
      <c r="E16" s="511"/>
      <c r="F16" s="511"/>
      <c r="G16" s="511"/>
      <c r="H16" s="511"/>
      <c r="I16" s="511"/>
      <c r="J16" s="511"/>
      <c r="K16" s="511"/>
      <c r="L16" s="511"/>
      <c r="M16" s="511"/>
      <c r="N16" s="511"/>
      <c r="O16" s="511"/>
      <c r="P16" s="512"/>
    </row>
    <row r="17" spans="1:16" ht="17" thickBot="1">
      <c r="A17" s="274" t="s">
        <v>52</v>
      </c>
      <c r="B17" s="286">
        <v>0.16</v>
      </c>
      <c r="C17" s="513" t="s">
        <v>878</v>
      </c>
      <c r="D17" s="513"/>
      <c r="E17" s="513"/>
      <c r="F17" s="513"/>
      <c r="G17" s="513"/>
      <c r="H17" s="513"/>
      <c r="I17" s="287"/>
      <c r="J17" s="287"/>
      <c r="K17" s="287"/>
      <c r="L17" s="287"/>
      <c r="M17" s="287"/>
      <c r="N17" s="287"/>
      <c r="O17" s="287"/>
      <c r="P17" s="288"/>
    </row>
    <row r="18" spans="1:16">
      <c r="G18" s="6"/>
    </row>
    <row r="19" spans="1:16" ht="17" thickBot="1"/>
    <row r="20" spans="1:16">
      <c r="A20" s="227"/>
      <c r="B20" s="228" t="s">
        <v>97</v>
      </c>
      <c r="C20" s="228" t="s">
        <v>98</v>
      </c>
      <c r="D20" s="228" t="s">
        <v>99</v>
      </c>
      <c r="E20" s="228" t="s">
        <v>100</v>
      </c>
      <c r="F20" s="228" t="s">
        <v>101</v>
      </c>
      <c r="G20" s="229" t="s">
        <v>102</v>
      </c>
      <c r="I20" s="4"/>
    </row>
    <row r="21" spans="1:16">
      <c r="A21" s="290" t="s">
        <v>879</v>
      </c>
      <c r="B21" s="60">
        <v>0</v>
      </c>
      <c r="C21" s="60">
        <f>$B6*C3</f>
        <v>4.4028</v>
      </c>
      <c r="D21" s="60">
        <f>$B6*D3</f>
        <v>73.38</v>
      </c>
      <c r="E21" s="60">
        <f>$B6*E3</f>
        <v>366.90000000000003</v>
      </c>
      <c r="F21" s="60">
        <f>$B6*30+(100-30)*$B7+$B8*(F3-100)</f>
        <v>1562.8600000000001</v>
      </c>
      <c r="G21" s="231">
        <f>$B6*30+(100-30)*$B7+$B8*(G3-100)</f>
        <v>4310.3799999999992</v>
      </c>
      <c r="I21" s="4"/>
      <c r="J21" s="4"/>
    </row>
    <row r="22" spans="1:16">
      <c r="A22" s="290" t="s">
        <v>404</v>
      </c>
      <c r="B22" s="60">
        <v>0</v>
      </c>
      <c r="C22" s="60">
        <f>C21*0.05</f>
        <v>0.22014</v>
      </c>
      <c r="D22" s="60">
        <f t="shared" ref="D22:G22" si="1">D21*0.05</f>
        <v>3.669</v>
      </c>
      <c r="E22" s="60">
        <f>E21*0.05</f>
        <v>18.345000000000002</v>
      </c>
      <c r="F22" s="60">
        <f>F21*0.05</f>
        <v>78.143000000000015</v>
      </c>
      <c r="G22" s="231">
        <f t="shared" si="1"/>
        <v>215.51899999999998</v>
      </c>
      <c r="I22" s="4"/>
      <c r="J22" s="4"/>
    </row>
    <row r="23" spans="1:16">
      <c r="A23" s="290" t="s">
        <v>883</v>
      </c>
      <c r="B23" s="60">
        <v>0</v>
      </c>
      <c r="C23" s="60">
        <f>1.149*C3</f>
        <v>0.41364000000000001</v>
      </c>
      <c r="D23" s="60">
        <f t="shared" ref="D23:G23" si="2">1.149*D3</f>
        <v>6.8940000000000001</v>
      </c>
      <c r="E23" s="60">
        <f>1.149*E3</f>
        <v>34.47</v>
      </c>
      <c r="F23" s="60">
        <f>1.149*F3</f>
        <v>117.19800000000001</v>
      </c>
      <c r="G23" s="231">
        <f t="shared" si="2"/>
        <v>282.654</v>
      </c>
      <c r="I23" s="4"/>
      <c r="J23" s="4"/>
    </row>
    <row r="24" spans="1:16">
      <c r="A24" s="290" t="s">
        <v>405</v>
      </c>
      <c r="B24" s="60">
        <v>0</v>
      </c>
      <c r="C24" s="60">
        <f>0.03*C3</f>
        <v>1.0799999999999999E-2</v>
      </c>
      <c r="D24" s="60">
        <f>0.03*D3</f>
        <v>0.18</v>
      </c>
      <c r="E24" s="60">
        <f>0.03*E3</f>
        <v>0.89999999999999991</v>
      </c>
      <c r="F24" s="60">
        <f>0.03*F3</f>
        <v>3.06</v>
      </c>
      <c r="G24" s="231">
        <f>0.03*G3</f>
        <v>7.379999999999999</v>
      </c>
      <c r="I24" s="4"/>
      <c r="J24" s="4"/>
    </row>
    <row r="25" spans="1:16">
      <c r="A25" s="290" t="s">
        <v>406</v>
      </c>
      <c r="B25" s="60">
        <v>0</v>
      </c>
      <c r="C25" s="60">
        <f>C3*5.19</f>
        <v>1.8684000000000001</v>
      </c>
      <c r="D25" s="60">
        <f>D3*5.19</f>
        <v>31.14</v>
      </c>
      <c r="E25" s="60">
        <f>E3*5.19</f>
        <v>155.70000000000002</v>
      </c>
      <c r="F25" s="60">
        <f>F3*5.19</f>
        <v>529.38</v>
      </c>
      <c r="G25" s="231">
        <f>G3*5.19</f>
        <v>1276.74</v>
      </c>
      <c r="I25" s="4"/>
      <c r="J25" s="4"/>
    </row>
    <row r="26" spans="1:16">
      <c r="A26" s="290" t="s">
        <v>407</v>
      </c>
      <c r="B26" s="60">
        <v>0</v>
      </c>
      <c r="C26" s="60">
        <f>0.05*C3</f>
        <v>1.7999999999999999E-2</v>
      </c>
      <c r="D26" s="60">
        <f>0.05*D3</f>
        <v>0.30000000000000004</v>
      </c>
      <c r="E26" s="60">
        <f>0.05*E3</f>
        <v>1.5</v>
      </c>
      <c r="F26" s="60">
        <f>0.05*F3</f>
        <v>5.1000000000000005</v>
      </c>
      <c r="G26" s="231">
        <f>0.05*G3</f>
        <v>12.299999999999999</v>
      </c>
      <c r="I26" s="4"/>
      <c r="J26" s="4"/>
    </row>
    <row r="27" spans="1:16">
      <c r="A27" s="291" t="s">
        <v>881</v>
      </c>
      <c r="B27" s="289">
        <v>0</v>
      </c>
      <c r="C27" s="289">
        <f>0.09*C3</f>
        <v>3.2399999999999998E-2</v>
      </c>
      <c r="D27" s="289">
        <f>0.09*D3</f>
        <v>0.54</v>
      </c>
      <c r="E27" s="289">
        <f>0.09*E3</f>
        <v>2.6999999999999997</v>
      </c>
      <c r="F27" s="289">
        <f>0.09*F3</f>
        <v>9.18</v>
      </c>
      <c r="G27" s="292">
        <f>0.09*G3</f>
        <v>22.139999999999997</v>
      </c>
      <c r="I27" s="9"/>
      <c r="J27" s="9"/>
    </row>
    <row r="28" spans="1:16" ht="17" thickBot="1">
      <c r="A28" s="293" t="s">
        <v>52</v>
      </c>
      <c r="B28" s="294">
        <v>0</v>
      </c>
      <c r="C28" s="294">
        <f>(SUM(C21:C27))*0.16</f>
        <v>1.1145887999999999</v>
      </c>
      <c r="D28" s="294">
        <f>(SUM(D21:D27))*0.16</f>
        <v>18.57648</v>
      </c>
      <c r="E28" s="294">
        <f>(SUM(E21:E27))*0.16</f>
        <v>92.882400000000018</v>
      </c>
      <c r="F28" s="294">
        <f>(SUM(F21:F27))*0.16</f>
        <v>368.78735999999998</v>
      </c>
      <c r="G28" s="295">
        <f>(SUM(G21:G27))*0.16</f>
        <v>980.3380800000001</v>
      </c>
      <c r="I28" s="9"/>
      <c r="J28" s="9"/>
    </row>
    <row r="29" spans="1:16" ht="17" thickBot="1">
      <c r="I29" s="4"/>
    </row>
    <row r="30" spans="1:16">
      <c r="A30" s="271" t="s">
        <v>408</v>
      </c>
      <c r="B30" s="239" t="s">
        <v>97</v>
      </c>
      <c r="C30" s="239" t="s">
        <v>98</v>
      </c>
      <c r="D30" s="239" t="s">
        <v>99</v>
      </c>
      <c r="E30" s="239" t="s">
        <v>100</v>
      </c>
      <c r="F30" s="239" t="s">
        <v>101</v>
      </c>
      <c r="G30" s="240" t="s">
        <v>102</v>
      </c>
      <c r="I30" s="4"/>
    </row>
    <row r="31" spans="1:16" ht="17" thickBot="1">
      <c r="A31" s="296" t="s">
        <v>59</v>
      </c>
      <c r="B31" s="297">
        <v>0</v>
      </c>
      <c r="C31" s="297">
        <f>SUM(C21:C28)</f>
        <v>8.0807687999999995</v>
      </c>
      <c r="D31" s="297">
        <f>SUM(D21:D28)</f>
        <v>134.67948000000001</v>
      </c>
      <c r="E31" s="297">
        <f>SUM(E21:E28)</f>
        <v>673.39740000000006</v>
      </c>
      <c r="F31" s="297">
        <f>SUM(F21:F28)</f>
        <v>2673.7083599999996</v>
      </c>
      <c r="G31" s="298">
        <f>SUM(G21:G28)</f>
        <v>7107.4510800000007</v>
      </c>
      <c r="I31" s="9"/>
      <c r="J31" s="9"/>
    </row>
    <row r="32" spans="1:16">
      <c r="I32" s="4"/>
    </row>
    <row r="33" spans="9:9">
      <c r="I33" s="4"/>
    </row>
    <row r="34" spans="9:9">
      <c r="I34" s="4"/>
    </row>
    <row r="35" spans="9:9">
      <c r="I35" s="4"/>
    </row>
  </sheetData>
  <mergeCells count="6">
    <mergeCell ref="C10:P10"/>
    <mergeCell ref="C13:N13"/>
    <mergeCell ref="C16:P16"/>
    <mergeCell ref="C17:H17"/>
    <mergeCell ref="C11:P11"/>
    <mergeCell ref="C12:P12"/>
  </mergeCells>
  <pageMargins left="0.7" right="0.7" top="0.75" bottom="0.75" header="0.3" footer="0.3"/>
  <pageSetup paperSize="9" orientation="portrait" horizontalDpi="0" verticalDpi="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14A4C-B0B2-CF4E-ADC6-91E354A0E5EE}">
  <dimension ref="A1:P14"/>
  <sheetViews>
    <sheetView zoomScale="134" workbookViewId="0">
      <selection activeCell="E14" sqref="E14"/>
    </sheetView>
  </sheetViews>
  <sheetFormatPr baseColWidth="10" defaultRowHeight="16"/>
  <cols>
    <col min="1" max="1" width="15.83203125" customWidth="1"/>
  </cols>
  <sheetData>
    <row r="1" spans="1:16">
      <c r="A1" s="172"/>
      <c r="B1" s="253" t="s">
        <v>97</v>
      </c>
      <c r="C1" s="253" t="s">
        <v>98</v>
      </c>
      <c r="D1" s="253" t="s">
        <v>99</v>
      </c>
      <c r="E1" s="253" t="s">
        <v>100</v>
      </c>
      <c r="F1" s="253" t="s">
        <v>101</v>
      </c>
      <c r="G1" s="253" t="s">
        <v>102</v>
      </c>
      <c r="H1" s="174" t="s">
        <v>199</v>
      </c>
    </row>
    <row r="2" spans="1:16">
      <c r="A2" s="175" t="s">
        <v>103</v>
      </c>
      <c r="B2" s="4">
        <v>0</v>
      </c>
      <c r="C2" s="4">
        <v>1.2E-2</v>
      </c>
      <c r="D2" s="4">
        <v>0.2</v>
      </c>
      <c r="E2" s="4">
        <v>1</v>
      </c>
      <c r="F2" s="4">
        <v>3.4</v>
      </c>
      <c r="G2" s="4">
        <v>8.1999999999999993</v>
      </c>
      <c r="H2" s="176" t="s">
        <v>200</v>
      </c>
    </row>
    <row r="3" spans="1:16" ht="35" thickBot="1">
      <c r="A3" s="178" t="s">
        <v>110</v>
      </c>
      <c r="B3" s="179">
        <v>0</v>
      </c>
      <c r="C3" s="179">
        <f>C2*30</f>
        <v>0.36</v>
      </c>
      <c r="D3" s="179">
        <f t="shared" ref="D3:G3" si="0">D2*30</f>
        <v>6</v>
      </c>
      <c r="E3" s="179">
        <f t="shared" si="0"/>
        <v>30</v>
      </c>
      <c r="F3" s="179">
        <f t="shared" si="0"/>
        <v>102</v>
      </c>
      <c r="G3" s="179">
        <f t="shared" si="0"/>
        <v>245.99999999999997</v>
      </c>
      <c r="H3" s="180" t="s">
        <v>200</v>
      </c>
    </row>
    <row r="4" spans="1:16" ht="17" thickBot="1">
      <c r="A4" s="6"/>
      <c r="B4" s="4"/>
      <c r="C4" s="4"/>
      <c r="D4" s="4"/>
      <c r="E4" s="4"/>
      <c r="F4" s="4"/>
      <c r="G4" s="4"/>
      <c r="H4" s="4"/>
    </row>
    <row r="5" spans="1:16">
      <c r="A5" s="157"/>
      <c r="B5" s="448" t="s">
        <v>733</v>
      </c>
      <c r="C5" s="449"/>
      <c r="E5" t="s">
        <v>887</v>
      </c>
    </row>
    <row r="6" spans="1:16">
      <c r="A6" s="160" t="s">
        <v>732</v>
      </c>
      <c r="B6">
        <v>0.88980000000000004</v>
      </c>
      <c r="C6" s="161" t="s">
        <v>154</v>
      </c>
    </row>
    <row r="7" spans="1:16" ht="17" thickBot="1">
      <c r="A7" s="251" t="s">
        <v>78</v>
      </c>
      <c r="B7" s="163">
        <v>1.8283</v>
      </c>
      <c r="C7" s="164" t="s">
        <v>154</v>
      </c>
      <c r="D7" s="26" t="s">
        <v>155</v>
      </c>
    </row>
    <row r="8" spans="1:16" ht="17" thickBot="1"/>
    <row r="9" spans="1:16">
      <c r="A9" s="235" t="s">
        <v>109</v>
      </c>
      <c r="B9" s="236" t="s">
        <v>97</v>
      </c>
      <c r="C9" s="236" t="s">
        <v>98</v>
      </c>
      <c r="D9" s="236" t="s">
        <v>99</v>
      </c>
      <c r="E9" s="236" t="s">
        <v>100</v>
      </c>
      <c r="F9" s="236" t="s">
        <v>101</v>
      </c>
      <c r="G9" s="237" t="s">
        <v>102</v>
      </c>
      <c r="K9" s="451" t="s">
        <v>1022</v>
      </c>
      <c r="L9" s="451"/>
      <c r="M9" s="451"/>
      <c r="N9" s="451"/>
      <c r="O9" s="451"/>
      <c r="P9" s="451"/>
    </row>
    <row r="10" spans="1:16">
      <c r="A10" s="261" t="s">
        <v>59</v>
      </c>
      <c r="B10" s="9">
        <f>B3*B7</f>
        <v>0</v>
      </c>
      <c r="C10" s="46" t="s">
        <v>58</v>
      </c>
      <c r="D10" s="46" t="s">
        <v>58</v>
      </c>
      <c r="E10" s="46" t="s">
        <v>58</v>
      </c>
      <c r="F10" s="9">
        <f>F3*B7*1.1</f>
        <v>205.13526000000002</v>
      </c>
      <c r="G10" s="341">
        <f>G3*B7*1.1</f>
        <v>494.73797999999999</v>
      </c>
      <c r="K10" s="451"/>
      <c r="L10" s="451"/>
      <c r="M10" s="451"/>
      <c r="N10" s="451"/>
      <c r="O10" s="451"/>
      <c r="P10" s="451"/>
    </row>
    <row r="11" spans="1:16" ht="17" thickBot="1">
      <c r="A11" s="338" t="s">
        <v>886</v>
      </c>
      <c r="B11" s="339">
        <v>0</v>
      </c>
      <c r="C11" s="339">
        <f>$B6*C3*1.1</f>
        <v>0.35236080000000003</v>
      </c>
      <c r="D11" s="339">
        <f>$B6*D3*1.1</f>
        <v>5.8726800000000008</v>
      </c>
      <c r="E11" s="339">
        <f>$B6*E3*1.1</f>
        <v>29.363400000000006</v>
      </c>
      <c r="F11" s="339" t="s">
        <v>58</v>
      </c>
      <c r="G11" s="340" t="s">
        <v>58</v>
      </c>
      <c r="K11" s="451"/>
      <c r="L11" s="451"/>
      <c r="M11" s="451"/>
      <c r="N11" s="451"/>
      <c r="O11" s="451"/>
      <c r="P11" s="451"/>
    </row>
    <row r="12" spans="1:16" ht="17" thickBot="1">
      <c r="K12" s="451"/>
      <c r="L12" s="451"/>
      <c r="M12" s="451"/>
      <c r="N12" s="451"/>
      <c r="O12" s="451"/>
      <c r="P12" s="451"/>
    </row>
    <row r="13" spans="1:16">
      <c r="A13" s="342" t="s">
        <v>109</v>
      </c>
      <c r="B13" s="343" t="s">
        <v>97</v>
      </c>
      <c r="C13" s="343" t="s">
        <v>98</v>
      </c>
      <c r="D13" s="343" t="s">
        <v>99</v>
      </c>
      <c r="E13" s="343" t="s">
        <v>100</v>
      </c>
      <c r="F13" s="343" t="s">
        <v>101</v>
      </c>
      <c r="G13" s="344" t="s">
        <v>102</v>
      </c>
      <c r="K13" s="451"/>
      <c r="L13" s="451"/>
      <c r="M13" s="451"/>
      <c r="N13" s="451"/>
      <c r="O13" s="451"/>
      <c r="P13" s="451"/>
    </row>
    <row r="14" spans="1:16" ht="17" thickBot="1">
      <c r="A14" s="345" t="s">
        <v>539</v>
      </c>
      <c r="B14" s="259">
        <v>0</v>
      </c>
      <c r="C14" s="259">
        <f>AVERAGE(C11)</f>
        <v>0.35236080000000003</v>
      </c>
      <c r="D14" s="259">
        <f>AVERAGE(D11)</f>
        <v>5.8726800000000008</v>
      </c>
      <c r="E14" s="259">
        <f>AVERAGE(E11)</f>
        <v>29.363400000000006</v>
      </c>
      <c r="F14" s="259">
        <f>AVERAGE(F10)</f>
        <v>205.13526000000002</v>
      </c>
      <c r="G14" s="260">
        <f>AVERAGE(G10)</f>
        <v>494.73797999999999</v>
      </c>
      <c r="K14" s="451"/>
      <c r="L14" s="451"/>
      <c r="M14" s="451"/>
      <c r="N14" s="451"/>
      <c r="O14" s="451"/>
      <c r="P14" s="451"/>
    </row>
  </sheetData>
  <mergeCells count="2">
    <mergeCell ref="B5:C5"/>
    <mergeCell ref="K9:P14"/>
  </mergeCells>
  <pageMargins left="0.7" right="0.7" top="0.75" bottom="0.75" header="0.3" footer="0.3"/>
  <pageSetup paperSize="9"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4849D-CDEA-C04A-AE0E-8C6D962B6396}">
  <dimension ref="A1:N18"/>
  <sheetViews>
    <sheetView zoomScale="150" workbookViewId="0">
      <selection activeCell="H22" sqref="H22"/>
    </sheetView>
  </sheetViews>
  <sheetFormatPr baseColWidth="10" defaultRowHeight="16"/>
  <cols>
    <col min="1" max="1" width="18" customWidth="1"/>
    <col min="8" max="8" width="18.33203125" customWidth="1"/>
    <col min="9" max="9" width="14" customWidth="1"/>
  </cols>
  <sheetData>
    <row r="1" spans="1:14">
      <c r="A1" s="172"/>
      <c r="B1" s="253" t="s">
        <v>97</v>
      </c>
      <c r="C1" s="253" t="s">
        <v>98</v>
      </c>
      <c r="D1" s="253" t="s">
        <v>99</v>
      </c>
      <c r="E1" s="253" t="s">
        <v>100</v>
      </c>
      <c r="F1" s="253" t="s">
        <v>101</v>
      </c>
      <c r="G1" s="253" t="s">
        <v>102</v>
      </c>
      <c r="H1" s="174" t="s">
        <v>199</v>
      </c>
    </row>
    <row r="2" spans="1:14">
      <c r="A2" s="175" t="s">
        <v>103</v>
      </c>
      <c r="B2" s="4">
        <v>0</v>
      </c>
      <c r="C2" s="4">
        <v>1.2E-2</v>
      </c>
      <c r="D2" s="4">
        <v>0.2</v>
      </c>
      <c r="E2" s="4">
        <v>1</v>
      </c>
      <c r="F2" s="4">
        <v>3.4</v>
      </c>
      <c r="G2" s="4">
        <v>8.1999999999999993</v>
      </c>
      <c r="H2" s="176" t="s">
        <v>200</v>
      </c>
    </row>
    <row r="3" spans="1:14" ht="35" thickBot="1">
      <c r="A3" s="178" t="s">
        <v>110</v>
      </c>
      <c r="B3" s="179">
        <v>0</v>
      </c>
      <c r="C3" s="179">
        <f>C2*30</f>
        <v>0.36</v>
      </c>
      <c r="D3" s="179">
        <f t="shared" ref="D3:G3" si="0">D2*30</f>
        <v>6</v>
      </c>
      <c r="E3" s="179">
        <f t="shared" si="0"/>
        <v>30</v>
      </c>
      <c r="F3" s="179">
        <f t="shared" si="0"/>
        <v>102</v>
      </c>
      <c r="G3" s="179">
        <f t="shared" si="0"/>
        <v>245.99999999999997</v>
      </c>
      <c r="H3" s="180" t="s">
        <v>200</v>
      </c>
    </row>
    <row r="5" spans="1:14">
      <c r="A5" s="194" t="s">
        <v>156</v>
      </c>
      <c r="B5" s="194"/>
      <c r="C5" s="194"/>
      <c r="D5" s="194"/>
      <c r="E5" s="194"/>
      <c r="F5" s="194"/>
      <c r="G5" s="194"/>
      <c r="H5" s="194"/>
    </row>
    <row r="7" spans="1:14">
      <c r="A7" s="517" t="s">
        <v>163</v>
      </c>
      <c r="B7" s="518"/>
      <c r="C7" s="518"/>
      <c r="D7" s="518"/>
      <c r="E7" s="518"/>
      <c r="F7" s="519"/>
    </row>
    <row r="8" spans="1:14" ht="34">
      <c r="A8" s="35" t="s">
        <v>157</v>
      </c>
      <c r="B8" s="36">
        <v>0.16500000000000001</v>
      </c>
      <c r="C8" s="37" t="s">
        <v>158</v>
      </c>
      <c r="D8" s="36">
        <v>0.26400000000000001</v>
      </c>
      <c r="E8" s="37" t="s">
        <v>159</v>
      </c>
      <c r="F8" s="24">
        <v>0.26400000000000001</v>
      </c>
      <c r="H8" s="25" t="s">
        <v>1114</v>
      </c>
    </row>
    <row r="9" spans="1:14">
      <c r="A9" s="517" t="s">
        <v>160</v>
      </c>
      <c r="B9" s="518"/>
      <c r="C9" s="518"/>
      <c r="D9" s="518"/>
      <c r="E9" s="518"/>
      <c r="F9" s="519"/>
    </row>
    <row r="10" spans="1:14" ht="34">
      <c r="A10" s="35" t="s">
        <v>157</v>
      </c>
      <c r="B10" s="36">
        <v>0</v>
      </c>
      <c r="C10" s="37" t="s">
        <v>158</v>
      </c>
      <c r="D10" s="36">
        <v>2.7280000000000002</v>
      </c>
      <c r="E10" s="37" t="s">
        <v>159</v>
      </c>
      <c r="F10" s="24">
        <v>4.9169999999999998</v>
      </c>
      <c r="H10" s="27" t="s">
        <v>162</v>
      </c>
      <c r="I10" s="26" t="s">
        <v>736</v>
      </c>
    </row>
    <row r="12" spans="1:14">
      <c r="A12" s="139" t="s">
        <v>109</v>
      </c>
      <c r="B12" s="140" t="s">
        <v>97</v>
      </c>
      <c r="C12" s="140" t="s">
        <v>98</v>
      </c>
      <c r="D12" s="140" t="s">
        <v>99</v>
      </c>
      <c r="E12" s="140" t="s">
        <v>100</v>
      </c>
      <c r="F12" s="140" t="s">
        <v>101</v>
      </c>
      <c r="G12" s="141" t="s">
        <v>102</v>
      </c>
    </row>
    <row r="13" spans="1:14">
      <c r="A13" s="38" t="s">
        <v>161</v>
      </c>
      <c r="B13" s="1">
        <f>B3*B8</f>
        <v>0</v>
      </c>
      <c r="C13" s="1">
        <f>C3*B8</f>
        <v>5.9400000000000001E-2</v>
      </c>
      <c r="D13" s="1">
        <f>D3*B8</f>
        <v>0.99</v>
      </c>
      <c r="E13" s="1">
        <f>E3*B8</f>
        <v>4.95</v>
      </c>
      <c r="F13" s="1" t="s">
        <v>58</v>
      </c>
      <c r="G13" s="100" t="s">
        <v>58</v>
      </c>
      <c r="I13" s="2"/>
      <c r="J13" s="2"/>
      <c r="K13" s="2"/>
      <c r="L13" s="2"/>
      <c r="M13" s="2"/>
      <c r="N13" s="2"/>
    </row>
    <row r="14" spans="1:14">
      <c r="A14" s="38" t="s">
        <v>139</v>
      </c>
      <c r="B14" s="1" t="s">
        <v>58</v>
      </c>
      <c r="C14" s="1" t="s">
        <v>58</v>
      </c>
      <c r="D14" s="1" t="s">
        <v>58</v>
      </c>
      <c r="E14" s="1" t="s">
        <v>58</v>
      </c>
      <c r="F14" s="1">
        <f>(F3*D8+D10)</f>
        <v>29.656000000000002</v>
      </c>
      <c r="G14" s="100">
        <f>(G3*D8+D10)</f>
        <v>67.671999999999997</v>
      </c>
      <c r="I14" s="2"/>
      <c r="J14" s="2"/>
      <c r="K14" s="2"/>
      <c r="L14" s="2"/>
      <c r="M14" s="2"/>
      <c r="N14" s="2"/>
    </row>
    <row r="15" spans="1:14">
      <c r="A15" s="103" t="s">
        <v>138</v>
      </c>
      <c r="B15" s="101" t="s">
        <v>58</v>
      </c>
      <c r="C15" s="101" t="s">
        <v>58</v>
      </c>
      <c r="D15" s="101" t="s">
        <v>58</v>
      </c>
      <c r="E15" s="101" t="s">
        <v>58</v>
      </c>
      <c r="F15" s="101">
        <f>(F3*F8+F10)</f>
        <v>31.844999999999999</v>
      </c>
      <c r="G15" s="102">
        <f>(G3*F8+F10)</f>
        <v>69.861000000000004</v>
      </c>
      <c r="I15" s="2"/>
      <c r="J15" s="2"/>
      <c r="K15" s="2"/>
      <c r="L15" s="2"/>
      <c r="M15" s="2"/>
      <c r="N15" s="2"/>
    </row>
    <row r="16" spans="1:14">
      <c r="I16" s="2"/>
      <c r="J16" s="2"/>
      <c r="K16" s="2"/>
      <c r="L16" s="2"/>
      <c r="M16" s="2"/>
      <c r="N16" s="2"/>
    </row>
    <row r="17" spans="1:14">
      <c r="A17" s="129" t="s">
        <v>537</v>
      </c>
      <c r="B17" s="130" t="s">
        <v>97</v>
      </c>
      <c r="C17" s="130" t="s">
        <v>98</v>
      </c>
      <c r="D17" s="130" t="s">
        <v>99</v>
      </c>
      <c r="E17" s="130" t="s">
        <v>100</v>
      </c>
      <c r="F17" s="130" t="s">
        <v>101</v>
      </c>
      <c r="G17" s="131" t="s">
        <v>102</v>
      </c>
      <c r="I17" s="2"/>
      <c r="J17" s="2"/>
      <c r="K17" s="2"/>
      <c r="L17" s="2"/>
      <c r="M17" s="2"/>
      <c r="N17" s="2"/>
    </row>
    <row r="18" spans="1:14">
      <c r="A18" s="108" t="s">
        <v>78</v>
      </c>
      <c r="B18" s="109">
        <v>0</v>
      </c>
      <c r="C18" s="109">
        <v>5.9400000000000001E-2</v>
      </c>
      <c r="D18" s="109">
        <v>0.99</v>
      </c>
      <c r="E18" s="109">
        <v>4.95</v>
      </c>
      <c r="F18" s="109">
        <f>AVERAGE(F14:F15)</f>
        <v>30.750500000000002</v>
      </c>
      <c r="G18" s="110">
        <f>AVERAGE(G14:G15)</f>
        <v>68.766500000000008</v>
      </c>
      <c r="I18" s="2"/>
      <c r="J18" s="2"/>
      <c r="K18" s="2"/>
      <c r="L18" s="2"/>
      <c r="M18" s="2"/>
      <c r="N18" s="2"/>
    </row>
  </sheetData>
  <mergeCells count="2">
    <mergeCell ref="A7:F7"/>
    <mergeCell ref="A9:F9"/>
  </mergeCells>
  <pageMargins left="0.7" right="0.7" top="0.75" bottom="0.75" header="0.3" footer="0.3"/>
  <pageSetup paperSize="9" orientation="portrait" horizontalDpi="0" verticalDpi="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F5A8E-57CF-9141-A1E5-A27AE9004D02}">
  <dimension ref="A1:N56"/>
  <sheetViews>
    <sheetView topLeftCell="A6" zoomScale="89" workbookViewId="0">
      <selection activeCell="G58" sqref="E53:G58"/>
    </sheetView>
  </sheetViews>
  <sheetFormatPr baseColWidth="10" defaultRowHeight="16"/>
  <cols>
    <col min="1" max="1" width="30.83203125" customWidth="1"/>
    <col min="2" max="2" width="11" bestFit="1" customWidth="1"/>
    <col min="3" max="3" width="13.83203125" customWidth="1"/>
    <col min="4" max="5" width="12.6640625" bestFit="1" customWidth="1"/>
    <col min="6" max="6" width="16.5" bestFit="1" customWidth="1"/>
    <col min="7" max="7" width="17.5" bestFit="1" customWidth="1"/>
  </cols>
  <sheetData>
    <row r="1" spans="1:8">
      <c r="A1" s="60"/>
      <c r="B1" s="84" t="s">
        <v>97</v>
      </c>
      <c r="C1" s="84" t="s">
        <v>98</v>
      </c>
      <c r="D1" s="84" t="s">
        <v>99</v>
      </c>
      <c r="E1" s="84" t="s">
        <v>100</v>
      </c>
      <c r="F1" s="84" t="s">
        <v>101</v>
      </c>
      <c r="G1" s="84" t="s">
        <v>102</v>
      </c>
      <c r="H1" s="84" t="s">
        <v>199</v>
      </c>
    </row>
    <row r="2" spans="1:8">
      <c r="A2" s="60" t="s">
        <v>103</v>
      </c>
      <c r="B2" s="60">
        <v>0</v>
      </c>
      <c r="C2" s="60">
        <v>1.2E-2</v>
      </c>
      <c r="D2" s="60">
        <v>0.2</v>
      </c>
      <c r="E2" s="60">
        <v>1</v>
      </c>
      <c r="F2" s="60">
        <v>3.4</v>
      </c>
      <c r="G2" s="60">
        <v>8.1999999999999993</v>
      </c>
      <c r="H2" s="60" t="s">
        <v>200</v>
      </c>
    </row>
    <row r="3" spans="1:8" ht="17">
      <c r="A3" s="67" t="s">
        <v>110</v>
      </c>
      <c r="B3" s="60">
        <v>0</v>
      </c>
      <c r="C3" s="60">
        <f>C2*30</f>
        <v>0.36</v>
      </c>
      <c r="D3" s="60">
        <f t="shared" ref="D3:G3" si="0">D2*30</f>
        <v>6</v>
      </c>
      <c r="E3" s="60">
        <f t="shared" si="0"/>
        <v>30</v>
      </c>
      <c r="F3" s="60">
        <f t="shared" si="0"/>
        <v>102</v>
      </c>
      <c r="G3" s="60">
        <f t="shared" si="0"/>
        <v>245.99999999999997</v>
      </c>
      <c r="H3" s="60" t="s">
        <v>200</v>
      </c>
    </row>
    <row r="4" spans="1:8" ht="17">
      <c r="A4" s="67" t="s">
        <v>297</v>
      </c>
      <c r="B4" s="60">
        <v>0</v>
      </c>
      <c r="C4" s="60" t="s">
        <v>304</v>
      </c>
      <c r="D4" s="60" t="s">
        <v>303</v>
      </c>
      <c r="E4" s="60" t="s">
        <v>302</v>
      </c>
      <c r="F4" s="60" t="s">
        <v>301</v>
      </c>
      <c r="G4" s="60" t="s">
        <v>1032</v>
      </c>
      <c r="H4" s="60" t="s">
        <v>201</v>
      </c>
    </row>
    <row r="5" spans="1:8">
      <c r="A5" s="1"/>
      <c r="B5" s="1"/>
      <c r="C5" s="1"/>
      <c r="D5" s="1"/>
      <c r="E5" s="1"/>
      <c r="F5" s="1"/>
      <c r="G5" s="1"/>
      <c r="H5" s="4"/>
    </row>
    <row r="8" spans="1:8">
      <c r="A8" s="517" t="s">
        <v>409</v>
      </c>
      <c r="B8" s="506"/>
      <c r="C8" s="506"/>
      <c r="D8" s="506"/>
      <c r="E8" s="507"/>
    </row>
    <row r="9" spans="1:8">
      <c r="A9" s="38"/>
      <c r="B9" s="1" t="s">
        <v>414</v>
      </c>
      <c r="C9" t="s">
        <v>415</v>
      </c>
      <c r="D9" t="s">
        <v>416</v>
      </c>
      <c r="E9" s="20" t="s">
        <v>417</v>
      </c>
    </row>
    <row r="10" spans="1:8">
      <c r="A10" s="19" t="s">
        <v>410</v>
      </c>
      <c r="B10" s="76">
        <v>3371</v>
      </c>
      <c r="C10" s="76">
        <v>2768</v>
      </c>
      <c r="D10" s="76">
        <v>2164</v>
      </c>
      <c r="E10" s="77">
        <v>1586</v>
      </c>
    </row>
    <row r="11" spans="1:8">
      <c r="A11" s="19" t="s">
        <v>411</v>
      </c>
      <c r="B11" s="76">
        <v>370</v>
      </c>
      <c r="C11" s="76">
        <v>391</v>
      </c>
      <c r="D11" s="76">
        <v>413</v>
      </c>
      <c r="E11" s="77">
        <v>550</v>
      </c>
    </row>
    <row r="12" spans="1:8">
      <c r="A12" s="19" t="s">
        <v>412</v>
      </c>
      <c r="B12" s="76">
        <v>370</v>
      </c>
      <c r="C12" s="76">
        <v>460</v>
      </c>
      <c r="D12" s="76">
        <v>548</v>
      </c>
      <c r="E12" s="77">
        <v>737</v>
      </c>
    </row>
    <row r="13" spans="1:8">
      <c r="A13" s="22" t="s">
        <v>413</v>
      </c>
      <c r="B13" s="82">
        <v>7641</v>
      </c>
      <c r="C13" s="82">
        <v>7641</v>
      </c>
      <c r="D13" s="82">
        <v>7641</v>
      </c>
      <c r="E13" s="83">
        <v>7641</v>
      </c>
    </row>
    <row r="15" spans="1:8">
      <c r="A15" s="517" t="s">
        <v>418</v>
      </c>
      <c r="B15" s="518"/>
      <c r="C15" s="518"/>
      <c r="D15" s="518"/>
      <c r="E15" s="519"/>
    </row>
    <row r="16" spans="1:8">
      <c r="A16" s="38"/>
      <c r="B16" s="1" t="s">
        <v>414</v>
      </c>
      <c r="C16" t="s">
        <v>415</v>
      </c>
      <c r="D16" t="s">
        <v>416</v>
      </c>
      <c r="E16" s="20" t="s">
        <v>417</v>
      </c>
    </row>
    <row r="17" spans="1:8">
      <c r="A17" s="19" t="s">
        <v>419</v>
      </c>
      <c r="B17" s="76">
        <v>141</v>
      </c>
      <c r="C17" s="76">
        <v>141</v>
      </c>
      <c r="D17" s="76">
        <v>141</v>
      </c>
      <c r="E17" s="77">
        <v>141</v>
      </c>
    </row>
    <row r="18" spans="1:8">
      <c r="A18" s="19" t="s">
        <v>420</v>
      </c>
      <c r="B18" s="76">
        <v>764</v>
      </c>
      <c r="C18" s="76">
        <v>808</v>
      </c>
      <c r="D18" s="76">
        <v>849</v>
      </c>
      <c r="E18" s="77">
        <v>909</v>
      </c>
    </row>
    <row r="19" spans="1:8">
      <c r="A19" s="22" t="s">
        <v>413</v>
      </c>
      <c r="B19" s="82">
        <v>922</v>
      </c>
      <c r="C19" s="82">
        <v>922</v>
      </c>
      <c r="D19" s="82">
        <v>922</v>
      </c>
      <c r="E19" s="83">
        <v>922</v>
      </c>
    </row>
    <row r="21" spans="1:8">
      <c r="A21" s="517" t="s">
        <v>421</v>
      </c>
      <c r="B21" s="506"/>
      <c r="C21" s="506"/>
      <c r="D21" s="506"/>
      <c r="E21" s="507"/>
    </row>
    <row r="22" spans="1:8" ht="17" thickBot="1">
      <c r="A22" s="38"/>
      <c r="B22" s="1" t="s">
        <v>414</v>
      </c>
      <c r="C22" s="8"/>
      <c r="D22" s="8"/>
      <c r="E22" s="85"/>
    </row>
    <row r="23" spans="1:8" ht="17" thickBot="1">
      <c r="A23" s="19" t="s">
        <v>410</v>
      </c>
      <c r="B23" s="76">
        <v>3371</v>
      </c>
      <c r="C23" s="86"/>
      <c r="D23" s="86"/>
      <c r="E23" s="87"/>
      <c r="H23" s="278" t="s">
        <v>1103</v>
      </c>
    </row>
    <row r="24" spans="1:8">
      <c r="A24" s="19" t="s">
        <v>422</v>
      </c>
      <c r="B24" s="76">
        <v>236</v>
      </c>
      <c r="C24" s="86"/>
      <c r="D24" s="86"/>
      <c r="E24" s="87"/>
    </row>
    <row r="25" spans="1:8">
      <c r="A25" s="19" t="s">
        <v>423</v>
      </c>
      <c r="B25" s="76">
        <v>500</v>
      </c>
      <c r="C25" s="86"/>
      <c r="D25" s="86"/>
      <c r="E25" s="87"/>
    </row>
    <row r="26" spans="1:8">
      <c r="A26" s="22" t="s">
        <v>413</v>
      </c>
      <c r="B26" s="82">
        <v>7641</v>
      </c>
      <c r="C26" s="88"/>
      <c r="D26" s="88"/>
      <c r="E26" s="89"/>
    </row>
    <row r="28" spans="1:8">
      <c r="A28" s="517" t="s">
        <v>414</v>
      </c>
      <c r="B28" s="518"/>
      <c r="C28" s="518"/>
      <c r="D28" s="518"/>
      <c r="E28" s="518"/>
      <c r="F28" s="518"/>
      <c r="G28" s="519"/>
    </row>
    <row r="29" spans="1:8">
      <c r="A29" s="78" t="s">
        <v>109</v>
      </c>
      <c r="B29" s="9" t="s">
        <v>97</v>
      </c>
      <c r="C29" s="9" t="s">
        <v>98</v>
      </c>
      <c r="D29" s="9" t="s">
        <v>99</v>
      </c>
      <c r="E29" s="9" t="s">
        <v>100</v>
      </c>
      <c r="F29" s="9" t="s">
        <v>101</v>
      </c>
      <c r="G29" s="79" t="s">
        <v>102</v>
      </c>
    </row>
    <row r="30" spans="1:8">
      <c r="A30" s="41" t="s">
        <v>418</v>
      </c>
      <c r="B30" s="390">
        <v>0</v>
      </c>
      <c r="C30" s="4">
        <f>B17*C3+B19</f>
        <v>972.76</v>
      </c>
      <c r="D30" s="4">
        <f>B17*D3+B19</f>
        <v>1768</v>
      </c>
      <c r="E30" s="4">
        <f>B17*25+B18*(E3-25)+B19</f>
        <v>8267</v>
      </c>
      <c r="F30" s="4">
        <f>(B17*25+B18*(F3-25)+B19)</f>
        <v>63275</v>
      </c>
      <c r="G30" s="42">
        <f>(B17*25+B18*(G3-25)+B19)</f>
        <v>173290.99999999997</v>
      </c>
    </row>
    <row r="31" spans="1:8">
      <c r="A31" s="51" t="s">
        <v>409</v>
      </c>
      <c r="B31" s="391">
        <v>0</v>
      </c>
      <c r="C31" s="52" t="s">
        <v>58</v>
      </c>
      <c r="D31" s="52" t="s">
        <v>58</v>
      </c>
      <c r="E31" s="52" t="s">
        <v>58</v>
      </c>
      <c r="F31" s="52" t="s">
        <v>58</v>
      </c>
      <c r="G31" s="53">
        <f>(B10*3+B11*130+B12*(G3-130)+B13)</f>
        <v>108774</v>
      </c>
    </row>
    <row r="32" spans="1:8">
      <c r="A32" s="4"/>
      <c r="B32" s="4"/>
      <c r="C32" s="4"/>
      <c r="D32" s="4"/>
      <c r="E32" s="4"/>
      <c r="F32" s="4"/>
      <c r="G32" s="4"/>
    </row>
    <row r="33" spans="1:14">
      <c r="A33" s="520" t="s">
        <v>415</v>
      </c>
      <c r="B33" s="521"/>
      <c r="C33" s="521"/>
      <c r="D33" s="521"/>
      <c r="E33" s="521"/>
      <c r="F33" s="521"/>
      <c r="G33" s="522"/>
    </row>
    <row r="34" spans="1:14">
      <c r="A34" s="78" t="s">
        <v>109</v>
      </c>
      <c r="B34" s="9" t="s">
        <v>97</v>
      </c>
      <c r="C34" s="9" t="s">
        <v>98</v>
      </c>
      <c r="D34" s="9" t="s">
        <v>99</v>
      </c>
      <c r="E34" s="9" t="s">
        <v>100</v>
      </c>
      <c r="F34" s="9" t="s">
        <v>101</v>
      </c>
      <c r="G34" s="79" t="s">
        <v>102</v>
      </c>
    </row>
    <row r="35" spans="1:14">
      <c r="A35" s="41" t="s">
        <v>418</v>
      </c>
      <c r="B35" s="390">
        <v>0</v>
      </c>
      <c r="C35" s="4">
        <f>C17*C3+C19</f>
        <v>972.76</v>
      </c>
      <c r="D35" s="4">
        <f>C17*D3+C19</f>
        <v>1768</v>
      </c>
      <c r="E35" s="4">
        <f>C17*25+C18*(E3-25)+C19</f>
        <v>8487</v>
      </c>
      <c r="F35" s="4">
        <f>(C17*25+C18*(F3-25)+C19)</f>
        <v>66663</v>
      </c>
      <c r="G35" s="42">
        <f>(C17*25+C18*(G3-25)+C19)</f>
        <v>183014.99999999997</v>
      </c>
    </row>
    <row r="36" spans="1:14">
      <c r="A36" s="51" t="s">
        <v>409</v>
      </c>
      <c r="B36" s="391">
        <v>0</v>
      </c>
      <c r="C36" s="52" t="s">
        <v>58</v>
      </c>
      <c r="D36" s="52" t="s">
        <v>58</v>
      </c>
      <c r="E36" s="166" t="s">
        <v>58</v>
      </c>
      <c r="F36" s="166" t="s">
        <v>58</v>
      </c>
      <c r="G36" s="53">
        <f>(C10*3+C11*130+C12*(G3-130)+C13)</f>
        <v>120134.99999999999</v>
      </c>
    </row>
    <row r="37" spans="1:14" ht="16" customHeight="1">
      <c r="A37" s="4"/>
      <c r="B37" s="4"/>
      <c r="C37" s="4"/>
      <c r="D37" s="4"/>
      <c r="E37" s="4"/>
      <c r="F37" s="4"/>
      <c r="G37" s="4"/>
      <c r="I37" s="451" t="s">
        <v>1129</v>
      </c>
      <c r="J37" s="451"/>
      <c r="K37" s="451"/>
      <c r="L37" s="451"/>
      <c r="M37" s="451"/>
      <c r="N37" s="451"/>
    </row>
    <row r="38" spans="1:14">
      <c r="A38" s="520" t="s">
        <v>416</v>
      </c>
      <c r="B38" s="521"/>
      <c r="C38" s="521"/>
      <c r="D38" s="521"/>
      <c r="E38" s="521"/>
      <c r="F38" s="521"/>
      <c r="G38" s="522"/>
      <c r="I38" s="451"/>
      <c r="J38" s="451"/>
      <c r="K38" s="451"/>
      <c r="L38" s="451"/>
      <c r="M38" s="451"/>
      <c r="N38" s="451"/>
    </row>
    <row r="39" spans="1:14">
      <c r="A39" s="78" t="s">
        <v>109</v>
      </c>
      <c r="B39" s="9" t="s">
        <v>97</v>
      </c>
      <c r="C39" s="9" t="s">
        <v>98</v>
      </c>
      <c r="D39" s="9" t="s">
        <v>99</v>
      </c>
      <c r="E39" s="9" t="s">
        <v>100</v>
      </c>
      <c r="F39" s="9" t="s">
        <v>101</v>
      </c>
      <c r="G39" s="79" t="s">
        <v>102</v>
      </c>
      <c r="I39" s="451"/>
      <c r="J39" s="451"/>
      <c r="K39" s="451"/>
      <c r="L39" s="451"/>
      <c r="M39" s="451"/>
      <c r="N39" s="451"/>
    </row>
    <row r="40" spans="1:14">
      <c r="A40" s="41" t="s">
        <v>418</v>
      </c>
      <c r="B40" s="390">
        <v>0</v>
      </c>
      <c r="C40" s="4">
        <f>D17*C3+D19</f>
        <v>972.76</v>
      </c>
      <c r="D40" s="4">
        <f>D17*D3+D19</f>
        <v>1768</v>
      </c>
      <c r="E40" s="4">
        <f>D17*25+D18*(E3-25)+D19</f>
        <v>8692</v>
      </c>
      <c r="F40" s="4">
        <f>(D17*25+D18*(F3-25)+D19)</f>
        <v>69820</v>
      </c>
      <c r="G40" s="42">
        <f>(D17*25+D18*(G3-25)+D19)</f>
        <v>192075.99999999997</v>
      </c>
      <c r="I40" s="451"/>
      <c r="J40" s="451"/>
      <c r="K40" s="451"/>
      <c r="L40" s="451"/>
      <c r="M40" s="451"/>
      <c r="N40" s="451"/>
    </row>
    <row r="41" spans="1:14">
      <c r="A41" s="51" t="s">
        <v>409</v>
      </c>
      <c r="B41" s="391">
        <v>0</v>
      </c>
      <c r="C41" s="52" t="s">
        <v>58</v>
      </c>
      <c r="D41" s="52" t="s">
        <v>58</v>
      </c>
      <c r="E41" s="52" t="s">
        <v>58</v>
      </c>
      <c r="F41" s="52" t="s">
        <v>58</v>
      </c>
      <c r="G41" s="53">
        <f>(D10*3+D11*130+D12*(G3-130)+D13)</f>
        <v>131391</v>
      </c>
      <c r="I41" s="451"/>
      <c r="J41" s="451"/>
      <c r="K41" s="451"/>
      <c r="L41" s="451"/>
      <c r="M41" s="451"/>
      <c r="N41" s="451"/>
    </row>
    <row r="42" spans="1:14">
      <c r="A42" s="4"/>
      <c r="B42" s="4"/>
      <c r="C42" s="4"/>
      <c r="D42" s="4"/>
      <c r="E42" s="4"/>
      <c r="F42" s="4"/>
      <c r="G42" s="4"/>
      <c r="I42" s="451"/>
      <c r="J42" s="451"/>
      <c r="K42" s="451"/>
      <c r="L42" s="451"/>
      <c r="M42" s="451"/>
      <c r="N42" s="451"/>
    </row>
    <row r="43" spans="1:14">
      <c r="A43" s="520" t="s">
        <v>417</v>
      </c>
      <c r="B43" s="521"/>
      <c r="C43" s="521"/>
      <c r="D43" s="521"/>
      <c r="E43" s="521"/>
      <c r="F43" s="521"/>
      <c r="G43" s="522"/>
      <c r="I43" s="451"/>
      <c r="J43" s="451"/>
      <c r="K43" s="451"/>
      <c r="L43" s="451"/>
      <c r="M43" s="451"/>
      <c r="N43" s="451"/>
    </row>
    <row r="44" spans="1:14">
      <c r="A44" s="78" t="s">
        <v>109</v>
      </c>
      <c r="B44" s="9" t="s">
        <v>97</v>
      </c>
      <c r="C44" s="9" t="s">
        <v>98</v>
      </c>
      <c r="D44" s="9" t="s">
        <v>99</v>
      </c>
      <c r="E44" s="9" t="s">
        <v>100</v>
      </c>
      <c r="F44" s="9" t="s">
        <v>101</v>
      </c>
      <c r="G44" s="79" t="s">
        <v>102</v>
      </c>
      <c r="I44" s="451"/>
      <c r="J44" s="451"/>
      <c r="K44" s="451"/>
      <c r="L44" s="451"/>
      <c r="M44" s="451"/>
      <c r="N44" s="451"/>
    </row>
    <row r="45" spans="1:14">
      <c r="A45" s="41" t="s">
        <v>418</v>
      </c>
      <c r="B45" s="390">
        <v>0</v>
      </c>
      <c r="C45" s="4">
        <f>E17*C3+E19</f>
        <v>972.76</v>
      </c>
      <c r="D45" s="4">
        <f>E17*D3+E19</f>
        <v>1768</v>
      </c>
      <c r="E45" s="4">
        <f>E17*25+E18*(E3-25)+E19</f>
        <v>8992</v>
      </c>
      <c r="F45" s="4">
        <f>(E17*25+E18*(F3-25)+E19)</f>
        <v>74440</v>
      </c>
      <c r="G45" s="42">
        <f>(E17*25+E18*(G3-25)+E19)</f>
        <v>205335.99999999997</v>
      </c>
      <c r="I45" s="451"/>
      <c r="J45" s="451"/>
      <c r="K45" s="451"/>
      <c r="L45" s="451"/>
      <c r="M45" s="451"/>
      <c r="N45" s="451"/>
    </row>
    <row r="46" spans="1:14">
      <c r="A46" s="51" t="s">
        <v>409</v>
      </c>
      <c r="B46" s="391">
        <v>0</v>
      </c>
      <c r="C46" s="52" t="s">
        <v>58</v>
      </c>
      <c r="D46" s="52" t="s">
        <v>58</v>
      </c>
      <c r="E46" s="52" t="s">
        <v>58</v>
      </c>
      <c r="F46" s="52" t="s">
        <v>58</v>
      </c>
      <c r="G46" s="53">
        <f>(E10*3+E11*130+E12*(G3-130)+E13)</f>
        <v>169391</v>
      </c>
    </row>
    <row r="49" spans="1:7">
      <c r="A49" s="129" t="s">
        <v>535</v>
      </c>
      <c r="B49" s="136" t="s">
        <v>540</v>
      </c>
      <c r="C49" s="136" t="s">
        <v>98</v>
      </c>
      <c r="D49" s="136" t="s">
        <v>99</v>
      </c>
      <c r="E49" s="136" t="s">
        <v>100</v>
      </c>
      <c r="F49" s="136" t="s">
        <v>101</v>
      </c>
      <c r="G49" s="137" t="s">
        <v>102</v>
      </c>
    </row>
    <row r="50" spans="1:7">
      <c r="A50" s="432" t="s">
        <v>78</v>
      </c>
      <c r="B50" s="433">
        <v>0</v>
      </c>
      <c r="C50" s="433">
        <f>AVERAGE(C30,C35,C40,C45)</f>
        <v>972.76</v>
      </c>
      <c r="D50" s="433">
        <f>AVERAGE(D30,D35,D40,D45)</f>
        <v>1768</v>
      </c>
      <c r="E50" s="433">
        <f>AVERAGE(E30,E35,E40,E45)</f>
        <v>8609.5</v>
      </c>
      <c r="F50" s="433">
        <f>AVERAGE(F30,F35,F40,F45)</f>
        <v>68549.5</v>
      </c>
      <c r="G50" s="434">
        <f>AVERAGE(G30:G31,G35:G36,G40:G41,G45:G46)</f>
        <v>160426.125</v>
      </c>
    </row>
    <row r="51" spans="1:7">
      <c r="A51" s="435"/>
      <c r="B51" s="435"/>
      <c r="C51" s="435"/>
      <c r="D51" s="435"/>
      <c r="E51" s="435"/>
      <c r="F51" s="435"/>
      <c r="G51" s="435"/>
    </row>
    <row r="52" spans="1:7">
      <c r="A52" s="435"/>
      <c r="B52" s="435"/>
      <c r="C52" s="435"/>
      <c r="D52" s="435"/>
      <c r="E52" s="435"/>
      <c r="F52" s="435"/>
      <c r="G52" s="435"/>
    </row>
    <row r="53" spans="1:7">
      <c r="E53" s="447"/>
    </row>
    <row r="54" spans="1:7">
      <c r="E54" s="435"/>
    </row>
    <row r="55" spans="1:7">
      <c r="G55" s="435"/>
    </row>
    <row r="56" spans="1:7">
      <c r="F56" s="446"/>
    </row>
  </sheetData>
  <mergeCells count="8">
    <mergeCell ref="A38:G38"/>
    <mergeCell ref="A43:G43"/>
    <mergeCell ref="I37:N45"/>
    <mergeCell ref="A8:E8"/>
    <mergeCell ref="A15:E15"/>
    <mergeCell ref="A21:E21"/>
    <mergeCell ref="A28:G28"/>
    <mergeCell ref="A33:G33"/>
  </mergeCells>
  <pageMargins left="0.7" right="0.7" top="0.75" bottom="0.75" header="0.3" footer="0.3"/>
  <pageSetup paperSize="9" orientation="portrait" horizontalDpi="0" verticalDpi="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2BD7D-4551-3445-8E29-54E88BD2BC74}">
  <dimension ref="A1:R31"/>
  <sheetViews>
    <sheetView zoomScale="125" workbookViewId="0">
      <selection activeCell="O20" sqref="O20:R28"/>
    </sheetView>
  </sheetViews>
  <sheetFormatPr baseColWidth="10" defaultRowHeight="16"/>
  <cols>
    <col min="1" max="1" width="19.5" customWidth="1"/>
  </cols>
  <sheetData>
    <row r="1" spans="1:8">
      <c r="A1" s="172"/>
      <c r="B1" s="253" t="s">
        <v>97</v>
      </c>
      <c r="C1" s="253" t="s">
        <v>98</v>
      </c>
      <c r="D1" s="253" t="s">
        <v>99</v>
      </c>
      <c r="E1" s="253" t="s">
        <v>100</v>
      </c>
      <c r="F1" s="253" t="s">
        <v>101</v>
      </c>
      <c r="G1" s="253" t="s">
        <v>102</v>
      </c>
      <c r="H1" s="174" t="s">
        <v>199</v>
      </c>
    </row>
    <row r="2" spans="1:8">
      <c r="A2" s="175" t="s">
        <v>103</v>
      </c>
      <c r="B2" s="4">
        <v>0</v>
      </c>
      <c r="C2" s="4">
        <v>1.2E-2</v>
      </c>
      <c r="D2" s="4">
        <v>0.2</v>
      </c>
      <c r="E2" s="4">
        <v>1</v>
      </c>
      <c r="F2" s="4">
        <v>3.4</v>
      </c>
      <c r="G2" s="4">
        <v>8.1999999999999993</v>
      </c>
      <c r="H2" s="176" t="s">
        <v>200</v>
      </c>
    </row>
    <row r="3" spans="1:8" ht="35" thickBot="1">
      <c r="A3" s="178" t="s">
        <v>110</v>
      </c>
      <c r="B3" s="179">
        <v>0</v>
      </c>
      <c r="C3" s="179">
        <f>C2*30</f>
        <v>0.36</v>
      </c>
      <c r="D3" s="179">
        <f t="shared" ref="D3:G3" si="0">D2*30</f>
        <v>6</v>
      </c>
      <c r="E3" s="179">
        <f t="shared" si="0"/>
        <v>30</v>
      </c>
      <c r="F3" s="179">
        <f t="shared" si="0"/>
        <v>102</v>
      </c>
      <c r="G3" s="179">
        <f t="shared" si="0"/>
        <v>245.99999999999997</v>
      </c>
      <c r="H3" s="180" t="s">
        <v>200</v>
      </c>
    </row>
    <row r="4" spans="1:8" ht="17" thickBot="1"/>
    <row r="5" spans="1:8">
      <c r="A5" s="532" t="s">
        <v>164</v>
      </c>
      <c r="B5" s="533"/>
      <c r="C5" s="533"/>
      <c r="D5" s="533"/>
      <c r="E5" s="533"/>
      <c r="F5" s="533"/>
      <c r="G5" s="533"/>
      <c r="H5" s="534"/>
    </row>
    <row r="6" spans="1:8">
      <c r="A6" s="529" t="s">
        <v>165</v>
      </c>
      <c r="B6" s="530"/>
      <c r="C6" s="530"/>
      <c r="D6" s="530"/>
      <c r="E6" s="530"/>
      <c r="F6" s="530"/>
      <c r="G6" s="530"/>
      <c r="H6" s="531"/>
    </row>
    <row r="7" spans="1:8">
      <c r="A7" s="529" t="s">
        <v>167</v>
      </c>
      <c r="B7" s="530"/>
      <c r="C7" s="530"/>
      <c r="D7" s="530"/>
      <c r="E7" s="530" t="s">
        <v>168</v>
      </c>
      <c r="F7" s="530"/>
      <c r="G7" s="530"/>
      <c r="H7" s="531"/>
    </row>
    <row r="8" spans="1:8" ht="34">
      <c r="A8" s="396" t="s">
        <v>135</v>
      </c>
      <c r="B8" s="25">
        <v>61.5</v>
      </c>
      <c r="C8" s="395" t="s">
        <v>166</v>
      </c>
      <c r="D8" s="25">
        <v>94</v>
      </c>
      <c r="E8" s="395" t="s">
        <v>135</v>
      </c>
      <c r="F8" s="25">
        <v>54.4</v>
      </c>
      <c r="G8" s="395" t="s">
        <v>166</v>
      </c>
      <c r="H8" s="285">
        <v>89</v>
      </c>
    </row>
    <row r="9" spans="1:8">
      <c r="A9" s="529" t="s">
        <v>171</v>
      </c>
      <c r="B9" s="530"/>
      <c r="C9" s="530"/>
      <c r="D9" s="530"/>
      <c r="E9" s="530"/>
      <c r="F9" s="530"/>
      <c r="G9" s="530"/>
      <c r="H9" s="531"/>
    </row>
    <row r="10" spans="1:8" ht="17" thickBot="1">
      <c r="A10" s="535" t="s">
        <v>65</v>
      </c>
      <c r="B10" s="536"/>
      <c r="C10" s="536"/>
      <c r="D10" s="536"/>
      <c r="E10" s="537">
        <v>6900</v>
      </c>
      <c r="F10" s="537"/>
      <c r="G10" s="537"/>
      <c r="H10" s="538"/>
    </row>
    <row r="11" spans="1:8">
      <c r="A11" s="494" t="s">
        <v>169</v>
      </c>
      <c r="B11" s="495"/>
      <c r="C11" s="495"/>
      <c r="D11" s="496"/>
    </row>
    <row r="12" spans="1:8">
      <c r="A12" s="392" t="s">
        <v>170</v>
      </c>
      <c r="B12" s="26">
        <v>133.5</v>
      </c>
      <c r="C12" s="28" t="s">
        <v>168</v>
      </c>
      <c r="D12" s="393">
        <v>129.4</v>
      </c>
    </row>
    <row r="13" spans="1:8">
      <c r="A13" s="524" t="s">
        <v>171</v>
      </c>
      <c r="B13" s="473"/>
      <c r="C13" s="473"/>
      <c r="D13" s="474"/>
      <c r="G13" s="25" t="s">
        <v>173</v>
      </c>
    </row>
    <row r="14" spans="1:8" ht="17" thickBot="1">
      <c r="A14" s="525" t="s">
        <v>65</v>
      </c>
      <c r="B14" s="526"/>
      <c r="C14" s="527">
        <v>16600</v>
      </c>
      <c r="D14" s="528"/>
    </row>
    <row r="15" spans="1:8" ht="17" thickBot="1"/>
    <row r="16" spans="1:8">
      <c r="A16" s="271" t="s">
        <v>109</v>
      </c>
      <c r="B16" s="239" t="s">
        <v>97</v>
      </c>
      <c r="C16" s="239" t="s">
        <v>98</v>
      </c>
      <c r="D16" s="239" t="s">
        <v>99</v>
      </c>
      <c r="E16" s="239" t="s">
        <v>100</v>
      </c>
      <c r="F16" s="239" t="s">
        <v>101</v>
      </c>
      <c r="G16" s="240" t="s">
        <v>102</v>
      </c>
    </row>
    <row r="17" spans="1:18" ht="18" thickBot="1">
      <c r="A17" s="394" t="s">
        <v>172</v>
      </c>
      <c r="B17" s="388">
        <v>0</v>
      </c>
      <c r="C17" s="388">
        <f>C3*B8*1.165</f>
        <v>25.793100000000003</v>
      </c>
      <c r="D17" s="388">
        <f>D3*B8*1.165</f>
        <v>429.88499999999999</v>
      </c>
      <c r="E17" s="388">
        <f>E3*B8*1.165</f>
        <v>2149.4250000000002</v>
      </c>
      <c r="F17" s="388">
        <f>(50*B8+(F3-50)*D8)*1.165</f>
        <v>9276.8950000000004</v>
      </c>
      <c r="G17" s="389">
        <f>(50*B8+(G3-50)*D8)*1.165</f>
        <v>25046.334999999995</v>
      </c>
    </row>
    <row r="18" spans="1:18">
      <c r="A18" s="243"/>
    </row>
    <row r="19" spans="1:18" ht="16" customHeight="1">
      <c r="A19" s="11"/>
      <c r="I19" s="451" t="s">
        <v>558</v>
      </c>
      <c r="J19" s="451"/>
      <c r="K19" s="451"/>
      <c r="L19" s="451"/>
      <c r="M19" s="451"/>
      <c r="O19" s="7"/>
    </row>
    <row r="20" spans="1:18" ht="17" customHeight="1">
      <c r="A20" s="11"/>
      <c r="I20" s="451"/>
      <c r="J20" s="451"/>
      <c r="K20" s="451"/>
      <c r="L20" s="451"/>
      <c r="M20" s="451"/>
      <c r="O20" s="523" t="s">
        <v>559</v>
      </c>
      <c r="P20" s="523"/>
      <c r="Q20" s="523"/>
      <c r="R20" s="523"/>
    </row>
    <row r="21" spans="1:18">
      <c r="I21" s="451"/>
      <c r="J21" s="451"/>
      <c r="K21" s="451"/>
      <c r="L21" s="451"/>
      <c r="M21" s="451"/>
      <c r="O21" s="523"/>
      <c r="P21" s="523"/>
      <c r="Q21" s="523"/>
      <c r="R21" s="523"/>
    </row>
    <row r="22" spans="1:18">
      <c r="I22" s="451"/>
      <c r="J22" s="451"/>
      <c r="K22" s="451"/>
      <c r="L22" s="451"/>
      <c r="M22" s="451"/>
      <c r="O22" s="523"/>
      <c r="P22" s="523"/>
      <c r="Q22" s="523"/>
      <c r="R22" s="523"/>
    </row>
    <row r="23" spans="1:18">
      <c r="A23" s="5"/>
      <c r="B23" s="80"/>
      <c r="C23" s="80"/>
      <c r="D23" s="80"/>
      <c r="E23" s="80"/>
      <c r="F23" s="80"/>
      <c r="G23" s="80"/>
      <c r="I23" s="451"/>
      <c r="J23" s="451"/>
      <c r="K23" s="451"/>
      <c r="L23" s="451"/>
      <c r="M23" s="451"/>
      <c r="O23" s="523"/>
      <c r="P23" s="523"/>
      <c r="Q23" s="523"/>
      <c r="R23" s="523"/>
    </row>
    <row r="24" spans="1:18">
      <c r="A24" s="6"/>
      <c r="B24" s="4"/>
      <c r="C24" s="4"/>
      <c r="D24" s="4"/>
      <c r="E24" s="4"/>
      <c r="F24" s="4"/>
      <c r="G24" s="4"/>
      <c r="I24" s="451"/>
      <c r="J24" s="451"/>
      <c r="K24" s="451"/>
      <c r="L24" s="451"/>
      <c r="M24" s="451"/>
      <c r="O24" s="523"/>
      <c r="P24" s="523"/>
      <c r="Q24" s="523"/>
      <c r="R24" s="523"/>
    </row>
    <row r="25" spans="1:18">
      <c r="I25" s="451"/>
      <c r="J25" s="451"/>
      <c r="K25" s="451"/>
      <c r="L25" s="451"/>
      <c r="M25" s="451"/>
      <c r="O25" s="523"/>
      <c r="P25" s="523"/>
      <c r="Q25" s="523"/>
      <c r="R25" s="523"/>
    </row>
    <row r="26" spans="1:18">
      <c r="I26" s="451"/>
      <c r="J26" s="451"/>
      <c r="K26" s="451"/>
      <c r="L26" s="451"/>
      <c r="M26" s="451"/>
      <c r="O26" s="523"/>
      <c r="P26" s="523"/>
      <c r="Q26" s="523"/>
      <c r="R26" s="523"/>
    </row>
    <row r="27" spans="1:18">
      <c r="I27" s="451"/>
      <c r="J27" s="451"/>
      <c r="K27" s="451"/>
      <c r="L27" s="451"/>
      <c r="M27" s="451"/>
      <c r="O27" s="523"/>
      <c r="P27" s="523"/>
      <c r="Q27" s="523"/>
      <c r="R27" s="523"/>
    </row>
    <row r="28" spans="1:18">
      <c r="I28" s="451"/>
      <c r="J28" s="451"/>
      <c r="K28" s="451"/>
      <c r="L28" s="451"/>
      <c r="M28" s="451"/>
      <c r="O28" s="523"/>
      <c r="P28" s="523"/>
      <c r="Q28" s="523"/>
      <c r="R28" s="523"/>
    </row>
    <row r="29" spans="1:18">
      <c r="I29" s="451"/>
      <c r="J29" s="451"/>
      <c r="K29" s="451"/>
      <c r="L29" s="451"/>
      <c r="M29" s="451"/>
    </row>
    <row r="30" spans="1:18">
      <c r="I30" s="155"/>
    </row>
    <row r="31" spans="1:18">
      <c r="I31" s="155"/>
      <c r="J31" s="155"/>
    </row>
  </sheetData>
  <mergeCells count="13">
    <mergeCell ref="A6:H6"/>
    <mergeCell ref="A5:H5"/>
    <mergeCell ref="A11:D11"/>
    <mergeCell ref="A9:H9"/>
    <mergeCell ref="A10:D10"/>
    <mergeCell ref="E10:H10"/>
    <mergeCell ref="O20:R28"/>
    <mergeCell ref="A13:D13"/>
    <mergeCell ref="A14:B14"/>
    <mergeCell ref="C14:D14"/>
    <mergeCell ref="A7:D7"/>
    <mergeCell ref="E7:H7"/>
    <mergeCell ref="I19:M29"/>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FF3D6-670C-6648-B4A5-F38F9A9EC465}">
  <dimension ref="A1:P29"/>
  <sheetViews>
    <sheetView tabSelected="1" topLeftCell="A4" zoomScale="185" workbookViewId="0">
      <selection activeCell="D23" sqref="D23"/>
    </sheetView>
  </sheetViews>
  <sheetFormatPr baseColWidth="10" defaultRowHeight="16"/>
  <cols>
    <col min="1" max="1" width="36.6640625" style="1" customWidth="1"/>
    <col min="2" max="2" width="10.83203125" style="1"/>
    <col min="3" max="3" width="22.83203125" style="1" customWidth="1"/>
    <col min="4" max="4" width="25.5" style="1" customWidth="1"/>
    <col min="5" max="5" width="23" style="1" customWidth="1"/>
    <col min="6" max="6" width="19.33203125" style="1" customWidth="1"/>
    <col min="7" max="7" width="22.83203125" style="1" customWidth="1"/>
    <col min="11" max="11" width="12.1640625" customWidth="1"/>
    <col min="12" max="12" width="18.6640625" customWidth="1"/>
  </cols>
  <sheetData>
    <row r="1" spans="1:16">
      <c r="A1" s="184"/>
      <c r="B1" s="185" t="s">
        <v>97</v>
      </c>
      <c r="C1" s="185" t="s">
        <v>98</v>
      </c>
      <c r="D1" s="185" t="s">
        <v>99</v>
      </c>
      <c r="E1" s="185" t="s">
        <v>100</v>
      </c>
      <c r="F1" s="185" t="s">
        <v>101</v>
      </c>
      <c r="G1" s="186" t="s">
        <v>102</v>
      </c>
    </row>
    <row r="2" spans="1:16">
      <c r="A2" s="224" t="s">
        <v>103</v>
      </c>
      <c r="B2" s="1" t="s">
        <v>58</v>
      </c>
      <c r="C2" s="1" t="s">
        <v>104</v>
      </c>
      <c r="D2" s="1" t="s">
        <v>105</v>
      </c>
      <c r="E2" s="1" t="s">
        <v>106</v>
      </c>
      <c r="F2" s="1" t="s">
        <v>107</v>
      </c>
      <c r="G2" s="252" t="s">
        <v>108</v>
      </c>
    </row>
    <row r="3" spans="1:16">
      <c r="A3" s="224" t="s">
        <v>194</v>
      </c>
      <c r="B3" s="1" t="s">
        <v>58</v>
      </c>
      <c r="C3" s="1" t="s">
        <v>195</v>
      </c>
      <c r="D3" s="1" t="s">
        <v>196</v>
      </c>
      <c r="E3" s="1" t="s">
        <v>197</v>
      </c>
      <c r="F3" s="1" t="s">
        <v>198</v>
      </c>
      <c r="G3" s="252" t="s">
        <v>608</v>
      </c>
    </row>
    <row r="4" spans="1:16" ht="17" thickBot="1">
      <c r="A4" s="181" t="s">
        <v>602</v>
      </c>
      <c r="B4" s="182" t="s">
        <v>58</v>
      </c>
      <c r="C4" s="182" t="s">
        <v>606</v>
      </c>
      <c r="D4" s="182" t="s">
        <v>605</v>
      </c>
      <c r="E4" s="182" t="s">
        <v>604</v>
      </c>
      <c r="F4" s="182" t="s">
        <v>603</v>
      </c>
      <c r="G4" s="270" t="s">
        <v>607</v>
      </c>
    </row>
    <row r="5" spans="1:16" ht="17" thickBot="1"/>
    <row r="6" spans="1:16">
      <c r="A6" s="227"/>
      <c r="B6" s="228" t="s">
        <v>97</v>
      </c>
      <c r="C6" s="228" t="s">
        <v>98</v>
      </c>
      <c r="D6" s="228" t="s">
        <v>99</v>
      </c>
      <c r="E6" s="228" t="s">
        <v>100</v>
      </c>
      <c r="F6" s="228" t="s">
        <v>101</v>
      </c>
      <c r="G6" s="228" t="s">
        <v>102</v>
      </c>
      <c r="H6" s="229" t="s">
        <v>199</v>
      </c>
    </row>
    <row r="7" spans="1:16">
      <c r="A7" s="230" t="s">
        <v>103</v>
      </c>
      <c r="B7" s="60">
        <v>0</v>
      </c>
      <c r="C7" s="60">
        <v>1.2E-2</v>
      </c>
      <c r="D7" s="60">
        <v>0.2</v>
      </c>
      <c r="E7" s="60">
        <v>1</v>
      </c>
      <c r="F7" s="60">
        <v>3.4</v>
      </c>
      <c r="G7" s="60">
        <v>8.1999999999999993</v>
      </c>
      <c r="H7" s="231" t="s">
        <v>200</v>
      </c>
    </row>
    <row r="8" spans="1:16" ht="17">
      <c r="A8" s="232" t="s">
        <v>110</v>
      </c>
      <c r="B8" s="60">
        <v>0</v>
      </c>
      <c r="C8" s="60">
        <f>C7*30</f>
        <v>0.36</v>
      </c>
      <c r="D8" s="60">
        <f t="shared" ref="D8:G8" si="0">D7*30</f>
        <v>6</v>
      </c>
      <c r="E8" s="60">
        <f t="shared" si="0"/>
        <v>30</v>
      </c>
      <c r="F8" s="60">
        <f t="shared" si="0"/>
        <v>102</v>
      </c>
      <c r="G8" s="60">
        <f t="shared" si="0"/>
        <v>245.99999999999997</v>
      </c>
      <c r="H8" s="231" t="s">
        <v>200</v>
      </c>
      <c r="K8" t="s">
        <v>298</v>
      </c>
      <c r="M8">
        <v>0.95</v>
      </c>
      <c r="O8" s="7" t="s">
        <v>296</v>
      </c>
    </row>
    <row r="9" spans="1:16" ht="17">
      <c r="A9" s="232" t="s">
        <v>297</v>
      </c>
      <c r="B9" s="60">
        <v>0</v>
      </c>
      <c r="C9" s="60" t="s">
        <v>577</v>
      </c>
      <c r="D9" s="60" t="s">
        <v>578</v>
      </c>
      <c r="E9" s="60" t="s">
        <v>579</v>
      </c>
      <c r="F9" s="60" t="s">
        <v>580</v>
      </c>
      <c r="G9" s="60" t="s">
        <v>1031</v>
      </c>
      <c r="H9" s="231" t="s">
        <v>202</v>
      </c>
      <c r="K9" s="60" t="s">
        <v>299</v>
      </c>
    </row>
    <row r="10" spans="1:16" ht="17" thickBot="1">
      <c r="A10" s="276" t="s">
        <v>1029</v>
      </c>
      <c r="B10" s="277">
        <v>0</v>
      </c>
      <c r="C10" s="277">
        <f>0.05/0.95</f>
        <v>5.2631578947368425E-2</v>
      </c>
      <c r="D10" s="277">
        <f>0.2/0.95</f>
        <v>0.2105263157894737</v>
      </c>
      <c r="E10" s="277">
        <f>0.8/0.95</f>
        <v>0.8421052631578948</v>
      </c>
      <c r="F10" s="277">
        <f>2/0.95</f>
        <v>2.1052631578947367</v>
      </c>
      <c r="G10" s="277">
        <f>14/0.95</f>
        <v>14.736842105263159</v>
      </c>
      <c r="H10" s="234" t="s">
        <v>300</v>
      </c>
      <c r="I10" s="1"/>
      <c r="J10" s="4"/>
    </row>
    <row r="11" spans="1:16" ht="17" thickBot="1">
      <c r="K11" s="13"/>
      <c r="L11" s="13"/>
      <c r="M11" s="13"/>
      <c r="N11" s="13"/>
      <c r="O11" s="13"/>
      <c r="P11" s="13"/>
    </row>
    <row r="12" spans="1:16">
      <c r="A12" s="184" t="s">
        <v>1146</v>
      </c>
      <c r="B12" s="448" t="s">
        <v>1055</v>
      </c>
      <c r="C12" s="448"/>
      <c r="D12" s="448" t="s">
        <v>1030</v>
      </c>
      <c r="E12" s="448"/>
      <c r="F12" s="448"/>
      <c r="G12" s="448"/>
      <c r="H12" s="449"/>
      <c r="I12" s="1"/>
      <c r="J12" s="4"/>
      <c r="K12" s="13"/>
      <c r="L12" s="13"/>
      <c r="M12" s="13"/>
      <c r="N12" s="13"/>
      <c r="O12" s="13"/>
      <c r="P12" s="13"/>
    </row>
    <row r="13" spans="1:16">
      <c r="A13" s="224" t="s">
        <v>1054</v>
      </c>
      <c r="B13" s="1">
        <v>900</v>
      </c>
      <c r="C13" s="1">
        <v>1440</v>
      </c>
      <c r="D13" s="378" t="s">
        <v>1056</v>
      </c>
      <c r="H13" s="161"/>
    </row>
    <row r="14" spans="1:16">
      <c r="A14" s="224" t="s">
        <v>1053</v>
      </c>
      <c r="B14" s="1">
        <v>300</v>
      </c>
      <c r="C14" s="1">
        <v>800</v>
      </c>
      <c r="D14" s="378" t="s">
        <v>1057</v>
      </c>
      <c r="H14" s="161"/>
    </row>
    <row r="15" spans="1:16">
      <c r="A15" s="224" t="s">
        <v>1052</v>
      </c>
      <c r="B15" s="1">
        <v>1000</v>
      </c>
      <c r="C15" s="1">
        <v>3000</v>
      </c>
      <c r="D15" s="378" t="s">
        <v>1058</v>
      </c>
      <c r="H15" s="161"/>
    </row>
    <row r="16" spans="1:16">
      <c r="A16" s="224" t="s">
        <v>1051</v>
      </c>
      <c r="B16" s="1">
        <v>600</v>
      </c>
      <c r="C16" s="1">
        <v>2000</v>
      </c>
      <c r="D16" s="378" t="s">
        <v>1059</v>
      </c>
      <c r="H16" s="161"/>
    </row>
    <row r="17" spans="1:8">
      <c r="A17" s="224" t="s">
        <v>1050</v>
      </c>
      <c r="B17" s="1">
        <v>10</v>
      </c>
      <c r="C17" s="1">
        <v>10</v>
      </c>
      <c r="D17" s="378" t="s">
        <v>1060</v>
      </c>
      <c r="H17" s="161"/>
    </row>
    <row r="18" spans="1:8">
      <c r="A18" s="224" t="s">
        <v>1049</v>
      </c>
      <c r="B18" s="1">
        <v>400</v>
      </c>
      <c r="C18" s="1">
        <v>1400</v>
      </c>
      <c r="D18" s="378" t="s">
        <v>1061</v>
      </c>
      <c r="H18" s="161"/>
    </row>
    <row r="19" spans="1:8">
      <c r="A19" s="224" t="s">
        <v>1048</v>
      </c>
      <c r="B19" s="1">
        <v>600</v>
      </c>
      <c r="C19" s="1">
        <v>1000</v>
      </c>
      <c r="D19" s="378" t="s">
        <v>1062</v>
      </c>
      <c r="H19" s="161"/>
    </row>
    <row r="20" spans="1:8">
      <c r="A20" s="224" t="s">
        <v>1047</v>
      </c>
      <c r="B20" s="1">
        <v>2000</v>
      </c>
      <c r="C20" s="1">
        <v>5000</v>
      </c>
      <c r="D20" s="378" t="s">
        <v>1063</v>
      </c>
      <c r="H20" s="161"/>
    </row>
    <row r="21" spans="1:8">
      <c r="A21" s="224" t="s">
        <v>1065</v>
      </c>
      <c r="B21" s="1">
        <v>2000</v>
      </c>
      <c r="C21" s="1">
        <v>4000</v>
      </c>
      <c r="D21" s="378" t="s">
        <v>1064</v>
      </c>
      <c r="H21" s="161"/>
    </row>
    <row r="22" spans="1:8">
      <c r="A22" s="224" t="s">
        <v>1046</v>
      </c>
      <c r="B22" s="1">
        <v>50</v>
      </c>
      <c r="C22" s="1">
        <v>200</v>
      </c>
      <c r="D22" s="378" t="s">
        <v>1066</v>
      </c>
      <c r="H22" s="161"/>
    </row>
    <row r="23" spans="1:8">
      <c r="A23" s="224" t="s">
        <v>1045</v>
      </c>
      <c r="B23" s="1">
        <v>30</v>
      </c>
      <c r="C23" s="1">
        <v>70</v>
      </c>
      <c r="D23" s="378" t="s">
        <v>1067</v>
      </c>
      <c r="H23" s="161"/>
    </row>
    <row r="24" spans="1:8">
      <c r="A24" s="224" t="s">
        <v>1044</v>
      </c>
      <c r="B24" s="1">
        <f>SUM(B13:B23)</f>
        <v>7890</v>
      </c>
      <c r="C24" s="1">
        <f>SUM(C13:C23)</f>
        <v>18920</v>
      </c>
      <c r="H24" s="161"/>
    </row>
    <row r="25" spans="1:8" ht="17" thickBot="1">
      <c r="A25" s="181" t="s">
        <v>1043</v>
      </c>
      <c r="B25" s="182">
        <f>MEDIAN(B24:C24)</f>
        <v>13405</v>
      </c>
      <c r="C25" s="182"/>
      <c r="D25" s="182"/>
      <c r="E25" s="182"/>
      <c r="F25" s="182"/>
      <c r="G25" s="182"/>
      <c r="H25" s="164"/>
    </row>
    <row r="27" spans="1:8">
      <c r="A27" s="450" t="s">
        <v>1068</v>
      </c>
      <c r="B27" s="450"/>
      <c r="C27" s="450"/>
      <c r="D27" s="450"/>
      <c r="E27" s="450"/>
    </row>
    <row r="28" spans="1:8">
      <c r="A28" s="450"/>
      <c r="B28" s="450"/>
      <c r="C28" s="450"/>
      <c r="D28" s="450"/>
      <c r="E28" s="450"/>
    </row>
    <row r="29" spans="1:8">
      <c r="A29" s="450"/>
      <c r="B29" s="450"/>
      <c r="C29" s="450"/>
      <c r="D29" s="450"/>
      <c r="E29" s="450"/>
    </row>
  </sheetData>
  <mergeCells count="3">
    <mergeCell ref="B12:C12"/>
    <mergeCell ref="D12:H12"/>
    <mergeCell ref="A27:E29"/>
  </mergeCells>
  <hyperlinks>
    <hyperlink ref="O8" r:id="rId1" xr:uid="{2C54258B-3C63-314E-A20A-DF2B286A13CB}"/>
    <hyperlink ref="D13" r:id="rId2" location=":~:text=How%20Much%20Electricity%20Does%20an%20Air%20Conditioner%20Use%3F,consume%20between%202900%20and%204100." xr:uid="{F44FDF62-2F97-674A-9FFB-E6FC122EB8EA}"/>
    <hyperlink ref="D14" r:id="rId3" xr:uid="{1EAD9EE6-315A-D242-AA3A-1581BB2C99D4}"/>
    <hyperlink ref="D15" r:id="rId4" location=":~:text=Most%20electric%20stove%20burners%20come,power%20consumption%20will%20be%201kWh." xr:uid="{8CE4C6D8-7720-814C-97FD-4F90F4B2B24F}"/>
    <hyperlink ref="D16" r:id="rId5" xr:uid="{84C16D6C-32E9-AD4B-886D-BD2848FAFECD}"/>
    <hyperlink ref="D17" r:id="rId6" xr:uid="{B4296005-41C5-794E-91C6-116208E80ADA}"/>
    <hyperlink ref="D18" r:id="rId7" xr:uid="{3DF68241-108F-414F-89AE-44E878289D2A}"/>
    <hyperlink ref="D19" r:id="rId8" xr:uid="{3229FF74-5D9F-3041-832D-410441606E3E}"/>
    <hyperlink ref="D20" r:id="rId9" xr:uid="{B6B0DC6E-3EC7-E948-971C-8A27EC61723F}"/>
    <hyperlink ref="D21" r:id="rId10" location=":~:text=Most%20residential%20electric%20water%20heaters,hours%2C%20eliminating%20high%20electricity%20bills." xr:uid="{B66D2199-0FD3-D144-9D71-69C9599D3E28}"/>
    <hyperlink ref="D22" r:id="rId11" xr:uid="{8EE65EED-5B5E-9E4B-9CDF-F47D88C05412}"/>
    <hyperlink ref="D23" r:id="rId12" xr:uid="{3AF4D966-F8B5-704C-A86F-CB756AFC236E}"/>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2B19E-3CFF-8A49-B9E8-E9411F7AABE7}">
  <dimension ref="A1:N49"/>
  <sheetViews>
    <sheetView topLeftCell="A5" zoomScale="108" workbookViewId="0">
      <selection activeCell="I34" sqref="I34"/>
    </sheetView>
  </sheetViews>
  <sheetFormatPr baseColWidth="10" defaultRowHeight="16"/>
  <cols>
    <col min="1" max="1" width="27" customWidth="1"/>
    <col min="6" max="6" width="14.1640625" customWidth="1"/>
    <col min="7" max="7" width="18.6640625" style="1" customWidth="1"/>
    <col min="8" max="8" width="22.5" customWidth="1"/>
  </cols>
  <sheetData>
    <row r="1" spans="1:12" ht="17" thickBot="1">
      <c r="A1" s="301"/>
      <c r="B1" s="397" t="s">
        <v>97</v>
      </c>
      <c r="C1" s="397" t="s">
        <v>98</v>
      </c>
      <c r="D1" s="397" t="s">
        <v>99</v>
      </c>
      <c r="E1" s="397" t="s">
        <v>100</v>
      </c>
      <c r="F1" s="397" t="s">
        <v>101</v>
      </c>
      <c r="G1" s="397" t="s">
        <v>102</v>
      </c>
      <c r="H1" s="301" t="s">
        <v>199</v>
      </c>
    </row>
    <row r="2" spans="1:12">
      <c r="A2" s="227" t="s">
        <v>103</v>
      </c>
      <c r="B2" s="228">
        <v>0</v>
      </c>
      <c r="C2" s="228">
        <v>1.2E-2</v>
      </c>
      <c r="D2" s="228">
        <v>0.2</v>
      </c>
      <c r="E2" s="228">
        <v>1</v>
      </c>
      <c r="F2" s="228">
        <v>3.4</v>
      </c>
      <c r="G2" s="228">
        <v>8.1999999999999993</v>
      </c>
      <c r="H2" s="229" t="s">
        <v>200</v>
      </c>
    </row>
    <row r="3" spans="1:12" ht="34">
      <c r="A3" s="232" t="s">
        <v>110</v>
      </c>
      <c r="B3" s="60">
        <v>0</v>
      </c>
      <c r="C3" s="60">
        <f>C2*30</f>
        <v>0.36</v>
      </c>
      <c r="D3" s="60">
        <f t="shared" ref="D3:G3" si="0">D2*30</f>
        <v>6</v>
      </c>
      <c r="E3" s="60">
        <f t="shared" si="0"/>
        <v>30</v>
      </c>
      <c r="F3" s="60">
        <f t="shared" si="0"/>
        <v>102</v>
      </c>
      <c r="G3" s="60">
        <f t="shared" si="0"/>
        <v>245.99999999999997</v>
      </c>
      <c r="H3" s="231" t="s">
        <v>200</v>
      </c>
    </row>
    <row r="4" spans="1:12" ht="17">
      <c r="A4" s="232" t="s">
        <v>297</v>
      </c>
      <c r="B4" s="60">
        <v>0</v>
      </c>
      <c r="C4" s="60" t="s">
        <v>577</v>
      </c>
      <c r="D4" s="60" t="s">
        <v>578</v>
      </c>
      <c r="E4" s="60" t="s">
        <v>579</v>
      </c>
      <c r="F4" s="60" t="s">
        <v>580</v>
      </c>
      <c r="G4" s="60" t="s">
        <v>1031</v>
      </c>
      <c r="H4" s="231" t="s">
        <v>202</v>
      </c>
      <c r="K4" s="4"/>
      <c r="L4" s="4" t="s">
        <v>906</v>
      </c>
    </row>
    <row r="5" spans="1:12">
      <c r="A5" s="275" t="s">
        <v>1073</v>
      </c>
      <c r="B5" s="68">
        <v>0</v>
      </c>
      <c r="C5" s="68">
        <f>0.05/0.95</f>
        <v>5.2631578947368425E-2</v>
      </c>
      <c r="D5" s="68">
        <f>0.2/0.95</f>
        <v>0.2105263157894737</v>
      </c>
      <c r="E5" s="68">
        <f>0.8/0.95</f>
        <v>0.8421052631578948</v>
      </c>
      <c r="F5" s="68">
        <f>2/0.95</f>
        <v>2.1052631578947367</v>
      </c>
      <c r="G5" s="68">
        <f>14/0.95</f>
        <v>14.736842105263159</v>
      </c>
      <c r="H5" s="231" t="s">
        <v>300</v>
      </c>
    </row>
    <row r="6" spans="1:12" ht="17" thickBot="1">
      <c r="A6" s="276" t="s">
        <v>1074</v>
      </c>
      <c r="B6" s="277">
        <v>0</v>
      </c>
      <c r="C6" s="277">
        <f>50/(220*0.95)</f>
        <v>0.23923444976076555</v>
      </c>
      <c r="D6" s="277">
        <f>200/(220*0.95)</f>
        <v>0.9569377990430622</v>
      </c>
      <c r="E6" s="277">
        <f>800/(220*0.95)</f>
        <v>3.8277511961722488</v>
      </c>
      <c r="F6" s="277">
        <f>2000/(220*0.95)</f>
        <v>9.5693779904306222</v>
      </c>
      <c r="G6" s="277">
        <f>14000/(220*0.95)</f>
        <v>66.985645933014354</v>
      </c>
      <c r="H6" s="234" t="s">
        <v>217</v>
      </c>
    </row>
    <row r="7" spans="1:12" ht="12" customHeight="1" thickBot="1"/>
    <row r="8" spans="1:12" ht="34">
      <c r="A8" s="305" t="s">
        <v>1077</v>
      </c>
      <c r="B8" s="253" t="s">
        <v>433</v>
      </c>
      <c r="C8" s="253" t="s">
        <v>889</v>
      </c>
      <c r="D8" s="253" t="s">
        <v>890</v>
      </c>
      <c r="E8" s="253" t="s">
        <v>891</v>
      </c>
      <c r="F8" s="174"/>
      <c r="H8" s="305" t="s">
        <v>907</v>
      </c>
      <c r="I8" s="253" t="s">
        <v>433</v>
      </c>
      <c r="J8" s="253" t="s">
        <v>889</v>
      </c>
      <c r="K8" s="253" t="s">
        <v>908</v>
      </c>
      <c r="L8" s="242" t="s">
        <v>909</v>
      </c>
    </row>
    <row r="9" spans="1:12">
      <c r="A9" s="175" t="s">
        <v>888</v>
      </c>
      <c r="B9" s="4">
        <v>60</v>
      </c>
      <c r="C9" s="4">
        <v>95</v>
      </c>
      <c r="D9" s="4">
        <v>112</v>
      </c>
      <c r="E9" s="4">
        <v>133</v>
      </c>
      <c r="F9" s="176"/>
      <c r="H9" s="175" t="s">
        <v>910</v>
      </c>
      <c r="I9" s="4">
        <v>59</v>
      </c>
      <c r="J9" s="4">
        <v>94</v>
      </c>
      <c r="K9" s="4">
        <v>109</v>
      </c>
      <c r="L9" s="176">
        <v>130</v>
      </c>
    </row>
    <row r="10" spans="1:12" ht="17">
      <c r="A10" s="177" t="s">
        <v>892</v>
      </c>
      <c r="B10" s="4">
        <v>0</v>
      </c>
      <c r="C10" s="4">
        <v>0</v>
      </c>
      <c r="D10" s="4">
        <v>18</v>
      </c>
      <c r="E10" s="4">
        <v>18</v>
      </c>
      <c r="F10" s="176"/>
      <c r="H10" s="175" t="s">
        <v>52</v>
      </c>
      <c r="I10" s="4">
        <v>0</v>
      </c>
      <c r="J10" s="4">
        <v>0</v>
      </c>
      <c r="K10" s="4">
        <v>18</v>
      </c>
      <c r="L10" s="176">
        <v>18</v>
      </c>
    </row>
    <row r="11" spans="1:12" ht="34">
      <c r="A11" s="311" t="s">
        <v>914</v>
      </c>
      <c r="B11" s="4">
        <v>176</v>
      </c>
      <c r="C11" s="4"/>
      <c r="D11" s="4"/>
      <c r="E11" s="4"/>
      <c r="F11" s="176"/>
      <c r="H11" s="175"/>
      <c r="I11" s="4"/>
      <c r="J11" s="4"/>
      <c r="K11" s="4"/>
      <c r="L11" s="176"/>
    </row>
    <row r="12" spans="1:12" ht="81" customHeight="1">
      <c r="A12" s="306" t="s">
        <v>1078</v>
      </c>
      <c r="B12" s="304" t="s">
        <v>826</v>
      </c>
      <c r="C12" s="5" t="s">
        <v>905</v>
      </c>
      <c r="D12" s="5" t="s">
        <v>904</v>
      </c>
      <c r="E12" s="5" t="s">
        <v>892</v>
      </c>
      <c r="F12" s="307" t="s">
        <v>914</v>
      </c>
      <c r="H12" s="306" t="s">
        <v>911</v>
      </c>
      <c r="I12" s="3" t="s">
        <v>912</v>
      </c>
      <c r="J12" s="3" t="s">
        <v>913</v>
      </c>
      <c r="K12" s="3"/>
      <c r="L12" s="310"/>
    </row>
    <row r="13" spans="1:12">
      <c r="A13" s="175" t="s">
        <v>893</v>
      </c>
      <c r="B13" s="4">
        <v>2.2000000000000002</v>
      </c>
      <c r="C13" s="4">
        <v>112</v>
      </c>
      <c r="D13" s="4">
        <v>133</v>
      </c>
      <c r="E13" s="4">
        <v>18</v>
      </c>
      <c r="F13" s="176">
        <v>540</v>
      </c>
      <c r="H13" s="175" t="s">
        <v>910</v>
      </c>
      <c r="I13" s="4">
        <v>109</v>
      </c>
      <c r="J13" s="4">
        <v>130</v>
      </c>
      <c r="L13" s="161"/>
    </row>
    <row r="14" spans="1:12" ht="17" thickBot="1">
      <c r="A14" s="175" t="s">
        <v>894</v>
      </c>
      <c r="B14" s="4">
        <v>3.3</v>
      </c>
      <c r="C14" s="4">
        <v>112</v>
      </c>
      <c r="D14" s="4">
        <v>133</v>
      </c>
      <c r="E14" s="4">
        <v>18</v>
      </c>
      <c r="F14" s="176">
        <v>688</v>
      </c>
      <c r="H14" s="187" t="s">
        <v>52</v>
      </c>
      <c r="I14" s="179">
        <v>18</v>
      </c>
      <c r="J14" s="179">
        <v>18</v>
      </c>
      <c r="K14" s="163"/>
      <c r="L14" s="164"/>
    </row>
    <row r="15" spans="1:12">
      <c r="A15" s="175" t="s">
        <v>895</v>
      </c>
      <c r="B15" s="4">
        <v>4.4000000000000004</v>
      </c>
      <c r="C15" s="4">
        <v>113</v>
      </c>
      <c r="D15" s="4">
        <v>134</v>
      </c>
      <c r="E15" s="4">
        <v>18</v>
      </c>
      <c r="F15" s="176">
        <v>972</v>
      </c>
      <c r="G15" s="4"/>
    </row>
    <row r="16" spans="1:12">
      <c r="A16" s="175" t="s">
        <v>896</v>
      </c>
      <c r="B16" s="4">
        <v>5.5</v>
      </c>
      <c r="C16" s="4">
        <v>113</v>
      </c>
      <c r="D16" s="4">
        <v>134</v>
      </c>
      <c r="E16" s="4">
        <v>18</v>
      </c>
      <c r="F16" s="176">
        <v>1215</v>
      </c>
      <c r="G16" s="4"/>
    </row>
    <row r="17" spans="1:14">
      <c r="A17" s="175" t="s">
        <v>897</v>
      </c>
      <c r="B17" s="4">
        <v>6.6</v>
      </c>
      <c r="C17" s="4">
        <v>113</v>
      </c>
      <c r="D17" s="4">
        <v>134</v>
      </c>
      <c r="E17" s="4">
        <v>18</v>
      </c>
      <c r="F17" s="176">
        <v>1566</v>
      </c>
      <c r="G17" s="4"/>
    </row>
    <row r="18" spans="1:14">
      <c r="A18" s="175" t="s">
        <v>898</v>
      </c>
      <c r="B18" s="4">
        <v>7.7</v>
      </c>
      <c r="C18" s="4">
        <v>113</v>
      </c>
      <c r="D18" s="4">
        <v>134</v>
      </c>
      <c r="E18" s="4">
        <v>18</v>
      </c>
      <c r="F18" s="176">
        <v>1834</v>
      </c>
      <c r="G18" s="4"/>
    </row>
    <row r="19" spans="1:14" ht="17" thickBot="1">
      <c r="A19" s="175" t="s">
        <v>899</v>
      </c>
      <c r="B19" s="4">
        <v>8.8000000000000007</v>
      </c>
      <c r="C19" s="4">
        <v>113</v>
      </c>
      <c r="D19" s="4">
        <v>134</v>
      </c>
      <c r="E19" s="4">
        <v>18</v>
      </c>
      <c r="F19" s="176">
        <v>2096</v>
      </c>
      <c r="G19" s="4"/>
    </row>
    <row r="20" spans="1:14">
      <c r="A20" s="175" t="s">
        <v>900</v>
      </c>
      <c r="B20" s="4">
        <v>9.9</v>
      </c>
      <c r="C20" s="4">
        <v>113</v>
      </c>
      <c r="D20" s="4">
        <v>134</v>
      </c>
      <c r="E20" s="4">
        <v>18</v>
      </c>
      <c r="F20" s="176">
        <v>2358</v>
      </c>
      <c r="G20" s="4"/>
      <c r="I20" s="539" t="s">
        <v>1115</v>
      </c>
      <c r="J20" s="540"/>
      <c r="K20" s="540"/>
      <c r="L20" s="540"/>
      <c r="M20" s="540"/>
      <c r="N20" s="541"/>
    </row>
    <row r="21" spans="1:14">
      <c r="A21" s="308" t="s">
        <v>901</v>
      </c>
      <c r="B21" s="4">
        <v>11</v>
      </c>
      <c r="C21" s="4">
        <v>114</v>
      </c>
      <c r="D21" s="4">
        <v>135</v>
      </c>
      <c r="E21" s="4">
        <v>18</v>
      </c>
      <c r="F21" s="176">
        <v>2620</v>
      </c>
      <c r="G21" s="4"/>
      <c r="I21" s="542"/>
      <c r="J21" s="451"/>
      <c r="K21" s="451"/>
      <c r="L21" s="451"/>
      <c r="M21" s="451"/>
      <c r="N21" s="543"/>
    </row>
    <row r="22" spans="1:14">
      <c r="A22" s="308" t="s">
        <v>902</v>
      </c>
      <c r="B22" s="4">
        <v>12.1</v>
      </c>
      <c r="C22" s="4">
        <v>114</v>
      </c>
      <c r="D22" s="4">
        <v>135</v>
      </c>
      <c r="E22" s="4">
        <v>18</v>
      </c>
      <c r="F22" s="176">
        <v>2882</v>
      </c>
      <c r="G22" s="4"/>
      <c r="I22" s="542"/>
      <c r="J22" s="451"/>
      <c r="K22" s="451"/>
      <c r="L22" s="451"/>
      <c r="M22" s="451"/>
      <c r="N22" s="543"/>
    </row>
    <row r="23" spans="1:14" ht="17" thickBot="1">
      <c r="A23" s="309" t="s">
        <v>903</v>
      </c>
      <c r="B23" s="179">
        <v>13.2</v>
      </c>
      <c r="C23" s="179">
        <v>114</v>
      </c>
      <c r="D23" s="179">
        <v>135</v>
      </c>
      <c r="E23" s="179">
        <v>18</v>
      </c>
      <c r="F23" s="180">
        <v>3144</v>
      </c>
      <c r="G23" s="4"/>
      <c r="I23" s="542"/>
      <c r="J23" s="451"/>
      <c r="K23" s="451"/>
      <c r="L23" s="451"/>
      <c r="M23" s="451"/>
      <c r="N23" s="543"/>
    </row>
    <row r="24" spans="1:14">
      <c r="A24" s="59"/>
      <c r="B24" s="4"/>
      <c r="C24" s="4"/>
      <c r="D24" s="4"/>
      <c r="E24" s="4"/>
      <c r="G24" s="4"/>
      <c r="I24" s="542"/>
      <c r="J24" s="451"/>
      <c r="K24" s="451"/>
      <c r="L24" s="451"/>
      <c r="M24" s="451"/>
      <c r="N24" s="543"/>
    </row>
    <row r="25" spans="1:14" ht="17" thickBot="1">
      <c r="A25" s="59"/>
      <c r="B25" s="4"/>
      <c r="C25" s="4"/>
      <c r="D25" s="4"/>
      <c r="E25" s="4"/>
      <c r="F25" s="4"/>
      <c r="G25" s="4"/>
      <c r="I25" s="544"/>
      <c r="J25" s="545"/>
      <c r="K25" s="545"/>
      <c r="L25" s="545"/>
      <c r="M25" s="545"/>
      <c r="N25" s="546"/>
    </row>
    <row r="26" spans="1:14" ht="17" thickBot="1">
      <c r="A26" s="4"/>
      <c r="B26" s="4"/>
      <c r="C26" s="4"/>
      <c r="D26" s="4"/>
      <c r="E26" s="4"/>
      <c r="F26" s="4"/>
      <c r="G26" s="4"/>
    </row>
    <row r="27" spans="1:14">
      <c r="A27" s="235" t="s">
        <v>109</v>
      </c>
      <c r="B27" s="236" t="s">
        <v>97</v>
      </c>
      <c r="C27" s="236" t="s">
        <v>98</v>
      </c>
      <c r="D27" s="236" t="s">
        <v>99</v>
      </c>
      <c r="E27" s="236" t="s">
        <v>100</v>
      </c>
      <c r="F27" s="236" t="s">
        <v>101</v>
      </c>
      <c r="G27" s="237" t="s">
        <v>102</v>
      </c>
    </row>
    <row r="28" spans="1:14" ht="16" customHeight="1">
      <c r="A28" s="175" t="s">
        <v>915</v>
      </c>
      <c r="B28" s="4">
        <f>E13*B10</f>
        <v>0</v>
      </c>
      <c r="C28" s="4" t="s">
        <v>58</v>
      </c>
      <c r="D28" s="4" t="s">
        <v>58</v>
      </c>
      <c r="E28" s="4" t="s">
        <v>58</v>
      </c>
      <c r="F28" s="4" t="s">
        <v>58</v>
      </c>
      <c r="G28" s="176" t="s">
        <v>58</v>
      </c>
      <c r="I28" s="11"/>
      <c r="J28" s="11"/>
      <c r="K28" s="11"/>
      <c r="L28" s="11"/>
      <c r="M28" s="11"/>
      <c r="N28" s="11"/>
    </row>
    <row r="29" spans="1:14">
      <c r="A29" s="175" t="s">
        <v>916</v>
      </c>
      <c r="B29" s="4">
        <v>0</v>
      </c>
      <c r="C29" s="4" t="s">
        <v>58</v>
      </c>
      <c r="D29" s="4" t="s">
        <v>58</v>
      </c>
      <c r="E29" s="4" t="s">
        <v>58</v>
      </c>
      <c r="F29" s="4">
        <f>(C13*F3+F13)*1.18</f>
        <v>14117.519999999999</v>
      </c>
      <c r="G29" s="176" t="s">
        <v>58</v>
      </c>
      <c r="I29" s="11"/>
      <c r="J29" s="11"/>
      <c r="K29" s="11"/>
      <c r="L29" s="11"/>
      <c r="M29" s="11"/>
      <c r="N29" s="11"/>
    </row>
    <row r="30" spans="1:14">
      <c r="A30" s="175" t="s">
        <v>917</v>
      </c>
      <c r="B30" s="4">
        <v>0</v>
      </c>
      <c r="C30" s="4" t="s">
        <v>58</v>
      </c>
      <c r="D30" s="4" t="s">
        <v>58</v>
      </c>
      <c r="E30" s="4" t="s">
        <v>58</v>
      </c>
      <c r="F30" s="4" t="s">
        <v>58</v>
      </c>
      <c r="G30" s="252">
        <f>(200*C14+($G3-200)*D14+F14)*1.18</f>
        <v>34463.079999999994</v>
      </c>
      <c r="I30" s="11"/>
      <c r="J30" s="11"/>
      <c r="K30" s="11"/>
      <c r="L30" s="11"/>
      <c r="M30" s="11"/>
      <c r="N30" s="11"/>
    </row>
    <row r="31" spans="1:14">
      <c r="A31" s="175" t="s">
        <v>918</v>
      </c>
      <c r="B31" s="4">
        <v>0</v>
      </c>
      <c r="C31" s="4" t="s">
        <v>58</v>
      </c>
      <c r="D31" s="4" t="s">
        <v>58</v>
      </c>
      <c r="E31" s="4" t="s">
        <v>58</v>
      </c>
      <c r="F31" s="4" t="s">
        <v>58</v>
      </c>
      <c r="G31" s="252">
        <f>(200*C15+(G3-200)*D15+F15)*1.18</f>
        <v>35088.479999999996</v>
      </c>
      <c r="I31" s="11"/>
      <c r="J31" s="11"/>
      <c r="K31" s="11"/>
      <c r="L31" s="11"/>
      <c r="M31" s="11"/>
      <c r="N31" s="11"/>
    </row>
    <row r="32" spans="1:14">
      <c r="A32" s="175" t="s">
        <v>919</v>
      </c>
      <c r="B32" s="4">
        <v>0</v>
      </c>
      <c r="C32" s="4" t="s">
        <v>58</v>
      </c>
      <c r="D32" s="4" t="s">
        <v>58</v>
      </c>
      <c r="E32" s="4" t="s">
        <v>58</v>
      </c>
      <c r="F32" s="4" t="s">
        <v>58</v>
      </c>
      <c r="G32" s="252">
        <f>(200*C16+(G3-200)*D16+F16)*1.18</f>
        <v>35375.219999999994</v>
      </c>
      <c r="I32" s="11"/>
      <c r="J32" s="11"/>
      <c r="K32" s="11"/>
      <c r="L32" s="11"/>
      <c r="M32" s="11"/>
      <c r="N32" s="11"/>
    </row>
    <row r="33" spans="1:14">
      <c r="A33" s="175" t="s">
        <v>920</v>
      </c>
      <c r="B33" s="4">
        <v>0</v>
      </c>
      <c r="C33" s="4" t="s">
        <v>58</v>
      </c>
      <c r="D33" s="4" t="s">
        <v>58</v>
      </c>
      <c r="E33" s="4" t="s">
        <v>58</v>
      </c>
      <c r="F33" s="4" t="s">
        <v>58</v>
      </c>
      <c r="G33" s="252">
        <f>(200*C17+(G3-200)*D17+F17)*1.18</f>
        <v>35789.399999999994</v>
      </c>
      <c r="I33" s="11"/>
      <c r="J33" s="11"/>
      <c r="K33" s="11"/>
      <c r="L33" s="11"/>
      <c r="M33" s="11"/>
      <c r="N33" s="11"/>
    </row>
    <row r="34" spans="1:14">
      <c r="A34" s="175" t="s">
        <v>921</v>
      </c>
      <c r="B34" s="4">
        <v>0</v>
      </c>
      <c r="C34" s="4" t="s">
        <v>58</v>
      </c>
      <c r="D34" s="4" t="s">
        <v>58</v>
      </c>
      <c r="E34" s="4" t="s">
        <v>58</v>
      </c>
      <c r="F34" s="4" t="s">
        <v>58</v>
      </c>
      <c r="G34" s="252">
        <f>(200*C18+(G3-200)*D18+F18)*1.18</f>
        <v>36105.639999999992</v>
      </c>
    </row>
    <row r="35" spans="1:14">
      <c r="A35" s="175" t="s">
        <v>922</v>
      </c>
      <c r="B35" s="4">
        <v>0</v>
      </c>
      <c r="C35" s="4" t="s">
        <v>58</v>
      </c>
      <c r="D35" s="4" t="s">
        <v>58</v>
      </c>
      <c r="E35" s="4" t="s">
        <v>58</v>
      </c>
      <c r="F35" s="4" t="s">
        <v>58</v>
      </c>
      <c r="G35" s="252">
        <f>(200*C19+(G3-200)*D19+F19)*1.18</f>
        <v>36414.799999999996</v>
      </c>
    </row>
    <row r="36" spans="1:14">
      <c r="A36" s="175" t="s">
        <v>923</v>
      </c>
      <c r="B36" s="4">
        <v>0</v>
      </c>
      <c r="C36" s="4" t="s">
        <v>58</v>
      </c>
      <c r="D36" s="4" t="s">
        <v>58</v>
      </c>
      <c r="E36" s="4" t="s">
        <v>58</v>
      </c>
      <c r="F36" s="4" t="s">
        <v>58</v>
      </c>
      <c r="G36" s="252">
        <f>(200*C20+(G3-200)*D20+F20)*1.18</f>
        <v>36723.959999999992</v>
      </c>
    </row>
    <row r="37" spans="1:14">
      <c r="A37" s="175" t="s">
        <v>924</v>
      </c>
      <c r="B37" s="4">
        <v>0</v>
      </c>
      <c r="C37" s="4" t="s">
        <v>58</v>
      </c>
      <c r="D37" s="4" t="s">
        <v>58</v>
      </c>
      <c r="E37" s="4" t="s">
        <v>58</v>
      </c>
      <c r="F37" s="4" t="s">
        <v>58</v>
      </c>
      <c r="G37" s="252">
        <f>(200*C21+(G3-200)*D21+F21)*1.18</f>
        <v>37323.399999999994</v>
      </c>
    </row>
    <row r="38" spans="1:14">
      <c r="A38" s="175" t="s">
        <v>925</v>
      </c>
      <c r="B38" s="4">
        <v>0</v>
      </c>
      <c r="C38" s="4" t="s">
        <v>58</v>
      </c>
      <c r="D38" s="4" t="s">
        <v>58</v>
      </c>
      <c r="E38" s="4" t="s">
        <v>58</v>
      </c>
      <c r="F38" s="4" t="s">
        <v>58</v>
      </c>
      <c r="G38" s="252">
        <f>(200*C22+(G3-200)*D22+F22)*1.18</f>
        <v>37632.55999999999</v>
      </c>
    </row>
    <row r="39" spans="1:14">
      <c r="A39" s="175" t="s">
        <v>926</v>
      </c>
      <c r="B39" s="4">
        <v>0</v>
      </c>
      <c r="C39" s="4" t="s">
        <v>58</v>
      </c>
      <c r="D39" s="4" t="s">
        <v>58</v>
      </c>
      <c r="E39" s="4" t="s">
        <v>58</v>
      </c>
      <c r="F39" s="4" t="s">
        <v>58</v>
      </c>
      <c r="G39" s="176">
        <f>(200*C23+(G3-200)*D23+F23)*1.18</f>
        <v>37941.719999999994</v>
      </c>
    </row>
    <row r="40" spans="1:14">
      <c r="A40" s="175" t="s">
        <v>1075</v>
      </c>
      <c r="B40" s="4">
        <v>0</v>
      </c>
      <c r="C40" s="4">
        <f>$I9*C3</f>
        <v>21.24</v>
      </c>
      <c r="D40" s="4">
        <f>$I9*D3</f>
        <v>354</v>
      </c>
      <c r="E40" s="4">
        <f>$I9*E3</f>
        <v>1770</v>
      </c>
      <c r="F40" s="4" t="s">
        <v>58</v>
      </c>
      <c r="G40" s="176" t="s">
        <v>58</v>
      </c>
    </row>
    <row r="41" spans="1:14" ht="17" thickBot="1">
      <c r="A41" s="187" t="s">
        <v>1076</v>
      </c>
      <c r="B41" s="179">
        <v>0</v>
      </c>
      <c r="C41" s="179" t="s">
        <v>58</v>
      </c>
      <c r="D41" s="179" t="s">
        <v>58</v>
      </c>
      <c r="E41" s="179" t="s">
        <v>58</v>
      </c>
      <c r="F41" s="179">
        <f>($I13*F3)*1.18</f>
        <v>13119.24</v>
      </c>
      <c r="G41" s="180">
        <f>(I13*200+(G3-200)*J13)*1.18</f>
        <v>32780.399999999994</v>
      </c>
    </row>
    <row r="42" spans="1:14" ht="17" thickBot="1">
      <c r="A42" s="4"/>
      <c r="B42" s="4"/>
      <c r="C42" s="4"/>
      <c r="D42" s="4"/>
      <c r="E42" s="4"/>
      <c r="F42" s="4"/>
      <c r="G42" s="4"/>
    </row>
    <row r="43" spans="1:14">
      <c r="A43" s="238" t="s">
        <v>927</v>
      </c>
      <c r="B43" s="239" t="s">
        <v>97</v>
      </c>
      <c r="C43" s="239" t="s">
        <v>98</v>
      </c>
      <c r="D43" s="239" t="s">
        <v>99</v>
      </c>
      <c r="E43" s="239" t="s">
        <v>100</v>
      </c>
      <c r="F43" s="239" t="s">
        <v>101</v>
      </c>
      <c r="G43" s="240" t="s">
        <v>102</v>
      </c>
    </row>
    <row r="44" spans="1:14" ht="17" thickBot="1">
      <c r="A44" s="198" t="s">
        <v>59</v>
      </c>
      <c r="B44" s="199">
        <v>0</v>
      </c>
      <c r="C44" s="199">
        <f>AVERAGE(C28,C40)</f>
        <v>21.24</v>
      </c>
      <c r="D44" s="199">
        <f>AVERAGE(D28,D40)</f>
        <v>354</v>
      </c>
      <c r="E44" s="199">
        <f>AVERAGE(E28,E40)</f>
        <v>1770</v>
      </c>
      <c r="F44" s="199">
        <f>AVERAGE(F29,F41)</f>
        <v>13618.38</v>
      </c>
      <c r="G44" s="200">
        <f>AVERAGE(G30:G39,G41)</f>
        <v>35967.150909090902</v>
      </c>
    </row>
    <row r="45" spans="1:14">
      <c r="A45" s="4"/>
      <c r="B45" s="4"/>
      <c r="C45" s="4"/>
      <c r="D45" s="4"/>
      <c r="E45" s="4"/>
      <c r="F45" s="4"/>
      <c r="G45" s="4"/>
    </row>
    <row r="46" spans="1:14">
      <c r="A46" s="4"/>
      <c r="B46" s="4"/>
      <c r="C46" s="4"/>
      <c r="D46" s="4"/>
      <c r="E46" s="4"/>
      <c r="F46" s="4"/>
      <c r="G46" s="4"/>
    </row>
    <row r="47" spans="1:14">
      <c r="A47" s="4"/>
      <c r="B47" s="4"/>
      <c r="C47" s="4"/>
      <c r="D47" s="4"/>
      <c r="E47" s="4"/>
      <c r="F47" s="4"/>
      <c r="G47" s="4"/>
    </row>
    <row r="48" spans="1:14">
      <c r="A48" s="4"/>
      <c r="B48" s="4"/>
      <c r="C48" s="4"/>
      <c r="D48" s="4"/>
      <c r="E48" s="4"/>
      <c r="F48" s="4"/>
      <c r="G48" s="4"/>
    </row>
    <row r="49" spans="1:7">
      <c r="A49" s="4"/>
      <c r="B49" s="4"/>
      <c r="C49" s="4"/>
      <c r="D49" s="4"/>
      <c r="E49" s="4"/>
      <c r="F49" s="4"/>
      <c r="G49" s="4"/>
    </row>
  </sheetData>
  <mergeCells count="1">
    <mergeCell ref="I20:N25"/>
  </mergeCells>
  <pageMargins left="0.7" right="0.7" top="0.75" bottom="0.75" header="0.3" footer="0.3"/>
  <pageSetup paperSize="9" orientation="portrait" horizontalDpi="0" verticalDpi="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38448-655E-8749-BFB2-CD262A7852E9}">
  <dimension ref="A1:R46"/>
  <sheetViews>
    <sheetView topLeftCell="A2" workbookViewId="0">
      <selection activeCell="M18" sqref="M18"/>
    </sheetView>
  </sheetViews>
  <sheetFormatPr baseColWidth="10" defaultRowHeight="16"/>
  <cols>
    <col min="1" max="1" width="20.1640625" customWidth="1"/>
    <col min="3" max="3" width="14.1640625" customWidth="1"/>
    <col min="6" max="6" width="10.83203125" style="4"/>
    <col min="9" max="9" width="10.83203125" style="1"/>
  </cols>
  <sheetData>
    <row r="1" spans="1:9">
      <c r="A1" s="227"/>
      <c r="B1" s="347" t="s">
        <v>97</v>
      </c>
      <c r="C1" s="347" t="s">
        <v>98</v>
      </c>
      <c r="D1" s="347" t="s">
        <v>99</v>
      </c>
      <c r="E1" s="347" t="s">
        <v>100</v>
      </c>
      <c r="F1" s="347" t="s">
        <v>101</v>
      </c>
      <c r="G1" s="347" t="s">
        <v>102</v>
      </c>
      <c r="H1" s="229" t="s">
        <v>199</v>
      </c>
    </row>
    <row r="2" spans="1:9">
      <c r="A2" s="230" t="s">
        <v>103</v>
      </c>
      <c r="B2" s="60">
        <v>0</v>
      </c>
      <c r="C2" s="60">
        <v>1.2E-2</v>
      </c>
      <c r="D2" s="60">
        <v>0.2</v>
      </c>
      <c r="E2" s="60">
        <v>1</v>
      </c>
      <c r="F2" s="60">
        <v>3.4</v>
      </c>
      <c r="G2" s="60">
        <v>8.1999999999999993</v>
      </c>
      <c r="H2" s="231" t="s">
        <v>200</v>
      </c>
    </row>
    <row r="3" spans="1:9" ht="34">
      <c r="A3" s="232" t="s">
        <v>110</v>
      </c>
      <c r="B3" s="60">
        <v>0</v>
      </c>
      <c r="C3" s="60">
        <f>C2*30</f>
        <v>0.36</v>
      </c>
      <c r="D3" s="60">
        <f t="shared" ref="D3:G3" si="0">D2*30</f>
        <v>6</v>
      </c>
      <c r="E3" s="60">
        <f t="shared" si="0"/>
        <v>30</v>
      </c>
      <c r="F3" s="60">
        <f t="shared" si="0"/>
        <v>102</v>
      </c>
      <c r="G3" s="60">
        <f t="shared" si="0"/>
        <v>245.99999999999997</v>
      </c>
      <c r="H3" s="231" t="s">
        <v>200</v>
      </c>
    </row>
    <row r="4" spans="1:9" ht="17">
      <c r="A4" s="232" t="s">
        <v>297</v>
      </c>
      <c r="B4" s="60">
        <v>0</v>
      </c>
      <c r="C4" s="60" t="s">
        <v>304</v>
      </c>
      <c r="D4" s="60" t="s">
        <v>303</v>
      </c>
      <c r="E4" s="60" t="s">
        <v>302</v>
      </c>
      <c r="F4" s="60" t="s">
        <v>301</v>
      </c>
      <c r="G4" s="60" t="s">
        <v>1032</v>
      </c>
      <c r="H4" s="231" t="s">
        <v>201</v>
      </c>
    </row>
    <row r="5" spans="1:9" ht="17" thickBot="1">
      <c r="A5" s="276" t="s">
        <v>581</v>
      </c>
      <c r="B5" s="277">
        <v>0</v>
      </c>
      <c r="C5" s="277">
        <f>0.05/0.95</f>
        <v>5.2631578947368425E-2</v>
      </c>
      <c r="D5" s="277">
        <f>0.2/0.95</f>
        <v>0.2105263157894737</v>
      </c>
      <c r="E5" s="233">
        <f>0.8/0.95</f>
        <v>0.8421052631578948</v>
      </c>
      <c r="F5" s="277">
        <f>2/0.95</f>
        <v>2.1052631578947367</v>
      </c>
      <c r="G5" s="277">
        <f>14/0.95</f>
        <v>14.736842105263159</v>
      </c>
      <c r="H5" s="234" t="s">
        <v>300</v>
      </c>
    </row>
    <row r="6" spans="1:9">
      <c r="A6" s="1"/>
      <c r="B6" s="1"/>
      <c r="C6" s="1"/>
      <c r="D6" s="1"/>
      <c r="E6" s="1"/>
      <c r="G6" s="1"/>
      <c r="H6" s="4"/>
    </row>
    <row r="9" spans="1:9">
      <c r="A9" s="520" t="s">
        <v>274</v>
      </c>
      <c r="B9" s="550"/>
      <c r="C9" s="550"/>
      <c r="D9" s="550"/>
      <c r="E9" s="550"/>
      <c r="F9" s="550"/>
      <c r="G9" s="550"/>
      <c r="H9" s="550"/>
      <c r="I9" s="551"/>
    </row>
    <row r="10" spans="1:9">
      <c r="A10" s="51" t="s">
        <v>271</v>
      </c>
      <c r="B10" s="36">
        <v>2.4590000000000001</v>
      </c>
      <c r="C10" s="548" t="s">
        <v>272</v>
      </c>
      <c r="D10" s="548"/>
      <c r="E10" s="548"/>
      <c r="F10" s="52">
        <v>390</v>
      </c>
      <c r="G10" s="548" t="s">
        <v>273</v>
      </c>
      <c r="H10" s="548"/>
      <c r="I10" s="102">
        <v>27.991</v>
      </c>
    </row>
    <row r="12" spans="1:9">
      <c r="A12" s="517" t="s">
        <v>275</v>
      </c>
      <c r="B12" s="506"/>
      <c r="C12" s="506"/>
      <c r="D12" s="506"/>
      <c r="E12" s="506"/>
      <c r="F12" s="506"/>
      <c r="G12" s="506"/>
      <c r="H12" s="506"/>
      <c r="I12" s="507"/>
    </row>
    <row r="13" spans="1:9">
      <c r="A13" s="51" t="s">
        <v>271</v>
      </c>
      <c r="B13" s="58">
        <v>5.9029999999999996</v>
      </c>
      <c r="C13" s="548" t="s">
        <v>272</v>
      </c>
      <c r="D13" s="548"/>
      <c r="E13" s="548"/>
      <c r="F13" s="52">
        <v>1520</v>
      </c>
      <c r="G13" s="548" t="s">
        <v>273</v>
      </c>
      <c r="H13" s="548"/>
      <c r="I13" s="102">
        <v>165.072</v>
      </c>
    </row>
    <row r="15" spans="1:9">
      <c r="A15" s="517" t="s">
        <v>276</v>
      </c>
      <c r="B15" s="506"/>
      <c r="C15" s="506"/>
      <c r="D15" s="506"/>
      <c r="E15" s="506"/>
      <c r="F15" s="506"/>
      <c r="G15" s="506"/>
      <c r="H15" s="506"/>
      <c r="I15" s="507"/>
    </row>
    <row r="16" spans="1:9">
      <c r="A16" s="51" t="s">
        <v>271</v>
      </c>
      <c r="B16" s="58">
        <v>5.9029999999999996</v>
      </c>
      <c r="C16" s="548" t="s">
        <v>272</v>
      </c>
      <c r="D16" s="548"/>
      <c r="E16" s="548"/>
      <c r="F16" s="52">
        <v>2470</v>
      </c>
      <c r="G16" s="548" t="s">
        <v>273</v>
      </c>
      <c r="H16" s="548"/>
      <c r="I16" s="102">
        <v>340.43900000000002</v>
      </c>
    </row>
    <row r="18" spans="1:12">
      <c r="A18" s="517" t="s">
        <v>277</v>
      </c>
      <c r="B18" s="506"/>
      <c r="C18" s="506"/>
      <c r="D18" s="506"/>
      <c r="E18" s="506"/>
      <c r="F18" s="506"/>
      <c r="G18" s="506"/>
      <c r="H18" s="506"/>
      <c r="I18" s="507"/>
    </row>
    <row r="19" spans="1:12">
      <c r="A19" s="51" t="s">
        <v>271</v>
      </c>
      <c r="B19" s="58">
        <v>5.9029999999999996</v>
      </c>
      <c r="C19" s="548" t="s">
        <v>272</v>
      </c>
      <c r="D19" s="548"/>
      <c r="E19" s="548"/>
      <c r="F19" s="52">
        <v>3810</v>
      </c>
      <c r="G19" s="548" t="s">
        <v>273</v>
      </c>
      <c r="H19" s="548"/>
      <c r="I19" s="102">
        <v>701.47299999999996</v>
      </c>
    </row>
    <row r="21" spans="1:12">
      <c r="A21" s="517" t="s">
        <v>278</v>
      </c>
      <c r="B21" s="506"/>
      <c r="C21" s="506"/>
      <c r="D21" s="506"/>
      <c r="E21" s="506"/>
      <c r="F21" s="506"/>
      <c r="G21" s="506"/>
      <c r="H21" s="506"/>
      <c r="I21" s="507"/>
      <c r="L21" s="60" t="s">
        <v>153</v>
      </c>
    </row>
    <row r="22" spans="1:12">
      <c r="A22" s="51" t="s">
        <v>271</v>
      </c>
      <c r="B22" s="58">
        <v>5.9029999999999996</v>
      </c>
      <c r="C22" s="548" t="s">
        <v>272</v>
      </c>
      <c r="D22" s="548"/>
      <c r="E22" s="548"/>
      <c r="F22" s="52">
        <v>6650</v>
      </c>
      <c r="G22" s="548" t="s">
        <v>273</v>
      </c>
      <c r="H22" s="548"/>
      <c r="I22" s="102">
        <v>1485.3209999999999</v>
      </c>
    </row>
    <row r="24" spans="1:12">
      <c r="A24" s="517" t="s">
        <v>279</v>
      </c>
      <c r="B24" s="506"/>
      <c r="C24" s="506"/>
      <c r="D24" s="506"/>
      <c r="E24" s="506"/>
      <c r="F24" s="506"/>
      <c r="G24" s="506"/>
      <c r="H24" s="506"/>
      <c r="I24" s="507"/>
    </row>
    <row r="25" spans="1:12">
      <c r="A25" s="51" t="s">
        <v>271</v>
      </c>
      <c r="B25" s="58">
        <v>5.9029999999999996</v>
      </c>
      <c r="C25" s="548" t="s">
        <v>272</v>
      </c>
      <c r="D25" s="548"/>
      <c r="E25" s="548"/>
      <c r="F25" s="52">
        <v>10220</v>
      </c>
      <c r="G25" s="548" t="s">
        <v>273</v>
      </c>
      <c r="H25" s="548"/>
      <c r="I25" s="102">
        <v>2723.5169999999998</v>
      </c>
    </row>
    <row r="27" spans="1:12">
      <c r="A27" s="517" t="s">
        <v>280</v>
      </c>
      <c r="B27" s="506"/>
      <c r="C27" s="506"/>
      <c r="D27" s="506"/>
      <c r="E27" s="506"/>
      <c r="F27" s="506"/>
      <c r="G27" s="506"/>
      <c r="H27" s="506"/>
      <c r="I27" s="507"/>
    </row>
    <row r="28" spans="1:12">
      <c r="A28" s="51" t="s">
        <v>271</v>
      </c>
      <c r="B28" s="58">
        <v>5.9029999999999996</v>
      </c>
      <c r="C28" s="548" t="s">
        <v>272</v>
      </c>
      <c r="D28" s="548"/>
      <c r="E28" s="548"/>
      <c r="F28" s="52">
        <v>14960</v>
      </c>
      <c r="G28" s="548" t="s">
        <v>273</v>
      </c>
      <c r="H28" s="548"/>
      <c r="I28" s="102">
        <v>4539.3019999999997</v>
      </c>
    </row>
    <row r="30" spans="1:12">
      <c r="A30" s="517" t="s">
        <v>281</v>
      </c>
      <c r="B30" s="506"/>
      <c r="C30" s="506"/>
      <c r="D30" s="506"/>
      <c r="E30" s="506"/>
      <c r="F30" s="506"/>
      <c r="G30" s="506"/>
      <c r="H30" s="506"/>
      <c r="I30" s="507"/>
    </row>
    <row r="31" spans="1:12">
      <c r="A31" s="51" t="s">
        <v>271</v>
      </c>
      <c r="B31" s="52">
        <v>5.9029999999999996</v>
      </c>
      <c r="C31" s="549" t="s">
        <v>272</v>
      </c>
      <c r="D31" s="549"/>
      <c r="E31" s="549"/>
      <c r="F31" s="52">
        <v>22090</v>
      </c>
      <c r="G31" s="549" t="s">
        <v>273</v>
      </c>
      <c r="H31" s="549"/>
      <c r="I31" s="102">
        <v>7428.857</v>
      </c>
    </row>
    <row r="32" spans="1:12">
      <c r="A32" s="4"/>
      <c r="B32" s="4"/>
      <c r="C32" s="4"/>
      <c r="D32" s="4"/>
      <c r="E32" s="4"/>
      <c r="G32" s="4"/>
      <c r="H32" s="4"/>
    </row>
    <row r="33" spans="1:18">
      <c r="A33" s="95" t="s">
        <v>109</v>
      </c>
      <c r="B33" s="96" t="s">
        <v>97</v>
      </c>
      <c r="C33" s="96" t="s">
        <v>98</v>
      </c>
      <c r="D33" s="96" t="s">
        <v>99</v>
      </c>
      <c r="E33" s="96" t="s">
        <v>100</v>
      </c>
      <c r="F33" s="96" t="s">
        <v>101</v>
      </c>
      <c r="G33" s="97" t="s">
        <v>102</v>
      </c>
      <c r="H33" s="4"/>
    </row>
    <row r="34" spans="1:18">
      <c r="A34" s="78">
        <v>5102</v>
      </c>
      <c r="B34" s="9">
        <v>0</v>
      </c>
      <c r="C34" s="9">
        <f>(C3*$B10+$I10)*1.16</f>
        <v>33.496438399999995</v>
      </c>
      <c r="D34" s="9">
        <f>(D3*$B10+$I10)*1.16</f>
        <v>49.584200000000003</v>
      </c>
      <c r="E34" s="9">
        <f>(E3*$B10+$I10)*1.16</f>
        <v>118.04275999999999</v>
      </c>
      <c r="F34" s="9">
        <f>(F3*$B10+$I10)*1.16</f>
        <v>323.41844000000003</v>
      </c>
      <c r="G34" s="42" t="s">
        <v>58</v>
      </c>
      <c r="H34" s="4"/>
    </row>
    <row r="35" spans="1:18">
      <c r="A35" s="41">
        <v>5106</v>
      </c>
      <c r="B35" s="4">
        <v>0</v>
      </c>
      <c r="C35" s="4" t="s">
        <v>58</v>
      </c>
      <c r="D35" s="4" t="s">
        <v>58</v>
      </c>
      <c r="E35" s="4" t="s">
        <v>58</v>
      </c>
      <c r="F35" s="4" t="s">
        <v>58</v>
      </c>
      <c r="G35" s="42">
        <f>(B13*G3+I13)*1.16</f>
        <v>1875.9635999999994</v>
      </c>
      <c r="H35" s="4"/>
    </row>
    <row r="36" spans="1:18">
      <c r="A36" s="41">
        <v>5109</v>
      </c>
      <c r="B36" s="9">
        <v>0</v>
      </c>
      <c r="C36" s="4" t="s">
        <v>58</v>
      </c>
      <c r="D36" s="4" t="s">
        <v>58</v>
      </c>
      <c r="E36" s="4" t="s">
        <v>58</v>
      </c>
      <c r="F36" s="4" t="s">
        <v>58</v>
      </c>
      <c r="G36" s="42">
        <f>(B16*G3+I16)*1.16</f>
        <v>2079.3893199999998</v>
      </c>
      <c r="H36" s="4"/>
    </row>
    <row r="37" spans="1:18">
      <c r="A37" s="41">
        <v>5112</v>
      </c>
      <c r="B37" s="9">
        <v>0</v>
      </c>
      <c r="C37" s="4" t="s">
        <v>58</v>
      </c>
      <c r="D37" s="4" t="s">
        <v>58</v>
      </c>
      <c r="E37" s="4" t="s">
        <v>58</v>
      </c>
      <c r="F37" s="4" t="s">
        <v>58</v>
      </c>
      <c r="G37" s="42">
        <f>(B19*G3+I19)*1.16</f>
        <v>2498.1887599999995</v>
      </c>
      <c r="H37" s="4"/>
    </row>
    <row r="38" spans="1:18">
      <c r="A38" s="41">
        <v>5118</v>
      </c>
      <c r="B38" s="9">
        <v>0</v>
      </c>
      <c r="C38" s="429"/>
      <c r="D38" s="429"/>
      <c r="E38" s="429"/>
      <c r="F38" s="429"/>
      <c r="G38" s="430"/>
      <c r="H38" s="4"/>
      <c r="L38" s="451" t="s">
        <v>1132</v>
      </c>
      <c r="M38" s="547"/>
      <c r="N38" s="547"/>
      <c r="O38" s="547"/>
      <c r="P38" s="547"/>
      <c r="Q38" s="547"/>
      <c r="R38" s="547"/>
    </row>
    <row r="39" spans="1:18">
      <c r="A39" s="41">
        <v>5124</v>
      </c>
      <c r="B39" s="9">
        <v>0</v>
      </c>
      <c r="C39" s="429"/>
      <c r="D39" s="429"/>
      <c r="E39" s="429"/>
      <c r="F39" s="429"/>
      <c r="G39" s="430"/>
      <c r="H39" s="4"/>
      <c r="L39" s="547"/>
      <c r="M39" s="547"/>
      <c r="N39" s="547"/>
      <c r="O39" s="547"/>
      <c r="P39" s="547"/>
      <c r="Q39" s="547"/>
      <c r="R39" s="547"/>
    </row>
    <row r="40" spans="1:18">
      <c r="A40" s="41">
        <v>5130</v>
      </c>
      <c r="B40" s="9">
        <v>0</v>
      </c>
      <c r="C40" s="429"/>
      <c r="D40" s="429"/>
      <c r="E40" s="429"/>
      <c r="F40" s="429"/>
      <c r="G40" s="430"/>
      <c r="H40" s="4"/>
      <c r="I40" s="1" t="s">
        <v>426</v>
      </c>
      <c r="L40" s="547"/>
      <c r="M40" s="547"/>
      <c r="N40" s="547"/>
      <c r="O40" s="547"/>
      <c r="P40" s="547"/>
      <c r="Q40" s="547"/>
      <c r="R40" s="547"/>
    </row>
    <row r="41" spans="1:18">
      <c r="A41" s="103">
        <v>5136</v>
      </c>
      <c r="B41" s="104">
        <v>0</v>
      </c>
      <c r="C41" s="134"/>
      <c r="D41" s="134"/>
      <c r="E41" s="134"/>
      <c r="F41" s="109"/>
      <c r="G41" s="431"/>
      <c r="L41" s="547"/>
      <c r="M41" s="547"/>
      <c r="N41" s="547"/>
      <c r="O41" s="547"/>
      <c r="P41" s="547"/>
      <c r="Q41" s="547"/>
      <c r="R41" s="547"/>
    </row>
    <row r="42" spans="1:18">
      <c r="A42" s="1"/>
      <c r="B42" s="1"/>
      <c r="C42" s="1"/>
      <c r="D42" s="1"/>
      <c r="E42" s="1"/>
      <c r="L42" s="547"/>
      <c r="M42" s="547"/>
      <c r="N42" s="547"/>
      <c r="O42" s="547"/>
      <c r="P42" s="547"/>
      <c r="Q42" s="547"/>
      <c r="R42" s="547"/>
    </row>
    <row r="43" spans="1:18">
      <c r="A43" s="1"/>
      <c r="B43" s="1"/>
      <c r="C43" s="1"/>
      <c r="D43" s="1"/>
      <c r="E43" s="1"/>
      <c r="L43" s="547"/>
      <c r="M43" s="547"/>
      <c r="N43" s="547"/>
      <c r="O43" s="547"/>
      <c r="P43" s="547"/>
      <c r="Q43" s="547"/>
      <c r="R43" s="547"/>
    </row>
    <row r="44" spans="1:18" ht="17" thickBot="1"/>
    <row r="45" spans="1:18">
      <c r="A45" s="346" t="s">
        <v>535</v>
      </c>
      <c r="B45" s="343" t="s">
        <v>97</v>
      </c>
      <c r="C45" s="343" t="s">
        <v>98</v>
      </c>
      <c r="D45" s="343" t="s">
        <v>99</v>
      </c>
      <c r="E45" s="343" t="s">
        <v>100</v>
      </c>
      <c r="F45" s="343" t="s">
        <v>101</v>
      </c>
      <c r="G45" s="344" t="s">
        <v>102</v>
      </c>
    </row>
    <row r="46" spans="1:18" ht="17" thickBot="1">
      <c r="A46" s="345" t="s">
        <v>1023</v>
      </c>
      <c r="B46" s="259">
        <v>0</v>
      </c>
      <c r="C46" s="259">
        <v>33.496438399999995</v>
      </c>
      <c r="D46" s="259">
        <v>49.584200000000003</v>
      </c>
      <c r="E46" s="259">
        <v>118.04276</v>
      </c>
      <c r="F46" s="259">
        <v>323.41844000000003</v>
      </c>
      <c r="G46" s="260">
        <f>AVERAGE(G35:G37)</f>
        <v>2151.1805599999993</v>
      </c>
    </row>
  </sheetData>
  <mergeCells count="25">
    <mergeCell ref="C10:E10"/>
    <mergeCell ref="G10:H10"/>
    <mergeCell ref="A9:I9"/>
    <mergeCell ref="C13:E13"/>
    <mergeCell ref="G13:H13"/>
    <mergeCell ref="A12:I12"/>
    <mergeCell ref="A15:I15"/>
    <mergeCell ref="C16:E16"/>
    <mergeCell ref="G16:H16"/>
    <mergeCell ref="A18:I18"/>
    <mergeCell ref="C19:E19"/>
    <mergeCell ref="G19:H19"/>
    <mergeCell ref="A21:I21"/>
    <mergeCell ref="C22:E22"/>
    <mergeCell ref="G22:H22"/>
    <mergeCell ref="A24:I24"/>
    <mergeCell ref="C25:E25"/>
    <mergeCell ref="G25:H25"/>
    <mergeCell ref="L38:R43"/>
    <mergeCell ref="A27:I27"/>
    <mergeCell ref="C28:E28"/>
    <mergeCell ref="G28:H28"/>
    <mergeCell ref="A30:I30"/>
    <mergeCell ref="C31:E31"/>
    <mergeCell ref="G31:H31"/>
  </mergeCells>
  <pageMargins left="0.7" right="0.7" top="0.75" bottom="0.75" header="0.3" footer="0.3"/>
  <pageSetup paperSize="9" orientation="portrait" horizontalDpi="0" verticalDpi="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2218C-A9A3-5648-8762-A27C32CCC038}">
  <dimension ref="A1:AC49"/>
  <sheetViews>
    <sheetView topLeftCell="A6" workbookViewId="0">
      <selection activeCell="G50" sqref="E45:G50"/>
    </sheetView>
  </sheetViews>
  <sheetFormatPr baseColWidth="10" defaultRowHeight="16"/>
  <cols>
    <col min="1" max="1" width="19.5" customWidth="1"/>
    <col min="5" max="5" width="10.6640625" customWidth="1"/>
    <col min="8" max="8" width="10" customWidth="1"/>
  </cols>
  <sheetData>
    <row r="1" spans="1:29">
      <c r="A1" s="172"/>
      <c r="B1" s="253" t="s">
        <v>97</v>
      </c>
      <c r="C1" s="253" t="s">
        <v>98</v>
      </c>
      <c r="D1" s="253" t="s">
        <v>99</v>
      </c>
      <c r="E1" s="253" t="s">
        <v>100</v>
      </c>
      <c r="F1" s="253" t="s">
        <v>101</v>
      </c>
      <c r="G1" s="253" t="s">
        <v>102</v>
      </c>
      <c r="H1" s="174" t="s">
        <v>199</v>
      </c>
    </row>
    <row r="2" spans="1:29">
      <c r="A2" s="175" t="s">
        <v>103</v>
      </c>
      <c r="B2" s="4">
        <v>0</v>
      </c>
      <c r="C2" s="4">
        <v>1.2E-2</v>
      </c>
      <c r="D2" s="4">
        <v>0.2</v>
      </c>
      <c r="E2" s="4">
        <v>1</v>
      </c>
      <c r="F2" s="4">
        <v>3.4</v>
      </c>
      <c r="G2" s="4">
        <v>8.1999999999999993</v>
      </c>
      <c r="H2" s="176" t="s">
        <v>200</v>
      </c>
    </row>
    <row r="3" spans="1:29" ht="34">
      <c r="A3" s="177" t="s">
        <v>110</v>
      </c>
      <c r="B3" s="4">
        <v>0</v>
      </c>
      <c r="C3" s="4">
        <f>C2*30</f>
        <v>0.36</v>
      </c>
      <c r="D3" s="4">
        <f t="shared" ref="D3:G3" si="0">D2*30</f>
        <v>6</v>
      </c>
      <c r="E3" s="4">
        <f t="shared" si="0"/>
        <v>30</v>
      </c>
      <c r="F3" s="4">
        <f t="shared" si="0"/>
        <v>102</v>
      </c>
      <c r="G3" s="4">
        <f t="shared" si="0"/>
        <v>245.99999999999997</v>
      </c>
      <c r="H3" s="176" t="s">
        <v>200</v>
      </c>
    </row>
    <row r="4" spans="1:29" ht="17" thickBot="1">
      <c r="A4" s="181" t="s">
        <v>194</v>
      </c>
      <c r="B4" s="182">
        <v>0</v>
      </c>
      <c r="C4" s="182">
        <v>50</v>
      </c>
      <c r="D4" s="182">
        <v>200</v>
      </c>
      <c r="E4" s="182">
        <v>800</v>
      </c>
      <c r="F4" s="182">
        <v>2000</v>
      </c>
      <c r="G4" s="182">
        <v>14000</v>
      </c>
      <c r="H4" s="180" t="s">
        <v>202</v>
      </c>
    </row>
    <row r="6" spans="1:29">
      <c r="A6" s="517" t="s">
        <v>1131</v>
      </c>
      <c r="B6" s="506"/>
      <c r="C6" s="506"/>
      <c r="D6" s="506"/>
      <c r="E6" s="506"/>
      <c r="F6" s="506"/>
      <c r="G6" s="506"/>
      <c r="H6" s="506"/>
      <c r="I6" s="506"/>
      <c r="J6" s="506"/>
      <c r="K6" s="506"/>
      <c r="L6" s="506"/>
      <c r="M6" s="506"/>
      <c r="N6" s="506"/>
      <c r="O6" s="506"/>
      <c r="P6" s="506"/>
      <c r="Q6" s="506"/>
      <c r="R6" s="506"/>
      <c r="S6" s="506"/>
      <c r="T6" s="506"/>
      <c r="U6" s="506"/>
      <c r="V6" s="506"/>
      <c r="W6" s="506"/>
      <c r="X6" s="507"/>
      <c r="AC6" t="s">
        <v>206</v>
      </c>
    </row>
    <row r="7" spans="1:29" ht="34">
      <c r="A7" s="40" t="s">
        <v>175</v>
      </c>
      <c r="B7">
        <v>2.1800000000000002</v>
      </c>
      <c r="C7" s="11" t="s">
        <v>176</v>
      </c>
      <c r="D7">
        <v>3.04</v>
      </c>
      <c r="E7" s="11" t="s">
        <v>177</v>
      </c>
      <c r="F7">
        <v>3.28</v>
      </c>
      <c r="G7" s="11" t="s">
        <v>178</v>
      </c>
      <c r="H7" s="11">
        <v>5.45</v>
      </c>
      <c r="I7" s="11" t="s">
        <v>179</v>
      </c>
      <c r="J7">
        <v>6.15</v>
      </c>
      <c r="K7" s="11" t="s">
        <v>180</v>
      </c>
      <c r="L7">
        <v>7.02</v>
      </c>
      <c r="M7" s="11" t="s">
        <v>181</v>
      </c>
      <c r="N7">
        <v>7.9</v>
      </c>
      <c r="O7" s="11" t="s">
        <v>182</v>
      </c>
      <c r="P7">
        <v>10.46</v>
      </c>
      <c r="Q7" s="11" t="s">
        <v>183</v>
      </c>
      <c r="R7">
        <v>10.68</v>
      </c>
      <c r="S7" s="11" t="s">
        <v>184</v>
      </c>
      <c r="T7">
        <v>10.91</v>
      </c>
      <c r="U7" s="11" t="s">
        <v>185</v>
      </c>
      <c r="V7">
        <v>11.13</v>
      </c>
      <c r="W7" s="11" t="s">
        <v>186</v>
      </c>
      <c r="X7" s="20">
        <v>11.36</v>
      </c>
      <c r="Z7" t="s">
        <v>70</v>
      </c>
      <c r="AC7" t="s">
        <v>203</v>
      </c>
    </row>
    <row r="8" spans="1:29">
      <c r="A8" s="556" t="s">
        <v>187</v>
      </c>
      <c r="B8" s="473"/>
      <c r="C8" s="473"/>
      <c r="D8" s="473"/>
      <c r="E8" s="473"/>
      <c r="F8" s="473"/>
      <c r="G8" s="473"/>
      <c r="H8" s="473"/>
      <c r="I8" s="473"/>
      <c r="J8" s="473"/>
      <c r="K8" s="473"/>
      <c r="L8" s="473"/>
      <c r="M8" s="473"/>
      <c r="N8" s="473"/>
      <c r="O8" s="473"/>
      <c r="P8" s="473"/>
      <c r="Q8" s="473"/>
      <c r="R8" s="473"/>
      <c r="S8" s="473"/>
      <c r="T8" s="473"/>
      <c r="U8" s="473"/>
      <c r="V8" s="473"/>
      <c r="W8" s="473"/>
      <c r="X8" s="557"/>
    </row>
    <row r="9" spans="1:29">
      <c r="A9" s="554">
        <v>31</v>
      </c>
      <c r="B9" s="495"/>
      <c r="C9" s="495"/>
      <c r="D9" s="495"/>
      <c r="E9" s="495"/>
      <c r="F9" s="495"/>
      <c r="G9" s="495"/>
      <c r="H9" s="495"/>
      <c r="I9" s="495"/>
      <c r="J9" s="495"/>
      <c r="K9" s="495"/>
      <c r="L9" s="495"/>
      <c r="M9" s="495"/>
      <c r="N9" s="495"/>
      <c r="O9" s="495"/>
      <c r="P9" s="495"/>
      <c r="Q9" s="495"/>
      <c r="R9" s="495"/>
      <c r="S9" s="495"/>
      <c r="T9" s="495"/>
      <c r="U9" s="495"/>
      <c r="V9" s="495"/>
      <c r="W9" s="495"/>
      <c r="X9" s="555"/>
      <c r="AC9" t="s">
        <v>204</v>
      </c>
    </row>
    <row r="10" spans="1:29">
      <c r="A10" s="554" t="s">
        <v>188</v>
      </c>
      <c r="B10" s="495"/>
      <c r="C10" s="495"/>
      <c r="D10" s="495"/>
      <c r="E10" s="495"/>
      <c r="F10" s="495"/>
      <c r="G10" s="495"/>
      <c r="H10" s="495"/>
      <c r="I10" s="495"/>
      <c r="J10" s="495"/>
      <c r="K10" s="495"/>
      <c r="L10" s="495"/>
      <c r="M10" s="495"/>
      <c r="N10" s="495"/>
      <c r="O10" s="495"/>
      <c r="P10" s="495"/>
      <c r="Q10" s="495"/>
      <c r="R10" s="495"/>
      <c r="S10" s="495"/>
      <c r="T10" s="495"/>
      <c r="U10" s="495"/>
      <c r="V10" s="495"/>
      <c r="W10" s="495"/>
      <c r="X10" s="555"/>
    </row>
    <row r="11" spans="1:29">
      <c r="A11" s="552" t="s">
        <v>58</v>
      </c>
      <c r="B11" s="548"/>
      <c r="C11" s="548"/>
      <c r="D11" s="548"/>
      <c r="E11" s="548"/>
      <c r="F11" s="548"/>
      <c r="G11" s="548"/>
      <c r="H11" s="548"/>
      <c r="I11" s="548"/>
      <c r="J11" s="548"/>
      <c r="K11" s="548"/>
      <c r="L11" s="548"/>
      <c r="M11" s="548"/>
      <c r="N11" s="548"/>
      <c r="O11" s="548"/>
      <c r="P11" s="548"/>
      <c r="Q11" s="548"/>
      <c r="R11" s="548"/>
      <c r="S11" s="548"/>
      <c r="T11" s="548"/>
      <c r="U11" s="548"/>
      <c r="V11" s="548"/>
      <c r="W11" s="548"/>
      <c r="X11" s="553"/>
      <c r="AC11" t="s">
        <v>205</v>
      </c>
    </row>
    <row r="13" spans="1:29">
      <c r="A13" s="517" t="s">
        <v>189</v>
      </c>
      <c r="B13" s="506"/>
      <c r="C13" s="506"/>
      <c r="D13" s="506"/>
      <c r="E13" s="506"/>
      <c r="F13" s="506"/>
      <c r="G13" s="506"/>
      <c r="H13" s="506"/>
      <c r="I13" s="506"/>
      <c r="J13" s="506"/>
      <c r="K13" s="506"/>
      <c r="L13" s="506"/>
      <c r="M13" s="506"/>
      <c r="N13" s="506"/>
      <c r="O13" s="506"/>
      <c r="P13" s="506"/>
      <c r="Q13" s="506"/>
      <c r="R13" s="506"/>
      <c r="S13" s="506"/>
      <c r="T13" s="506"/>
      <c r="U13" s="506"/>
      <c r="V13" s="506"/>
      <c r="W13" s="506"/>
      <c r="X13" s="507"/>
    </row>
    <row r="14" spans="1:29" ht="34">
      <c r="A14" s="40" t="s">
        <v>175</v>
      </c>
      <c r="B14">
        <v>3.16</v>
      </c>
      <c r="C14" s="11" t="s">
        <v>176</v>
      </c>
      <c r="D14">
        <v>4.38</v>
      </c>
      <c r="E14" s="11" t="s">
        <v>177</v>
      </c>
      <c r="F14">
        <v>4.74</v>
      </c>
      <c r="G14" s="11" t="s">
        <v>178</v>
      </c>
      <c r="H14" s="11">
        <v>5.45</v>
      </c>
      <c r="I14" s="11" t="s">
        <v>179</v>
      </c>
      <c r="J14">
        <v>6.15</v>
      </c>
      <c r="K14" s="11" t="s">
        <v>180</v>
      </c>
      <c r="L14">
        <v>7.02</v>
      </c>
      <c r="M14" s="11" t="s">
        <v>181</v>
      </c>
      <c r="N14">
        <v>7.9</v>
      </c>
      <c r="O14" s="11" t="s">
        <v>182</v>
      </c>
      <c r="P14">
        <v>10.46</v>
      </c>
      <c r="Q14" s="11" t="s">
        <v>183</v>
      </c>
      <c r="R14">
        <v>10.68</v>
      </c>
      <c r="S14" s="11" t="s">
        <v>184</v>
      </c>
      <c r="T14">
        <v>10.91</v>
      </c>
      <c r="U14" s="11" t="s">
        <v>185</v>
      </c>
      <c r="V14">
        <v>11.13</v>
      </c>
      <c r="W14" s="11" t="s">
        <v>186</v>
      </c>
      <c r="X14" s="20">
        <v>11.36</v>
      </c>
      <c r="Z14" t="s">
        <v>191</v>
      </c>
    </row>
    <row r="15" spans="1:29">
      <c r="A15" s="556" t="s">
        <v>187</v>
      </c>
      <c r="B15" s="473"/>
      <c r="C15" s="473"/>
      <c r="D15" s="473"/>
      <c r="E15" s="473"/>
      <c r="F15" s="473"/>
      <c r="G15" s="473"/>
      <c r="H15" s="473"/>
      <c r="I15" s="473"/>
      <c r="J15" s="473"/>
      <c r="K15" s="473"/>
      <c r="L15" s="473"/>
      <c r="M15" s="473"/>
      <c r="N15" s="473"/>
      <c r="O15" s="473"/>
      <c r="P15" s="473"/>
      <c r="Q15" s="473"/>
      <c r="R15" s="473"/>
      <c r="S15" s="473"/>
      <c r="T15" s="473"/>
      <c r="U15" s="473"/>
      <c r="V15" s="473"/>
      <c r="W15" s="473"/>
      <c r="X15" s="557"/>
    </row>
    <row r="16" spans="1:29">
      <c r="A16" s="554">
        <v>44</v>
      </c>
      <c r="B16" s="495"/>
      <c r="C16" s="495"/>
      <c r="D16" s="495"/>
      <c r="E16" s="495"/>
      <c r="F16" s="495"/>
      <c r="G16" s="495"/>
      <c r="H16" s="495"/>
      <c r="I16" s="495"/>
      <c r="J16" s="495"/>
      <c r="K16" s="495"/>
      <c r="L16" s="495"/>
      <c r="M16" s="495"/>
      <c r="N16" s="495"/>
      <c r="O16" s="495"/>
      <c r="P16" s="495"/>
      <c r="Q16" s="495"/>
      <c r="R16" s="495"/>
      <c r="S16" s="495"/>
      <c r="T16" s="495"/>
      <c r="U16" s="495"/>
      <c r="V16" s="495"/>
      <c r="W16" s="495"/>
      <c r="X16" s="555"/>
    </row>
    <row r="17" spans="1:26">
      <c r="A17" s="554" t="s">
        <v>188</v>
      </c>
      <c r="B17" s="495"/>
      <c r="C17" s="495"/>
      <c r="D17" s="495"/>
      <c r="E17" s="495"/>
      <c r="F17" s="495"/>
      <c r="G17" s="495"/>
      <c r="H17" s="495"/>
      <c r="I17" s="495"/>
      <c r="J17" s="495"/>
      <c r="K17" s="495"/>
      <c r="L17" s="495"/>
      <c r="M17" s="495"/>
      <c r="N17" s="495"/>
      <c r="O17" s="495"/>
      <c r="P17" s="495"/>
      <c r="Q17" s="495"/>
      <c r="R17" s="495"/>
      <c r="S17" s="495"/>
      <c r="T17" s="495"/>
      <c r="U17" s="495"/>
      <c r="V17" s="495"/>
      <c r="W17" s="495"/>
      <c r="X17" s="555"/>
    </row>
    <row r="18" spans="1:26">
      <c r="A18" s="552">
        <v>200</v>
      </c>
      <c r="B18" s="548"/>
      <c r="C18" s="548"/>
      <c r="D18" s="548"/>
      <c r="E18" s="548"/>
      <c r="F18" s="548"/>
      <c r="G18" s="548"/>
      <c r="H18" s="548"/>
      <c r="I18" s="548"/>
      <c r="J18" s="548"/>
      <c r="K18" s="548"/>
      <c r="L18" s="548"/>
      <c r="M18" s="548"/>
      <c r="N18" s="548"/>
      <c r="O18" s="548"/>
      <c r="P18" s="548"/>
      <c r="Q18" s="548"/>
      <c r="R18" s="548"/>
      <c r="S18" s="548"/>
      <c r="T18" s="548"/>
      <c r="U18" s="548"/>
      <c r="V18" s="548"/>
      <c r="W18" s="548"/>
      <c r="X18" s="553"/>
    </row>
    <row r="20" spans="1:26">
      <c r="A20" s="517" t="s">
        <v>230</v>
      </c>
      <c r="B20" s="506"/>
      <c r="C20" s="506"/>
      <c r="D20" s="506"/>
      <c r="E20" s="506"/>
      <c r="F20" s="506"/>
      <c r="G20" s="506"/>
      <c r="H20" s="506"/>
      <c r="I20" s="506"/>
      <c r="J20" s="506"/>
      <c r="K20" s="506"/>
      <c r="L20" s="506"/>
      <c r="M20" s="506"/>
      <c r="N20" s="506"/>
      <c r="O20" s="506"/>
      <c r="P20" s="506"/>
      <c r="Q20" s="506"/>
      <c r="R20" s="506"/>
      <c r="S20" s="506"/>
      <c r="T20" s="506"/>
      <c r="U20" s="506"/>
      <c r="V20" s="506"/>
      <c r="W20" s="506"/>
      <c r="X20" s="507"/>
    </row>
    <row r="21" spans="1:26" ht="34">
      <c r="A21" s="40" t="s">
        <v>175</v>
      </c>
      <c r="B21">
        <v>3.16</v>
      </c>
      <c r="C21" s="11" t="s">
        <v>176</v>
      </c>
      <c r="D21">
        <v>4.38</v>
      </c>
      <c r="E21" s="11" t="s">
        <v>177</v>
      </c>
      <c r="F21">
        <v>4.74</v>
      </c>
      <c r="G21" s="11" t="s">
        <v>178</v>
      </c>
      <c r="H21" s="11">
        <v>5.45</v>
      </c>
      <c r="I21" s="11" t="s">
        <v>179</v>
      </c>
      <c r="J21">
        <v>6.15</v>
      </c>
      <c r="K21" s="11" t="s">
        <v>180</v>
      </c>
      <c r="L21">
        <v>7.02</v>
      </c>
      <c r="M21" s="11" t="s">
        <v>181</v>
      </c>
      <c r="N21">
        <v>7.9</v>
      </c>
      <c r="O21" s="11" t="s">
        <v>182</v>
      </c>
      <c r="P21">
        <v>10.46</v>
      </c>
      <c r="Q21" s="11" t="s">
        <v>183</v>
      </c>
      <c r="R21">
        <v>10.68</v>
      </c>
      <c r="S21" s="11" t="s">
        <v>184</v>
      </c>
      <c r="T21">
        <v>10.91</v>
      </c>
      <c r="U21" s="11" t="s">
        <v>185</v>
      </c>
      <c r="V21">
        <v>11.13</v>
      </c>
      <c r="W21" s="11" t="s">
        <v>186</v>
      </c>
      <c r="X21" s="20">
        <v>11.36</v>
      </c>
      <c r="Z21" t="s">
        <v>192</v>
      </c>
    </row>
    <row r="22" spans="1:26">
      <c r="A22" s="556" t="s">
        <v>187</v>
      </c>
      <c r="B22" s="473"/>
      <c r="C22" s="473"/>
      <c r="D22" s="473"/>
      <c r="E22" s="473"/>
      <c r="F22" s="473"/>
      <c r="G22" s="473"/>
      <c r="H22" s="473"/>
      <c r="I22" s="473"/>
      <c r="J22" s="473"/>
      <c r="K22" s="473"/>
      <c r="L22" s="473"/>
      <c r="M22" s="473"/>
      <c r="N22" s="473"/>
      <c r="O22" s="473"/>
      <c r="P22" s="473"/>
      <c r="Q22" s="473"/>
      <c r="R22" s="473"/>
      <c r="S22" s="473"/>
      <c r="T22" s="473"/>
      <c r="U22" s="473"/>
      <c r="V22" s="473"/>
      <c r="W22" s="473"/>
      <c r="X22" s="557"/>
    </row>
    <row r="23" spans="1:26">
      <c r="A23" s="554">
        <v>184</v>
      </c>
      <c r="B23" s="495"/>
      <c r="C23" s="495"/>
      <c r="D23" s="495"/>
      <c r="E23" s="495"/>
      <c r="F23" s="495"/>
      <c r="G23" s="495"/>
      <c r="H23" s="495"/>
      <c r="I23" s="495"/>
      <c r="J23" s="495"/>
      <c r="K23" s="495"/>
      <c r="L23" s="495"/>
      <c r="M23" s="495"/>
      <c r="N23" s="495"/>
      <c r="O23" s="495"/>
      <c r="P23" s="495"/>
      <c r="Q23" s="495"/>
      <c r="R23" s="495"/>
      <c r="S23" s="495"/>
      <c r="T23" s="495"/>
      <c r="U23" s="495"/>
      <c r="V23" s="495"/>
      <c r="W23" s="495"/>
      <c r="X23" s="555"/>
    </row>
    <row r="24" spans="1:26">
      <c r="A24" s="554" t="s">
        <v>188</v>
      </c>
      <c r="B24" s="495"/>
      <c r="C24" s="495"/>
      <c r="D24" s="495"/>
      <c r="E24" s="495"/>
      <c r="F24" s="495"/>
      <c r="G24" s="495"/>
      <c r="H24" s="495"/>
      <c r="I24" s="495"/>
      <c r="J24" s="495"/>
      <c r="K24" s="495"/>
      <c r="L24" s="495"/>
      <c r="M24" s="495"/>
      <c r="N24" s="495"/>
      <c r="O24" s="495"/>
      <c r="P24" s="495"/>
      <c r="Q24" s="495"/>
      <c r="R24" s="495"/>
      <c r="S24" s="495"/>
      <c r="T24" s="495"/>
      <c r="U24" s="495"/>
      <c r="V24" s="495"/>
      <c r="W24" s="495"/>
      <c r="X24" s="555"/>
    </row>
    <row r="25" spans="1:26">
      <c r="A25" s="552">
        <v>600</v>
      </c>
      <c r="B25" s="548"/>
      <c r="C25" s="548"/>
      <c r="D25" s="548"/>
      <c r="E25" s="548"/>
      <c r="F25" s="548"/>
      <c r="G25" s="548"/>
      <c r="H25" s="548"/>
      <c r="I25" s="548"/>
      <c r="J25" s="548"/>
      <c r="K25" s="548"/>
      <c r="L25" s="548"/>
      <c r="M25" s="548"/>
      <c r="N25" s="548"/>
      <c r="O25" s="548"/>
      <c r="P25" s="548"/>
      <c r="Q25" s="548"/>
      <c r="R25" s="548"/>
      <c r="S25" s="548"/>
      <c r="T25" s="548"/>
      <c r="U25" s="548"/>
      <c r="V25" s="548"/>
      <c r="W25" s="548"/>
      <c r="X25" s="553"/>
    </row>
    <row r="27" spans="1:26">
      <c r="A27" s="517" t="s">
        <v>190</v>
      </c>
      <c r="B27" s="506"/>
      <c r="C27" s="506"/>
      <c r="D27" s="506"/>
      <c r="E27" s="506"/>
      <c r="F27" s="506"/>
      <c r="G27" s="506"/>
      <c r="H27" s="506"/>
      <c r="I27" s="506"/>
      <c r="J27" s="506"/>
      <c r="K27" s="506"/>
      <c r="L27" s="506"/>
      <c r="M27" s="506"/>
      <c r="N27" s="506"/>
      <c r="O27" s="506"/>
      <c r="P27" s="506"/>
      <c r="Q27" s="506"/>
      <c r="R27" s="506"/>
      <c r="S27" s="506"/>
      <c r="T27" s="506"/>
      <c r="U27" s="506"/>
      <c r="V27" s="506"/>
      <c r="W27" s="506"/>
      <c r="X27" s="507"/>
    </row>
    <row r="28" spans="1:26" ht="34">
      <c r="A28" s="40" t="s">
        <v>175</v>
      </c>
      <c r="B28">
        <v>3.16</v>
      </c>
      <c r="C28" s="11" t="s">
        <v>176</v>
      </c>
      <c r="D28">
        <v>4.38</v>
      </c>
      <c r="E28" s="11" t="s">
        <v>177</v>
      </c>
      <c r="F28">
        <v>4.74</v>
      </c>
      <c r="G28" s="11" t="s">
        <v>178</v>
      </c>
      <c r="H28" s="11">
        <v>5.45</v>
      </c>
      <c r="I28" s="11" t="s">
        <v>179</v>
      </c>
      <c r="J28">
        <v>6.15</v>
      </c>
      <c r="K28" s="11" t="s">
        <v>180</v>
      </c>
      <c r="L28">
        <v>7.02</v>
      </c>
      <c r="M28" s="11" t="s">
        <v>181</v>
      </c>
      <c r="N28">
        <v>7.9</v>
      </c>
      <c r="O28" s="11" t="s">
        <v>182</v>
      </c>
      <c r="P28">
        <v>10.46</v>
      </c>
      <c r="Q28" s="11" t="s">
        <v>183</v>
      </c>
      <c r="R28">
        <v>10.68</v>
      </c>
      <c r="S28" s="11" t="s">
        <v>184</v>
      </c>
      <c r="T28">
        <v>10.91</v>
      </c>
      <c r="U28" s="11" t="s">
        <v>185</v>
      </c>
      <c r="V28">
        <v>11.13</v>
      </c>
      <c r="W28" s="11" t="s">
        <v>186</v>
      </c>
      <c r="X28" s="20">
        <v>11.36</v>
      </c>
      <c r="Z28" t="s">
        <v>193</v>
      </c>
    </row>
    <row r="29" spans="1:26">
      <c r="A29" s="556" t="s">
        <v>187</v>
      </c>
      <c r="B29" s="473"/>
      <c r="C29" s="473"/>
      <c r="D29" s="473"/>
      <c r="E29" s="473"/>
      <c r="F29" s="473"/>
      <c r="G29" s="473"/>
      <c r="H29" s="473"/>
      <c r="I29" s="473"/>
      <c r="J29" s="473"/>
      <c r="K29" s="473"/>
      <c r="L29" s="473"/>
      <c r="M29" s="473"/>
      <c r="N29" s="473"/>
      <c r="O29" s="473"/>
      <c r="P29" s="473"/>
      <c r="Q29" s="473"/>
      <c r="R29" s="473"/>
      <c r="S29" s="473"/>
      <c r="T29" s="473"/>
      <c r="U29" s="473"/>
      <c r="V29" s="473"/>
      <c r="W29" s="473"/>
      <c r="X29" s="557"/>
    </row>
    <row r="30" spans="1:26">
      <c r="A30" s="554">
        <v>369</v>
      </c>
      <c r="B30" s="495"/>
      <c r="C30" s="495"/>
      <c r="D30" s="495"/>
      <c r="E30" s="495"/>
      <c r="F30" s="495"/>
      <c r="G30" s="495"/>
      <c r="H30" s="495"/>
      <c r="I30" s="495"/>
      <c r="J30" s="495"/>
      <c r="K30" s="495"/>
      <c r="L30" s="495"/>
      <c r="M30" s="495"/>
      <c r="N30" s="495"/>
      <c r="O30" s="495"/>
      <c r="P30" s="495"/>
      <c r="Q30" s="495"/>
      <c r="R30" s="495"/>
      <c r="S30" s="495"/>
      <c r="T30" s="495"/>
      <c r="U30" s="495"/>
      <c r="V30" s="495"/>
      <c r="W30" s="495"/>
      <c r="X30" s="555"/>
    </row>
    <row r="31" spans="1:26">
      <c r="A31" s="554" t="s">
        <v>188</v>
      </c>
      <c r="B31" s="495"/>
      <c r="C31" s="495"/>
      <c r="D31" s="495"/>
      <c r="E31" s="495"/>
      <c r="F31" s="495"/>
      <c r="G31" s="495"/>
      <c r="H31" s="495"/>
      <c r="I31" s="495"/>
      <c r="J31" s="495"/>
      <c r="K31" s="495"/>
      <c r="L31" s="495"/>
      <c r="M31" s="495"/>
      <c r="N31" s="495"/>
      <c r="O31" s="495"/>
      <c r="P31" s="495"/>
      <c r="Q31" s="495"/>
      <c r="R31" s="495"/>
      <c r="S31" s="495"/>
      <c r="T31" s="495"/>
      <c r="U31" s="495"/>
      <c r="V31" s="495"/>
      <c r="W31" s="495"/>
      <c r="X31" s="555"/>
    </row>
    <row r="32" spans="1:26">
      <c r="A32" s="552">
        <v>1200</v>
      </c>
      <c r="B32" s="548"/>
      <c r="C32" s="548"/>
      <c r="D32" s="548"/>
      <c r="E32" s="548"/>
      <c r="F32" s="548"/>
      <c r="G32" s="548"/>
      <c r="H32" s="548"/>
      <c r="I32" s="548"/>
      <c r="J32" s="548"/>
      <c r="K32" s="548"/>
      <c r="L32" s="548"/>
      <c r="M32" s="548"/>
      <c r="N32" s="548"/>
      <c r="O32" s="548"/>
      <c r="P32" s="548"/>
      <c r="Q32" s="548"/>
      <c r="R32" s="548"/>
      <c r="S32" s="548"/>
      <c r="T32" s="548"/>
      <c r="U32" s="548"/>
      <c r="V32" s="548"/>
      <c r="W32" s="548"/>
      <c r="X32" s="553"/>
    </row>
    <row r="35" spans="1:17">
      <c r="A35" s="95" t="s">
        <v>109</v>
      </c>
      <c r="B35" s="96" t="s">
        <v>97</v>
      </c>
      <c r="C35" s="96" t="s">
        <v>98</v>
      </c>
      <c r="D35" s="96" t="s">
        <v>99</v>
      </c>
      <c r="E35" s="96" t="s">
        <v>100</v>
      </c>
      <c r="F35" s="96" t="s">
        <v>101</v>
      </c>
      <c r="G35" s="97" t="s">
        <v>102</v>
      </c>
    </row>
    <row r="36" spans="1:17">
      <c r="A36" s="41" t="s">
        <v>174</v>
      </c>
      <c r="B36" s="4">
        <v>0</v>
      </c>
      <c r="C36" s="4">
        <f>C3*B7+A9</f>
        <v>31.784800000000001</v>
      </c>
      <c r="D36" s="4">
        <f>D3*$B7+$A9</f>
        <v>44.08</v>
      </c>
      <c r="E36" s="4">
        <f>25*$B7+(E3-25)*D7+$A9</f>
        <v>100.7</v>
      </c>
      <c r="F36" s="4" t="s">
        <v>58</v>
      </c>
      <c r="G36" s="42" t="s">
        <v>58</v>
      </c>
      <c r="J36" s="25" t="s">
        <v>207</v>
      </c>
    </row>
    <row r="37" spans="1:17">
      <c r="A37" s="41" t="s">
        <v>189</v>
      </c>
      <c r="B37" s="4">
        <v>0</v>
      </c>
      <c r="C37" s="4" t="s">
        <v>58</v>
      </c>
      <c r="D37" s="4" t="s">
        <v>58</v>
      </c>
      <c r="E37" s="4" t="s">
        <v>58</v>
      </c>
      <c r="F37" s="4" t="s">
        <v>58</v>
      </c>
      <c r="G37" s="42" t="s">
        <v>58</v>
      </c>
    </row>
    <row r="38" spans="1:17">
      <c r="A38" s="41" t="s">
        <v>230</v>
      </c>
      <c r="B38" s="4">
        <v>0</v>
      </c>
      <c r="C38" s="4" t="s">
        <v>58</v>
      </c>
      <c r="D38" s="4" t="s">
        <v>58</v>
      </c>
      <c r="E38" s="4" t="s">
        <v>58</v>
      </c>
      <c r="F38" s="4">
        <f>25*B21+25*D21+25*F21+25*H21+(F3-100)*J21+A23</f>
        <v>639.54999999999995</v>
      </c>
      <c r="G38" s="42" t="s">
        <v>58</v>
      </c>
    </row>
    <row r="39" spans="1:17" ht="16" customHeight="1">
      <c r="A39" s="51" t="s">
        <v>190</v>
      </c>
      <c r="B39" s="52">
        <v>0</v>
      </c>
      <c r="C39" s="52" t="s">
        <v>58</v>
      </c>
      <c r="D39" s="52" t="s">
        <v>58</v>
      </c>
      <c r="E39" s="52" t="s">
        <v>58</v>
      </c>
      <c r="F39" s="52" t="s">
        <v>58</v>
      </c>
      <c r="G39" s="53">
        <f>25*B28+D28*25+F28*25+H28*25+J28*100+(G3-200)*L28+A30</f>
        <v>1750.1699999999998</v>
      </c>
      <c r="J39" s="451" t="s">
        <v>1130</v>
      </c>
      <c r="K39" s="451"/>
      <c r="L39" s="451"/>
      <c r="M39" s="451"/>
      <c r="N39" s="451"/>
      <c r="O39" s="451"/>
      <c r="P39" s="451"/>
      <c r="Q39" s="451"/>
    </row>
    <row r="40" spans="1:17">
      <c r="J40" s="451"/>
      <c r="K40" s="451"/>
      <c r="L40" s="451"/>
      <c r="M40" s="451"/>
      <c r="N40" s="451"/>
      <c r="O40" s="451"/>
      <c r="P40" s="451"/>
      <c r="Q40" s="451"/>
    </row>
    <row r="41" spans="1:17">
      <c r="A41" s="138" t="s">
        <v>537</v>
      </c>
      <c r="B41" s="130" t="s">
        <v>97</v>
      </c>
      <c r="C41" s="130" t="s">
        <v>98</v>
      </c>
      <c r="D41" s="130" t="s">
        <v>99</v>
      </c>
      <c r="E41" s="130" t="s">
        <v>100</v>
      </c>
      <c r="F41" s="130" t="s">
        <v>101</v>
      </c>
      <c r="G41" s="131" t="s">
        <v>102</v>
      </c>
      <c r="J41" s="451"/>
      <c r="K41" s="451"/>
      <c r="L41" s="451"/>
      <c r="M41" s="451"/>
      <c r="N41" s="451"/>
      <c r="O41" s="451"/>
      <c r="P41" s="451"/>
      <c r="Q41" s="451"/>
    </row>
    <row r="42" spans="1:17">
      <c r="A42" s="108" t="s">
        <v>78</v>
      </c>
      <c r="B42" s="134">
        <v>0</v>
      </c>
      <c r="C42" s="134">
        <f>AVERAGE(C36:C37)</f>
        <v>31.784800000000001</v>
      </c>
      <c r="D42" s="134">
        <f>AVERAGE(D36:D37)</f>
        <v>44.08</v>
      </c>
      <c r="E42" s="134">
        <f>AVERAGE(E36)</f>
        <v>100.7</v>
      </c>
      <c r="F42" s="134">
        <v>639.54999999999995</v>
      </c>
      <c r="G42" s="135">
        <v>1750.17</v>
      </c>
      <c r="J42" s="451"/>
      <c r="K42" s="451"/>
      <c r="L42" s="451"/>
      <c r="M42" s="451"/>
      <c r="N42" s="451"/>
      <c r="O42" s="451"/>
      <c r="P42" s="451"/>
      <c r="Q42" s="451"/>
    </row>
    <row r="43" spans="1:17">
      <c r="J43" s="451"/>
      <c r="K43" s="451"/>
      <c r="L43" s="451"/>
      <c r="M43" s="451"/>
      <c r="N43" s="451"/>
      <c r="O43" s="451"/>
      <c r="P43" s="451"/>
      <c r="Q43" s="451"/>
    </row>
    <row r="44" spans="1:17">
      <c r="J44" s="451"/>
      <c r="K44" s="451"/>
      <c r="L44" s="451"/>
      <c r="M44" s="451"/>
      <c r="N44" s="451"/>
      <c r="O44" s="451"/>
      <c r="P44" s="451"/>
      <c r="Q44" s="451"/>
    </row>
    <row r="45" spans="1:17">
      <c r="J45" s="451"/>
      <c r="K45" s="451"/>
      <c r="L45" s="451"/>
      <c r="M45" s="451"/>
      <c r="N45" s="451"/>
      <c r="O45" s="451"/>
      <c r="P45" s="451"/>
      <c r="Q45" s="451"/>
    </row>
    <row r="46" spans="1:17">
      <c r="J46" s="451"/>
      <c r="K46" s="451"/>
      <c r="L46" s="451"/>
      <c r="M46" s="451"/>
      <c r="N46" s="451"/>
      <c r="O46" s="451"/>
      <c r="P46" s="451"/>
      <c r="Q46" s="451"/>
    </row>
    <row r="47" spans="1:17">
      <c r="J47" s="451"/>
      <c r="K47" s="451"/>
      <c r="L47" s="451"/>
      <c r="M47" s="451"/>
      <c r="N47" s="451"/>
      <c r="O47" s="451"/>
      <c r="P47" s="451"/>
      <c r="Q47" s="451"/>
    </row>
    <row r="48" spans="1:17">
      <c r="J48" s="451"/>
      <c r="K48" s="451"/>
      <c r="L48" s="451"/>
      <c r="M48" s="451"/>
      <c r="N48" s="451"/>
      <c r="O48" s="451"/>
      <c r="P48" s="451"/>
      <c r="Q48" s="451"/>
    </row>
    <row r="49" spans="10:17">
      <c r="J49" s="451"/>
      <c r="K49" s="451"/>
      <c r="L49" s="451"/>
      <c r="M49" s="451"/>
      <c r="N49" s="451"/>
      <c r="O49" s="451"/>
      <c r="P49" s="451"/>
      <c r="Q49" s="451"/>
    </row>
  </sheetData>
  <mergeCells count="21">
    <mergeCell ref="A13:X13"/>
    <mergeCell ref="A6:X6"/>
    <mergeCell ref="A8:X8"/>
    <mergeCell ref="A9:X9"/>
    <mergeCell ref="A10:X10"/>
    <mergeCell ref="A11:X11"/>
    <mergeCell ref="A15:X15"/>
    <mergeCell ref="A17:X17"/>
    <mergeCell ref="A20:X20"/>
    <mergeCell ref="A22:X22"/>
    <mergeCell ref="A24:X24"/>
    <mergeCell ref="A16:X16"/>
    <mergeCell ref="A18:X18"/>
    <mergeCell ref="A23:X23"/>
    <mergeCell ref="A25:X25"/>
    <mergeCell ref="A30:X30"/>
    <mergeCell ref="J39:Q49"/>
    <mergeCell ref="A32:X32"/>
    <mergeCell ref="A29:X29"/>
    <mergeCell ref="A31:X31"/>
    <mergeCell ref="A27:X27"/>
  </mergeCells>
  <pageMargins left="0.7" right="0.7" top="0.75" bottom="0.75" header="0.3" footer="0.3"/>
  <pageSetup paperSize="9" orientation="portrait" horizontalDpi="0" verticalDpi="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04DCB-7991-3545-B131-A10FCAE1F807}">
  <dimension ref="A1:N21"/>
  <sheetViews>
    <sheetView zoomScale="171" workbookViewId="0">
      <selection activeCell="E18" sqref="E18"/>
    </sheetView>
  </sheetViews>
  <sheetFormatPr baseColWidth="10" defaultRowHeight="16"/>
  <cols>
    <col min="1" max="1" width="20.1640625" customWidth="1"/>
  </cols>
  <sheetData>
    <row r="1" spans="1:14">
      <c r="A1" s="172"/>
      <c r="B1" s="253" t="s">
        <v>97</v>
      </c>
      <c r="C1" s="253" t="s">
        <v>98</v>
      </c>
      <c r="D1" s="253" t="s">
        <v>99</v>
      </c>
      <c r="E1" s="253" t="s">
        <v>100</v>
      </c>
      <c r="F1" s="253" t="s">
        <v>101</v>
      </c>
      <c r="G1" s="253" t="s">
        <v>102</v>
      </c>
      <c r="H1" s="174" t="s">
        <v>199</v>
      </c>
    </row>
    <row r="2" spans="1:14">
      <c r="A2" s="175" t="s">
        <v>103</v>
      </c>
      <c r="B2" s="4">
        <v>0</v>
      </c>
      <c r="C2" s="4">
        <v>1.2E-2</v>
      </c>
      <c r="D2" s="4">
        <v>0.2</v>
      </c>
      <c r="E2" s="4">
        <v>1</v>
      </c>
      <c r="F2" s="4">
        <v>3.4</v>
      </c>
      <c r="G2" s="4">
        <v>8.1999999999999993</v>
      </c>
      <c r="H2" s="176" t="s">
        <v>200</v>
      </c>
    </row>
    <row r="3" spans="1:14" ht="35" thickBot="1">
      <c r="A3" s="178" t="s">
        <v>110</v>
      </c>
      <c r="B3" s="179">
        <v>0</v>
      </c>
      <c r="C3" s="179">
        <f>C2*30</f>
        <v>0.36</v>
      </c>
      <c r="D3" s="179">
        <f t="shared" ref="D3:G3" si="0">D2*30</f>
        <v>6</v>
      </c>
      <c r="E3" s="179">
        <f t="shared" si="0"/>
        <v>30</v>
      </c>
      <c r="F3" s="179">
        <f t="shared" si="0"/>
        <v>102</v>
      </c>
      <c r="G3" s="179">
        <f t="shared" si="0"/>
        <v>245.99999999999997</v>
      </c>
      <c r="H3" s="180" t="s">
        <v>200</v>
      </c>
    </row>
    <row r="4" spans="1:14" ht="17" thickBot="1"/>
    <row r="5" spans="1:14">
      <c r="A5" s="464" t="s">
        <v>208</v>
      </c>
      <c r="B5" s="448"/>
      <c r="C5" s="448"/>
      <c r="D5" s="448"/>
      <c r="E5" s="448"/>
      <c r="F5" s="448"/>
      <c r="G5" s="448"/>
      <c r="H5" s="449"/>
    </row>
    <row r="6" spans="1:14">
      <c r="A6" s="494" t="s">
        <v>212</v>
      </c>
      <c r="B6" s="495"/>
      <c r="C6" s="495"/>
      <c r="D6" s="495"/>
      <c r="E6" s="495"/>
      <c r="F6" s="495"/>
      <c r="G6" s="495"/>
      <c r="H6" s="496"/>
    </row>
    <row r="7" spans="1:14" ht="35" thickBot="1">
      <c r="A7" s="244" t="s">
        <v>209</v>
      </c>
      <c r="B7" s="163">
        <v>6</v>
      </c>
      <c r="C7" s="248" t="s">
        <v>210</v>
      </c>
      <c r="D7" s="163">
        <v>8.49</v>
      </c>
      <c r="E7" s="248" t="s">
        <v>211</v>
      </c>
      <c r="F7" s="163">
        <v>8.91</v>
      </c>
      <c r="G7" s="163" t="s">
        <v>1142</v>
      </c>
      <c r="H7" s="164">
        <v>7.64</v>
      </c>
    </row>
    <row r="8" spans="1:14">
      <c r="A8" s="464" t="s">
        <v>47</v>
      </c>
      <c r="B8" s="448"/>
      <c r="C8" s="448"/>
      <c r="D8" s="449"/>
    </row>
    <row r="9" spans="1:14" ht="18" thickBot="1">
      <c r="A9" s="244" t="s">
        <v>213</v>
      </c>
      <c r="B9" s="163">
        <v>0.97</v>
      </c>
      <c r="C9" s="163" t="s">
        <v>1142</v>
      </c>
      <c r="D9" s="164">
        <v>0.97</v>
      </c>
      <c r="G9" s="25" t="s">
        <v>216</v>
      </c>
      <c r="H9" s="26"/>
    </row>
    <row r="11" spans="1:14" ht="16" customHeight="1">
      <c r="A11" s="95" t="s">
        <v>109</v>
      </c>
      <c r="B11" s="96" t="s">
        <v>97</v>
      </c>
      <c r="C11" s="96" t="s">
        <v>98</v>
      </c>
      <c r="D11" s="96" t="s">
        <v>99</v>
      </c>
      <c r="E11" s="96" t="s">
        <v>100</v>
      </c>
      <c r="F11" s="96" t="s">
        <v>101</v>
      </c>
      <c r="G11" s="97" t="s">
        <v>102</v>
      </c>
      <c r="I11" s="451" t="s">
        <v>1133</v>
      </c>
      <c r="J11" s="451"/>
      <c r="K11" s="451"/>
      <c r="L11" s="451"/>
      <c r="M11" s="451"/>
      <c r="N11" s="451"/>
    </row>
    <row r="12" spans="1:14">
      <c r="A12" s="41" t="s">
        <v>161</v>
      </c>
      <c r="B12" s="4">
        <v>0</v>
      </c>
      <c r="C12" s="4">
        <f>C3*$B9</f>
        <v>0.34919999999999995</v>
      </c>
      <c r="D12" s="4">
        <f>D3*$B9</f>
        <v>5.82</v>
      </c>
      <c r="E12" s="4">
        <f>E3*$B9</f>
        <v>29.099999999999998</v>
      </c>
      <c r="F12" s="4" t="s">
        <v>58</v>
      </c>
      <c r="G12" s="42" t="s">
        <v>58</v>
      </c>
      <c r="I12" s="451"/>
      <c r="J12" s="451"/>
      <c r="K12" s="451"/>
      <c r="L12" s="451"/>
      <c r="M12" s="451"/>
      <c r="N12" s="451"/>
    </row>
    <row r="13" spans="1:14">
      <c r="A13" s="41" t="s">
        <v>1143</v>
      </c>
      <c r="B13" s="4">
        <v>0</v>
      </c>
      <c r="C13" s="4">
        <f>$D9*C3</f>
        <v>0.34919999999999995</v>
      </c>
      <c r="D13" s="4">
        <f t="shared" ref="D13" si="1">$D9*D3</f>
        <v>5.82</v>
      </c>
      <c r="E13" s="4">
        <f>$D9*E3</f>
        <v>29.099999999999998</v>
      </c>
      <c r="F13" s="4" t="s">
        <v>58</v>
      </c>
      <c r="G13" s="42" t="s">
        <v>58</v>
      </c>
      <c r="I13" s="451"/>
      <c r="J13" s="451"/>
      <c r="K13" s="451"/>
      <c r="L13" s="451"/>
      <c r="M13" s="451"/>
      <c r="N13" s="451"/>
    </row>
    <row r="14" spans="1:14">
      <c r="A14" s="41" t="s">
        <v>1144</v>
      </c>
      <c r="B14" s="4">
        <v>0</v>
      </c>
      <c r="C14" s="4" t="s">
        <v>58</v>
      </c>
      <c r="D14" s="4" t="s">
        <v>58</v>
      </c>
      <c r="E14" s="4" t="s">
        <v>58</v>
      </c>
      <c r="F14" s="4">
        <f>$H7*F3</f>
        <v>779.28</v>
      </c>
      <c r="G14" s="4">
        <f>$H7*G3</f>
        <v>1879.4399999999996</v>
      </c>
      <c r="I14" s="451"/>
      <c r="J14" s="451"/>
      <c r="K14" s="451"/>
      <c r="L14" s="451"/>
      <c r="M14" s="451"/>
      <c r="N14" s="451"/>
    </row>
    <row r="15" spans="1:14">
      <c r="A15" s="51" t="s">
        <v>215</v>
      </c>
      <c r="B15" s="52">
        <v>0</v>
      </c>
      <c r="C15" s="52" t="s">
        <v>58</v>
      </c>
      <c r="D15" s="52" t="s">
        <v>58</v>
      </c>
      <c r="E15" s="52" t="s">
        <v>58</v>
      </c>
      <c r="F15" s="52">
        <f>F3*$B7</f>
        <v>612</v>
      </c>
      <c r="G15" s="53">
        <f>200*B7+(G3-200)*D7</f>
        <v>1590.5399999999997</v>
      </c>
      <c r="I15" s="451"/>
      <c r="J15" s="451"/>
      <c r="K15" s="451"/>
      <c r="L15" s="451"/>
      <c r="M15" s="451"/>
      <c r="N15" s="451"/>
    </row>
    <row r="16" spans="1:14">
      <c r="A16" s="6"/>
      <c r="I16" s="451"/>
      <c r="J16" s="451"/>
      <c r="K16" s="451"/>
      <c r="L16" s="451"/>
      <c r="M16" s="451"/>
      <c r="N16" s="451"/>
    </row>
    <row r="17" spans="1:14">
      <c r="A17" s="129" t="s">
        <v>535</v>
      </c>
      <c r="B17" s="130" t="s">
        <v>97</v>
      </c>
      <c r="C17" s="130" t="s">
        <v>98</v>
      </c>
      <c r="D17" s="130" t="s">
        <v>99</v>
      </c>
      <c r="E17" s="130" t="s">
        <v>100</v>
      </c>
      <c r="F17" s="130" t="s">
        <v>101</v>
      </c>
      <c r="G17" s="131" t="s">
        <v>102</v>
      </c>
      <c r="I17" s="13"/>
      <c r="J17" s="13"/>
      <c r="K17" s="13"/>
      <c r="L17" s="13"/>
      <c r="M17" s="13"/>
      <c r="N17" s="13"/>
    </row>
    <row r="18" spans="1:14">
      <c r="A18" s="108" t="s">
        <v>78</v>
      </c>
      <c r="B18" s="109">
        <v>0</v>
      </c>
      <c r="C18" s="109">
        <f>AVERAGE(C12:C13)</f>
        <v>0.34919999999999995</v>
      </c>
      <c r="D18" s="109">
        <f>AVERAGE(D12:D13)</f>
        <v>5.82</v>
      </c>
      <c r="E18" s="109">
        <f>AVERAGE(E12:E13)</f>
        <v>29.099999999999998</v>
      </c>
      <c r="F18" s="109">
        <f>AVERAGE(F14:F15)</f>
        <v>695.64</v>
      </c>
      <c r="G18" s="110">
        <f>AVERAGE(G14:G15)</f>
        <v>1734.9899999999998</v>
      </c>
      <c r="I18" s="13"/>
      <c r="J18" s="13"/>
      <c r="K18" s="13"/>
      <c r="L18" s="13"/>
      <c r="M18" s="13"/>
      <c r="N18" s="13"/>
    </row>
    <row r="19" spans="1:14">
      <c r="I19" s="13"/>
      <c r="J19" s="13"/>
      <c r="K19" s="13"/>
      <c r="L19" s="13"/>
      <c r="M19" s="13"/>
      <c r="N19" s="13"/>
    </row>
    <row r="20" spans="1:14">
      <c r="I20" s="13"/>
      <c r="J20" s="13"/>
      <c r="K20" s="13"/>
      <c r="L20" s="13"/>
      <c r="M20" s="13"/>
      <c r="N20" s="13"/>
    </row>
    <row r="21" spans="1:14">
      <c r="I21" s="13"/>
      <c r="J21" s="13"/>
      <c r="K21" s="13"/>
      <c r="L21" s="13"/>
      <c r="M21" s="13"/>
      <c r="N21" s="13"/>
    </row>
  </sheetData>
  <mergeCells count="4">
    <mergeCell ref="A6:H6"/>
    <mergeCell ref="A8:D8"/>
    <mergeCell ref="A5:H5"/>
    <mergeCell ref="I11:N16"/>
  </mergeCells>
  <pageMargins left="0.7" right="0.7" top="0.75" bottom="0.75" header="0.3" footer="0.3"/>
  <pageSetup paperSize="9" orientation="portrait" horizontalDpi="0" verticalDpi="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7D8ED-CBCB-614E-81BF-CAE624A9CBB5}">
  <dimension ref="A1:R50"/>
  <sheetViews>
    <sheetView topLeftCell="A11" zoomScale="88" zoomScaleNormal="160" workbookViewId="0">
      <selection activeCell="G48" sqref="G48"/>
    </sheetView>
  </sheetViews>
  <sheetFormatPr baseColWidth="10" defaultRowHeight="16"/>
  <cols>
    <col min="1" max="1" width="39.83203125" style="1" customWidth="1"/>
    <col min="2" max="2" width="25.1640625" customWidth="1"/>
    <col min="3" max="3" width="25" customWidth="1"/>
    <col min="4" max="4" width="26" customWidth="1"/>
    <col min="5" max="5" width="14.83203125" customWidth="1"/>
    <col min="6" max="6" width="16.1640625" customWidth="1"/>
    <col min="7" max="7" width="18.5" customWidth="1"/>
    <col min="8" max="8" width="30.83203125" customWidth="1"/>
    <col min="9" max="9" width="19.6640625" style="4" customWidth="1"/>
  </cols>
  <sheetData>
    <row r="1" spans="1:16">
      <c r="A1" s="227"/>
      <c r="B1" s="228" t="s">
        <v>97</v>
      </c>
      <c r="C1" s="228" t="s">
        <v>98</v>
      </c>
      <c r="D1" s="228" t="s">
        <v>99</v>
      </c>
      <c r="E1" s="228" t="s">
        <v>100</v>
      </c>
      <c r="F1" s="228" t="s">
        <v>101</v>
      </c>
      <c r="G1" s="228" t="s">
        <v>102</v>
      </c>
      <c r="H1" s="229" t="s">
        <v>199</v>
      </c>
    </row>
    <row r="2" spans="1:16">
      <c r="A2" s="230" t="s">
        <v>103</v>
      </c>
      <c r="B2" s="60">
        <v>0</v>
      </c>
      <c r="C2" s="60">
        <v>1.2E-2</v>
      </c>
      <c r="D2" s="60">
        <v>0.2</v>
      </c>
      <c r="E2" s="60">
        <v>1</v>
      </c>
      <c r="F2" s="60">
        <v>3.4</v>
      </c>
      <c r="G2" s="60">
        <v>8.1999999999999993</v>
      </c>
      <c r="H2" s="231" t="s">
        <v>200</v>
      </c>
    </row>
    <row r="3" spans="1:16" ht="18" thickBot="1">
      <c r="A3" s="232" t="s">
        <v>110</v>
      </c>
      <c r="B3" s="60">
        <v>0</v>
      </c>
      <c r="C3" s="60">
        <f>C2*30</f>
        <v>0.36</v>
      </c>
      <c r="D3" s="60">
        <f t="shared" ref="D3:G3" si="0">D2*30</f>
        <v>6</v>
      </c>
      <c r="E3" s="60">
        <f t="shared" si="0"/>
        <v>30</v>
      </c>
      <c r="F3" s="60">
        <f t="shared" si="0"/>
        <v>102</v>
      </c>
      <c r="G3" s="60">
        <f t="shared" si="0"/>
        <v>245.99999999999997</v>
      </c>
      <c r="H3" s="231" t="s">
        <v>200</v>
      </c>
    </row>
    <row r="4" spans="1:16" ht="17">
      <c r="A4" s="232" t="s">
        <v>297</v>
      </c>
      <c r="B4" s="60">
        <v>0</v>
      </c>
      <c r="C4" s="60" t="s">
        <v>577</v>
      </c>
      <c r="D4" s="60" t="s">
        <v>578</v>
      </c>
      <c r="E4" s="60" t="s">
        <v>579</v>
      </c>
      <c r="F4" s="60" t="s">
        <v>580</v>
      </c>
      <c r="G4" s="60" t="s">
        <v>1031</v>
      </c>
      <c r="H4" s="231" t="s">
        <v>202</v>
      </c>
      <c r="K4" s="157" t="s">
        <v>583</v>
      </c>
      <c r="L4" s="158"/>
      <c r="M4" s="158"/>
      <c r="N4" s="158"/>
      <c r="O4" s="158"/>
      <c r="P4" s="159"/>
    </row>
    <row r="5" spans="1:16">
      <c r="A5" s="275" t="s">
        <v>581</v>
      </c>
      <c r="B5" s="68">
        <v>0</v>
      </c>
      <c r="C5" s="68">
        <f>0.05/0.95</f>
        <v>5.2631578947368425E-2</v>
      </c>
      <c r="D5" s="68">
        <f>0.2/0.95</f>
        <v>0.2105263157894737</v>
      </c>
      <c r="E5" s="68">
        <f>0.8/0.95</f>
        <v>0.8421052631578948</v>
      </c>
      <c r="F5" s="68">
        <f>2/0.95</f>
        <v>2.1052631578947367</v>
      </c>
      <c r="G5" s="68">
        <f>14/0.95</f>
        <v>14.736842105263159</v>
      </c>
      <c r="H5" s="231" t="s">
        <v>300</v>
      </c>
      <c r="K5" s="160" t="s">
        <v>584</v>
      </c>
      <c r="P5" s="161"/>
    </row>
    <row r="6" spans="1:16" ht="17" thickBot="1">
      <c r="A6" s="276" t="s">
        <v>333</v>
      </c>
      <c r="B6" s="277">
        <v>0</v>
      </c>
      <c r="C6" s="277">
        <f>50/(220*0.95)</f>
        <v>0.23923444976076555</v>
      </c>
      <c r="D6" s="277">
        <f>200/(220*0.95)</f>
        <v>0.9569377990430622</v>
      </c>
      <c r="E6" s="277">
        <f>800/(220*0.95)</f>
        <v>3.8277511961722488</v>
      </c>
      <c r="F6" s="277">
        <f>2000/(220*0.95)</f>
        <v>9.5693779904306222</v>
      </c>
      <c r="G6" s="277">
        <f>14000/(220*0.95)</f>
        <v>66.985645933014354</v>
      </c>
      <c r="H6" s="234" t="s">
        <v>217</v>
      </c>
      <c r="K6" s="162" t="s">
        <v>585</v>
      </c>
      <c r="L6" s="163"/>
      <c r="M6" s="163"/>
      <c r="N6" s="163"/>
      <c r="O6" s="163"/>
      <c r="P6" s="164"/>
    </row>
    <row r="7" spans="1:16" ht="17" thickBot="1">
      <c r="B7" s="1"/>
      <c r="C7" s="1"/>
      <c r="D7" s="1"/>
      <c r="E7" s="1"/>
      <c r="F7" s="1"/>
      <c r="G7" s="1"/>
      <c r="H7" s="4"/>
    </row>
    <row r="8" spans="1:16">
      <c r="A8" s="485" t="s">
        <v>931</v>
      </c>
      <c r="B8" s="486"/>
      <c r="C8" s="486"/>
      <c r="D8" s="487"/>
      <c r="E8" s="1"/>
      <c r="F8" s="1"/>
      <c r="G8" s="1"/>
      <c r="H8" s="4" t="s">
        <v>938</v>
      </c>
    </row>
    <row r="9" spans="1:16" ht="17" customHeight="1">
      <c r="A9" s="224"/>
      <c r="B9" s="146" t="s">
        <v>934</v>
      </c>
      <c r="C9" s="1" t="s">
        <v>935</v>
      </c>
      <c r="D9" s="252" t="s">
        <v>936</v>
      </c>
      <c r="E9" s="1"/>
      <c r="F9" s="1"/>
      <c r="G9" s="1"/>
      <c r="H9" s="4"/>
    </row>
    <row r="10" spans="1:16" ht="18" customHeight="1">
      <c r="A10" s="224" t="s">
        <v>932</v>
      </c>
      <c r="B10" s="1">
        <v>2.2400000000000002</v>
      </c>
      <c r="C10" s="1">
        <v>2.12E-2</v>
      </c>
      <c r="D10" s="252">
        <v>1.6E-2</v>
      </c>
      <c r="E10" s="523" t="s">
        <v>937</v>
      </c>
      <c r="F10" s="523"/>
      <c r="G10" s="523"/>
      <c r="H10" s="4"/>
    </row>
    <row r="11" spans="1:16" ht="17" thickBot="1">
      <c r="A11" s="181" t="s">
        <v>933</v>
      </c>
      <c r="B11" s="182">
        <v>2.57</v>
      </c>
      <c r="C11" s="182">
        <v>2.12E-2</v>
      </c>
      <c r="D11" s="270">
        <v>1.6E-2</v>
      </c>
      <c r="E11" s="1"/>
      <c r="F11" s="1"/>
      <c r="G11" s="1"/>
      <c r="H11" s="4"/>
    </row>
    <row r="12" spans="1:16" ht="17" thickBot="1">
      <c r="B12" s="4"/>
      <c r="C12" s="4"/>
      <c r="D12" s="4"/>
      <c r="E12" s="4"/>
      <c r="F12" s="4"/>
      <c r="G12" s="4"/>
      <c r="H12" s="4"/>
    </row>
    <row r="13" spans="1:16">
      <c r="A13" s="485" t="s">
        <v>939</v>
      </c>
      <c r="B13" s="486"/>
      <c r="C13" s="486"/>
      <c r="D13" s="486"/>
      <c r="E13" s="486"/>
      <c r="F13" s="486"/>
      <c r="G13" s="486"/>
      <c r="H13" s="486"/>
      <c r="I13" s="174"/>
    </row>
    <row r="14" spans="1:16">
      <c r="A14" s="224"/>
      <c r="B14" s="4" t="s">
        <v>944</v>
      </c>
      <c r="C14" s="4" t="s">
        <v>945</v>
      </c>
      <c r="D14" s="4" t="s">
        <v>946</v>
      </c>
      <c r="E14" s="4" t="s">
        <v>935</v>
      </c>
      <c r="F14" s="4" t="s">
        <v>936</v>
      </c>
      <c r="G14" s="4" t="s">
        <v>947</v>
      </c>
      <c r="H14" s="4" t="s">
        <v>948</v>
      </c>
      <c r="I14" s="176" t="s">
        <v>951</v>
      </c>
    </row>
    <row r="15" spans="1:16">
      <c r="A15" s="224" t="s">
        <v>940</v>
      </c>
      <c r="B15" s="4">
        <v>2.4500000000000002</v>
      </c>
      <c r="C15" s="4">
        <v>2.4500000000000002</v>
      </c>
      <c r="D15" s="4">
        <v>2.4500000000000002</v>
      </c>
      <c r="E15" s="4">
        <v>2.12E-2</v>
      </c>
      <c r="F15" s="4">
        <v>1.6E-2</v>
      </c>
      <c r="G15" s="4">
        <v>11.72</v>
      </c>
      <c r="H15" s="4">
        <v>0.08</v>
      </c>
      <c r="I15" s="176"/>
    </row>
    <row r="16" spans="1:16" ht="34">
      <c r="A16" s="299" t="s">
        <v>941</v>
      </c>
      <c r="B16" s="4">
        <v>1.64</v>
      </c>
      <c r="C16" s="4">
        <v>1.89</v>
      </c>
      <c r="D16" s="4">
        <v>2.73</v>
      </c>
      <c r="E16" s="4">
        <v>2.12E-2</v>
      </c>
      <c r="F16" s="4">
        <v>1.6E-2</v>
      </c>
      <c r="G16" s="4" t="s">
        <v>58</v>
      </c>
      <c r="H16" s="4">
        <v>0.08</v>
      </c>
      <c r="I16" s="176"/>
    </row>
    <row r="17" spans="1:18" ht="34">
      <c r="A17" s="299" t="s">
        <v>1137</v>
      </c>
      <c r="B17" s="4">
        <v>2.73</v>
      </c>
      <c r="C17" s="4">
        <v>2.73</v>
      </c>
      <c r="D17" s="4">
        <v>2.73</v>
      </c>
      <c r="E17" s="4">
        <v>2.12E-2</v>
      </c>
      <c r="F17" s="4">
        <v>1.6E-2</v>
      </c>
      <c r="G17" s="4" t="s">
        <v>58</v>
      </c>
      <c r="H17" s="4">
        <v>0.08</v>
      </c>
      <c r="I17" s="176"/>
      <c r="K17" t="s">
        <v>952</v>
      </c>
    </row>
    <row r="18" spans="1:18" ht="34">
      <c r="A18" s="299" t="s">
        <v>949</v>
      </c>
      <c r="B18" s="4">
        <v>1.6</v>
      </c>
      <c r="C18" s="4">
        <v>1.89</v>
      </c>
      <c r="D18" s="4">
        <v>2.73</v>
      </c>
      <c r="E18" s="4">
        <v>2.12E-2</v>
      </c>
      <c r="F18" s="4">
        <v>1.6E-2</v>
      </c>
      <c r="G18" s="4" t="s">
        <v>58</v>
      </c>
      <c r="H18" s="4">
        <v>0.08</v>
      </c>
      <c r="I18" s="176"/>
    </row>
    <row r="19" spans="1:18" ht="17">
      <c r="A19" s="299" t="s">
        <v>943</v>
      </c>
      <c r="B19" s="4">
        <v>1.6</v>
      </c>
      <c r="C19" s="4">
        <v>1.89</v>
      </c>
      <c r="D19" s="4">
        <v>2.73</v>
      </c>
      <c r="E19" s="4">
        <v>2.12E-2</v>
      </c>
      <c r="F19" s="4">
        <v>1.6E-2</v>
      </c>
      <c r="G19" s="4" t="s">
        <v>58</v>
      </c>
      <c r="H19" s="4">
        <v>0.08</v>
      </c>
      <c r="I19" s="176"/>
    </row>
    <row r="20" spans="1:18" ht="35" thickBot="1">
      <c r="A20" s="300" t="s">
        <v>950</v>
      </c>
      <c r="B20" s="179"/>
      <c r="C20" s="179"/>
      <c r="D20" s="179"/>
      <c r="E20" s="179"/>
      <c r="F20" s="179"/>
      <c r="G20" s="179"/>
      <c r="H20" s="179"/>
      <c r="I20" s="180">
        <v>1.24</v>
      </c>
    </row>
    <row r="21" spans="1:18" ht="17" thickBot="1">
      <c r="B21" s="1"/>
      <c r="C21" s="1"/>
      <c r="D21" s="1"/>
      <c r="E21" s="1"/>
      <c r="F21" s="1"/>
      <c r="G21" s="1"/>
      <c r="H21" s="4"/>
    </row>
    <row r="22" spans="1:18">
      <c r="A22" s="503" t="s">
        <v>953</v>
      </c>
      <c r="B22" s="558"/>
      <c r="C22" s="558"/>
      <c r="D22" s="558"/>
      <c r="E22" s="558"/>
      <c r="F22" s="504"/>
      <c r="G22" s="1"/>
      <c r="H22" s="450" t="s">
        <v>1099</v>
      </c>
      <c r="I22" s="450"/>
      <c r="J22" s="450"/>
      <c r="K22" s="450"/>
      <c r="L22" s="450"/>
      <c r="M22" s="450"/>
      <c r="N22" s="450"/>
      <c r="O22" s="450"/>
      <c r="P22" s="450"/>
    </row>
    <row r="23" spans="1:18" ht="34">
      <c r="A23" s="419"/>
      <c r="B23" s="49" t="s">
        <v>955</v>
      </c>
      <c r="C23" s="49" t="s">
        <v>956</v>
      </c>
      <c r="D23" s="418" t="s">
        <v>957</v>
      </c>
      <c r="E23" s="49" t="s">
        <v>935</v>
      </c>
      <c r="F23" s="420" t="s">
        <v>936</v>
      </c>
      <c r="G23" s="1"/>
      <c r="H23" s="450"/>
      <c r="I23" s="450"/>
      <c r="J23" s="450"/>
      <c r="K23" s="450"/>
      <c r="L23" s="450"/>
      <c r="M23" s="450"/>
      <c r="N23" s="450"/>
      <c r="O23" s="450"/>
      <c r="P23" s="450"/>
      <c r="R23" s="183" t="s">
        <v>1030</v>
      </c>
    </row>
    <row r="24" spans="1:18" ht="17">
      <c r="A24" s="175" t="s">
        <v>1093</v>
      </c>
      <c r="B24" s="4">
        <v>2.58</v>
      </c>
      <c r="C24" s="4" t="s">
        <v>58</v>
      </c>
      <c r="D24" s="6" t="s">
        <v>58</v>
      </c>
      <c r="E24" s="4">
        <v>2.12E-2</v>
      </c>
      <c r="F24" s="176">
        <v>1.6E-2</v>
      </c>
      <c r="G24" s="1"/>
      <c r="H24" s="450"/>
      <c r="I24" s="450"/>
      <c r="J24" s="450"/>
      <c r="K24" s="450"/>
      <c r="L24" s="450"/>
      <c r="M24" s="450"/>
      <c r="N24" s="450"/>
      <c r="O24" s="450"/>
      <c r="P24" s="450"/>
      <c r="R24" s="183" t="s">
        <v>1030</v>
      </c>
    </row>
    <row r="25" spans="1:18">
      <c r="A25" s="421" t="s">
        <v>954</v>
      </c>
      <c r="B25" s="52">
        <v>2.06</v>
      </c>
      <c r="C25" s="52">
        <v>160</v>
      </c>
      <c r="D25" s="52">
        <v>19.8</v>
      </c>
      <c r="E25" s="52">
        <v>2.12E-2</v>
      </c>
      <c r="F25" s="422">
        <v>1.6E-2</v>
      </c>
      <c r="G25" s="1"/>
      <c r="H25" s="450"/>
      <c r="I25" s="450"/>
      <c r="J25" s="450"/>
      <c r="K25" s="450"/>
      <c r="L25" s="450"/>
      <c r="M25" s="450"/>
      <c r="N25" s="450"/>
      <c r="O25" s="450"/>
      <c r="P25" s="450"/>
    </row>
    <row r="26" spans="1:18">
      <c r="A26" s="175"/>
      <c r="B26" s="4" t="s">
        <v>1095</v>
      </c>
      <c r="C26" s="4" t="s">
        <v>1096</v>
      </c>
      <c r="D26" s="4" t="s">
        <v>1097</v>
      </c>
      <c r="E26" s="4" t="s">
        <v>935</v>
      </c>
      <c r="F26" s="176" t="s">
        <v>936</v>
      </c>
    </row>
    <row r="27" spans="1:18">
      <c r="A27" s="175" t="s">
        <v>1094</v>
      </c>
      <c r="B27" s="4">
        <v>1.95</v>
      </c>
      <c r="C27" s="4">
        <v>2.27</v>
      </c>
      <c r="D27" s="4">
        <v>2.58</v>
      </c>
      <c r="E27" s="4">
        <v>2.12E-2</v>
      </c>
      <c r="F27" s="176">
        <v>1.6E-2</v>
      </c>
    </row>
    <row r="28" spans="1:18" ht="17" thickBot="1">
      <c r="A28" s="187" t="s">
        <v>1098</v>
      </c>
      <c r="B28" s="179">
        <v>2.04</v>
      </c>
      <c r="C28" s="179">
        <v>2.31</v>
      </c>
      <c r="D28" s="179">
        <v>2.58</v>
      </c>
      <c r="E28" s="179">
        <v>2.12E-2</v>
      </c>
      <c r="F28" s="180">
        <v>1.6E-2</v>
      </c>
    </row>
    <row r="29" spans="1:18" ht="17" thickBot="1">
      <c r="L29" s="13"/>
      <c r="M29" s="13"/>
      <c r="N29" s="13"/>
      <c r="O29" s="13"/>
      <c r="P29" s="13"/>
      <c r="Q29" s="13"/>
    </row>
    <row r="30" spans="1:18">
      <c r="A30" s="423" t="s">
        <v>109</v>
      </c>
      <c r="B30" s="424" t="s">
        <v>97</v>
      </c>
      <c r="C30" s="424" t="s">
        <v>98</v>
      </c>
      <c r="D30" s="424" t="s">
        <v>99</v>
      </c>
      <c r="E30" s="424" t="s">
        <v>100</v>
      </c>
      <c r="F30" s="424" t="s">
        <v>101</v>
      </c>
      <c r="G30" s="425" t="s">
        <v>102</v>
      </c>
    </row>
    <row r="31" spans="1:18" ht="17">
      <c r="A31" s="426" t="s">
        <v>932</v>
      </c>
      <c r="B31" s="60">
        <v>0</v>
      </c>
      <c r="C31" s="60">
        <f>($B10+$C10+$D10)*C3</f>
        <v>0.81979199999999997</v>
      </c>
      <c r="D31" s="60">
        <f>($B10+$C10+$D10)*D3</f>
        <v>13.6632</v>
      </c>
      <c r="E31" s="60">
        <f>($B10+$C10+$D10)*E3</f>
        <v>68.316000000000003</v>
      </c>
      <c r="F31" s="60">
        <f>($B10+$C10+$D10)*F3</f>
        <v>232.27440000000001</v>
      </c>
      <c r="G31" s="231" t="s">
        <v>58</v>
      </c>
      <c r="H31" s="4"/>
    </row>
    <row r="32" spans="1:18" ht="17">
      <c r="A32" s="426" t="s">
        <v>933</v>
      </c>
      <c r="B32" s="60">
        <v>0</v>
      </c>
      <c r="C32" s="60">
        <f>($B11+$C11+$D11)*C3</f>
        <v>0.93859199999999987</v>
      </c>
      <c r="D32" s="60">
        <f>($B11+$C11+$D11)*D3</f>
        <v>15.643199999999998</v>
      </c>
      <c r="E32" s="60">
        <f>($B11+$C11+$D11)*E3</f>
        <v>78.215999999999994</v>
      </c>
      <c r="F32" s="60">
        <f>($B11+$C11+$D11)*F3</f>
        <v>265.93439999999998</v>
      </c>
      <c r="G32" s="231">
        <f>($B11+$C11+$D11)*G3</f>
        <v>641.37119999999982</v>
      </c>
      <c r="H32" s="4"/>
    </row>
    <row r="33" spans="1:15" ht="21" customHeight="1">
      <c r="A33" s="426" t="s">
        <v>940</v>
      </c>
      <c r="B33" s="60">
        <v>0</v>
      </c>
      <c r="C33" s="60">
        <f>($B15+$E15+$F15)*C3+$G15*C6</f>
        <v>3.6992197511961722</v>
      </c>
      <c r="D33" s="60">
        <f>($B15+$E15+$F15)*D3+$G15*D6</f>
        <v>26.138511004784689</v>
      </c>
      <c r="E33" s="60">
        <f>($B15+$E15+$F15)*E3+$G15*E6</f>
        <v>119.47724401913877</v>
      </c>
      <c r="F33" s="60">
        <f>($B15+$E15+$F15)*F3+$G15*F6</f>
        <v>365.84751004784687</v>
      </c>
      <c r="G33" s="231">
        <f>($B15+$E15+$F15)*G3+$G15*G6</f>
        <v>1396.9229703349283</v>
      </c>
      <c r="H33" s="4"/>
      <c r="J33" s="451" t="s">
        <v>958</v>
      </c>
      <c r="K33" s="451"/>
      <c r="L33" s="451"/>
      <c r="M33" s="451"/>
      <c r="N33" s="451"/>
      <c r="O33" s="451"/>
    </row>
    <row r="34" spans="1:15" ht="45" customHeight="1">
      <c r="A34" s="426" t="s">
        <v>941</v>
      </c>
      <c r="B34" s="60">
        <v>0</v>
      </c>
      <c r="C34" s="60">
        <f>($B16+$E16+$F16)*C3</f>
        <v>0.603792</v>
      </c>
      <c r="D34" s="60">
        <f>($B16+$E16+$F16)*D3</f>
        <v>10.0632</v>
      </c>
      <c r="E34" s="60">
        <f>($B16+$E16+$F16)*E3</f>
        <v>50.316000000000003</v>
      </c>
      <c r="F34" s="60">
        <f>100*$B16+$C16*(F3-100)+$E16*F3+$F16*F3</f>
        <v>171.5744</v>
      </c>
      <c r="G34" s="231" t="s">
        <v>58</v>
      </c>
      <c r="H34" s="4"/>
      <c r="J34" s="451"/>
      <c r="K34" s="451"/>
      <c r="L34" s="451"/>
      <c r="M34" s="451"/>
      <c r="N34" s="451"/>
      <c r="O34" s="451"/>
    </row>
    <row r="35" spans="1:15" ht="37" customHeight="1">
      <c r="A35" s="426" t="s">
        <v>942</v>
      </c>
      <c r="B35" s="60">
        <v>0</v>
      </c>
      <c r="C35" s="60" t="s">
        <v>58</v>
      </c>
      <c r="D35" s="60" t="s">
        <v>58</v>
      </c>
      <c r="E35" s="60" t="s">
        <v>58</v>
      </c>
      <c r="F35" s="60" t="s">
        <v>58</v>
      </c>
      <c r="G35" s="231">
        <f>100*B17+(G3-100)*C17+E17*G3+F17*G3</f>
        <v>680.73119999999994</v>
      </c>
      <c r="H35" s="4"/>
      <c r="J35" s="451"/>
      <c r="K35" s="451"/>
      <c r="L35" s="451"/>
      <c r="M35" s="451"/>
      <c r="N35" s="451"/>
      <c r="O35" s="451"/>
    </row>
    <row r="36" spans="1:15" ht="36" customHeight="1">
      <c r="A36" s="426" t="s">
        <v>949</v>
      </c>
      <c r="B36" s="60">
        <v>0</v>
      </c>
      <c r="C36" s="60">
        <f>($B18+$E18+$F18)*C3</f>
        <v>0.58939200000000003</v>
      </c>
      <c r="D36" s="60">
        <f>($B18+$E18+$F18)*D3</f>
        <v>9.8232000000000017</v>
      </c>
      <c r="E36" s="60">
        <f>($B18+$E18+$F18)*E3</f>
        <v>49.116000000000007</v>
      </c>
      <c r="F36" s="60">
        <f>100*$B18+(F3-100)*$C18+$E18*F3+$F18*F3</f>
        <v>167.5744</v>
      </c>
      <c r="G36" s="231">
        <f>100*$B18+(G3-100)*$C18+$E18*G3+$F18*G3</f>
        <v>445.0911999999999</v>
      </c>
      <c r="H36" s="4"/>
      <c r="J36" s="2"/>
      <c r="K36" s="2"/>
      <c r="L36" s="2"/>
      <c r="M36" s="2"/>
      <c r="N36" s="2"/>
      <c r="O36" s="2"/>
    </row>
    <row r="37" spans="1:15" ht="32" customHeight="1">
      <c r="A37" s="426" t="s">
        <v>943</v>
      </c>
      <c r="B37" s="60">
        <v>0</v>
      </c>
      <c r="C37" s="60">
        <f>($B19+$E19+$F19)*C3</f>
        <v>0.58939200000000003</v>
      </c>
      <c r="D37" s="60">
        <f>($B19+$E19+$F19)*D3</f>
        <v>9.8232000000000017</v>
      </c>
      <c r="E37" s="60">
        <f>($B19+$E19+$F19)*E3</f>
        <v>49.116000000000007</v>
      </c>
      <c r="F37" s="60">
        <f>100*$B19+(F3-100)*$C19+$E19*F3+$F19*F3</f>
        <v>167.5744</v>
      </c>
      <c r="G37" s="231">
        <f>100*$B19+(G3-100)*$C19+$E19*G3+$F19*G3</f>
        <v>445.0911999999999</v>
      </c>
      <c r="H37" s="4"/>
      <c r="J37" s="2"/>
      <c r="K37" s="2"/>
      <c r="L37" s="2"/>
      <c r="M37" s="2"/>
      <c r="N37" s="2"/>
      <c r="O37" s="2"/>
    </row>
    <row r="38" spans="1:15" ht="39" customHeight="1">
      <c r="A38" s="426" t="s">
        <v>950</v>
      </c>
      <c r="B38" s="60">
        <v>0</v>
      </c>
      <c r="C38" s="60">
        <f>$I20*C3</f>
        <v>0.44639999999999996</v>
      </c>
      <c r="D38" s="60">
        <f>$I20*D3</f>
        <v>7.4399999999999995</v>
      </c>
      <c r="E38" s="60">
        <f>$I20*E3</f>
        <v>37.200000000000003</v>
      </c>
      <c r="F38" s="60">
        <f>$I20*F3</f>
        <v>126.48</v>
      </c>
      <c r="G38" s="231">
        <f>$I20*G3</f>
        <v>305.03999999999996</v>
      </c>
      <c r="H38" s="4"/>
      <c r="J38" s="2"/>
      <c r="K38" s="2"/>
      <c r="L38" s="2"/>
      <c r="M38" s="2"/>
      <c r="N38" s="2"/>
      <c r="O38" s="2"/>
    </row>
    <row r="39" spans="1:15" ht="21" customHeight="1">
      <c r="A39" s="232" t="s">
        <v>933</v>
      </c>
      <c r="B39" s="60">
        <v>0</v>
      </c>
      <c r="C39" s="60">
        <f>($B24+$E24+$F24)*C3</f>
        <v>0.94219199999999992</v>
      </c>
      <c r="D39" s="60">
        <f t="shared" ref="D39:G39" si="1">($B24+$E24+$F24)*D3</f>
        <v>15.703199999999999</v>
      </c>
      <c r="E39" s="60">
        <f t="shared" si="1"/>
        <v>78.516000000000005</v>
      </c>
      <c r="F39" s="60">
        <f t="shared" si="1"/>
        <v>266.95440000000002</v>
      </c>
      <c r="G39" s="231">
        <f t="shared" si="1"/>
        <v>643.83119999999997</v>
      </c>
      <c r="H39" s="4"/>
      <c r="J39" s="2"/>
      <c r="K39" s="2"/>
      <c r="L39" s="2"/>
      <c r="M39" s="2"/>
      <c r="N39" s="2"/>
      <c r="O39" s="2"/>
    </row>
    <row r="40" spans="1:15" ht="21" customHeight="1">
      <c r="A40" s="230" t="s">
        <v>1094</v>
      </c>
      <c r="B40" s="60">
        <v>0</v>
      </c>
      <c r="C40" s="60">
        <f>$B27*C3+$E27*C3+$F27*C3</f>
        <v>0.71539199999999992</v>
      </c>
      <c r="D40" s="60">
        <f>$B27*D3+$E27*D3+$F27*D3</f>
        <v>11.9232</v>
      </c>
      <c r="E40" s="60">
        <f>$B27*E3+$E27*E3+$F27*E3</f>
        <v>59.616</v>
      </c>
      <c r="F40" s="60">
        <f>50*$B27+$C27*(F3-50)+($E27+$F27)*F3</f>
        <v>219.33440000000002</v>
      </c>
      <c r="G40" s="231" t="s">
        <v>58</v>
      </c>
      <c r="H40" s="4"/>
      <c r="J40" s="2"/>
      <c r="K40" s="2"/>
      <c r="L40" s="2"/>
      <c r="M40" s="2"/>
      <c r="N40" s="2"/>
      <c r="O40" s="2"/>
    </row>
    <row r="41" spans="1:15" ht="21" customHeight="1">
      <c r="A41" s="230" t="s">
        <v>1098</v>
      </c>
      <c r="B41" s="60">
        <v>0</v>
      </c>
      <c r="C41" s="60" t="s">
        <v>58</v>
      </c>
      <c r="D41" s="60" t="s">
        <v>58</v>
      </c>
      <c r="E41" s="60" t="s">
        <v>58</v>
      </c>
      <c r="F41" s="60" t="s">
        <v>58</v>
      </c>
      <c r="G41" s="231">
        <f>$B28*50+$C28*(G3-50)+($E28+$F28)*G3</f>
        <v>563.91120000000001</v>
      </c>
      <c r="H41" s="4"/>
      <c r="J41" s="2"/>
      <c r="K41" s="2"/>
      <c r="L41" s="2"/>
      <c r="M41" s="2"/>
      <c r="N41" s="2"/>
      <c r="O41" s="2"/>
    </row>
    <row r="42" spans="1:15" ht="16" customHeight="1" thickBot="1">
      <c r="A42" s="402" t="s">
        <v>954</v>
      </c>
      <c r="B42" s="233">
        <v>0</v>
      </c>
      <c r="C42" s="233">
        <f>($B25+$E25+$F25)*C3+$C25+$D25*C6</f>
        <v>165.49183410526314</v>
      </c>
      <c r="D42" s="233">
        <f>($B25+$E25+$F25)*D3+$C25+$D25*D6</f>
        <v>191.53056842105264</v>
      </c>
      <c r="E42" s="233">
        <f>($B25+$E25+$F25)*E3+$C25+$D25*E6</f>
        <v>298.70547368421052</v>
      </c>
      <c r="F42" s="233">
        <f>($B25+$E25+$F25)*F3+$C25+$D25*F6</f>
        <v>563.38808421052636</v>
      </c>
      <c r="G42" s="234">
        <f>($B25+$E25+$F25)*G3+$C25+$D25*G6</f>
        <v>2002.2269894736842</v>
      </c>
      <c r="H42" s="4"/>
      <c r="J42" s="2"/>
      <c r="K42" s="2"/>
      <c r="L42" s="2"/>
      <c r="M42" s="2"/>
      <c r="N42" s="2"/>
      <c r="O42" s="2"/>
    </row>
    <row r="43" spans="1:15">
      <c r="J43" s="2"/>
      <c r="K43" s="2"/>
      <c r="L43" s="2"/>
      <c r="M43" s="2"/>
      <c r="N43" s="2"/>
      <c r="O43" s="2"/>
    </row>
    <row r="44" spans="1:15">
      <c r="A44" s="129" t="s">
        <v>537</v>
      </c>
      <c r="B44" s="130" t="s">
        <v>97</v>
      </c>
      <c r="C44" s="130" t="s">
        <v>98</v>
      </c>
      <c r="D44" s="130" t="s">
        <v>99</v>
      </c>
      <c r="E44" s="130" t="s">
        <v>100</v>
      </c>
      <c r="F44" s="130" t="s">
        <v>101</v>
      </c>
      <c r="G44" s="131" t="s">
        <v>102</v>
      </c>
      <c r="J44" s="2"/>
      <c r="K44" s="2"/>
      <c r="L44" s="2"/>
      <c r="M44" s="2"/>
      <c r="N44" s="2"/>
      <c r="O44" s="2"/>
    </row>
    <row r="45" spans="1:15">
      <c r="A45" s="108" t="s">
        <v>78</v>
      </c>
      <c r="B45" s="109">
        <v>0</v>
      </c>
      <c r="C45" s="109">
        <f>AVERAGE(C31:C34,C42,C36:C40)</f>
        <v>17.483599785645936</v>
      </c>
      <c r="D45" s="109">
        <f>AVERAGE(D31:D34,D36:D40,D42)</f>
        <v>31.175147942583731</v>
      </c>
      <c r="E45" s="109">
        <f>AVERAGE(E31:E34,E36:E40,E42)</f>
        <v>88.85947177033492</v>
      </c>
      <c r="F45" s="109">
        <f>AVERAGE(F31:F34,F36:F40,F42)</f>
        <v>254.69363942583732</v>
      </c>
      <c r="G45" s="110">
        <f>AVERAGE(G35:G42,G32:G33)</f>
        <v>791.57968442317906</v>
      </c>
      <c r="J45" s="2"/>
      <c r="K45" s="2"/>
      <c r="L45" s="2"/>
      <c r="M45" s="2"/>
      <c r="N45" s="2"/>
      <c r="O45" s="2"/>
    </row>
    <row r="46" spans="1:15">
      <c r="J46" s="2"/>
      <c r="K46" s="2"/>
      <c r="L46" s="2"/>
      <c r="M46" s="2"/>
      <c r="N46" s="2"/>
      <c r="O46" s="2"/>
    </row>
    <row r="47" spans="1:15">
      <c r="J47" s="2"/>
      <c r="K47" s="2"/>
      <c r="L47" s="2"/>
      <c r="M47" s="2"/>
      <c r="N47" s="2"/>
      <c r="O47" s="2"/>
    </row>
    <row r="48" spans="1:15">
      <c r="J48" s="2"/>
      <c r="K48" s="2"/>
      <c r="L48" s="2"/>
      <c r="M48" s="2"/>
      <c r="N48" s="2"/>
      <c r="O48" s="2"/>
    </row>
    <row r="49" spans="10:15">
      <c r="J49" s="2"/>
      <c r="K49" s="2"/>
      <c r="L49" s="2"/>
      <c r="M49" s="2"/>
      <c r="N49" s="2"/>
      <c r="O49" s="2"/>
    </row>
    <row r="50" spans="10:15">
      <c r="J50" s="2"/>
      <c r="K50" s="2"/>
      <c r="L50" s="2"/>
      <c r="M50" s="2"/>
      <c r="N50" s="2"/>
      <c r="O50" s="2"/>
    </row>
  </sheetData>
  <mergeCells count="6">
    <mergeCell ref="E10:G10"/>
    <mergeCell ref="A8:D8"/>
    <mergeCell ref="A13:H13"/>
    <mergeCell ref="A22:F22"/>
    <mergeCell ref="J33:O35"/>
    <mergeCell ref="H22:P25"/>
  </mergeCells>
  <hyperlinks>
    <hyperlink ref="K6" r:id="rId1" xr:uid="{2F5F2596-8508-C242-8027-B7E91AD50EE2}"/>
    <hyperlink ref="R23" r:id="rId2" xr:uid="{4BDD023B-1069-EF4C-AE6B-E79FE8B55112}"/>
    <hyperlink ref="R24" r:id="rId3" xr:uid="{D7673EA7-CD83-864F-A28E-5F8D2AE4C53F}"/>
  </hyperlinks>
  <pageMargins left="0.7" right="0.7" top="0.75" bottom="0.75" header="0.3" footer="0.3"/>
  <pageSetup paperSize="9" orientation="portrait" horizontalDpi="0" verticalDpi="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A94B3-BD51-004E-9A9A-7B3AFBC2C42F}">
  <dimension ref="A1:Q49"/>
  <sheetViews>
    <sheetView topLeftCell="A8" zoomScale="125" workbookViewId="0">
      <selection activeCell="I42" sqref="I42"/>
    </sheetView>
  </sheetViews>
  <sheetFormatPr baseColWidth="10" defaultRowHeight="16"/>
  <cols>
    <col min="1" max="1" width="18.33203125" customWidth="1"/>
    <col min="2" max="2" width="21.1640625" customWidth="1"/>
    <col min="6" max="6" width="17.5" customWidth="1"/>
    <col min="7" max="7" width="13.83203125" customWidth="1"/>
  </cols>
  <sheetData>
    <row r="1" spans="1:17">
      <c r="A1" s="227"/>
      <c r="B1" s="347" t="s">
        <v>97</v>
      </c>
      <c r="C1" s="347" t="s">
        <v>98</v>
      </c>
      <c r="D1" s="347" t="s">
        <v>99</v>
      </c>
      <c r="E1" s="347" t="s">
        <v>100</v>
      </c>
      <c r="F1" s="347" t="s">
        <v>101</v>
      </c>
      <c r="G1" s="347" t="s">
        <v>102</v>
      </c>
      <c r="H1" s="229" t="s">
        <v>199</v>
      </c>
    </row>
    <row r="2" spans="1:17">
      <c r="A2" s="230" t="s">
        <v>103</v>
      </c>
      <c r="B2" s="60">
        <v>0</v>
      </c>
      <c r="C2" s="60">
        <v>1.2E-2</v>
      </c>
      <c r="D2" s="60">
        <v>0.2</v>
      </c>
      <c r="E2" s="60">
        <v>1</v>
      </c>
      <c r="F2" s="60">
        <v>3.4</v>
      </c>
      <c r="G2" s="60">
        <v>8.1999999999999993</v>
      </c>
      <c r="H2" s="231" t="s">
        <v>200</v>
      </c>
    </row>
    <row r="3" spans="1:17" ht="34">
      <c r="A3" s="232" t="s">
        <v>110</v>
      </c>
      <c r="B3" s="60">
        <v>0</v>
      </c>
      <c r="C3" s="60">
        <f>C2*30</f>
        <v>0.36</v>
      </c>
      <c r="D3" s="60">
        <f t="shared" ref="D3:G3" si="0">D2*30</f>
        <v>6</v>
      </c>
      <c r="E3" s="60">
        <f t="shared" si="0"/>
        <v>30</v>
      </c>
      <c r="F3" s="60">
        <f t="shared" si="0"/>
        <v>102</v>
      </c>
      <c r="G3" s="60">
        <f t="shared" si="0"/>
        <v>245.99999999999997</v>
      </c>
      <c r="H3" s="231" t="s">
        <v>200</v>
      </c>
    </row>
    <row r="4" spans="1:17" ht="17">
      <c r="A4" s="232" t="s">
        <v>1079</v>
      </c>
      <c r="B4" s="60">
        <v>0</v>
      </c>
      <c r="C4" s="60">
        <v>0.05</v>
      </c>
      <c r="D4" s="60">
        <v>0.2</v>
      </c>
      <c r="E4" s="60">
        <v>0.8</v>
      </c>
      <c r="F4" s="60">
        <v>2</v>
      </c>
      <c r="G4" s="60">
        <v>14</v>
      </c>
      <c r="H4" s="231" t="s">
        <v>201</v>
      </c>
    </row>
    <row r="5" spans="1:17">
      <c r="A5" s="275" t="s">
        <v>581</v>
      </c>
      <c r="B5" s="68">
        <v>0</v>
      </c>
      <c r="C5" s="68">
        <f>0.05/0.95</f>
        <v>5.2631578947368425E-2</v>
      </c>
      <c r="D5" s="68">
        <f>0.2/0.95</f>
        <v>0.2105263157894737</v>
      </c>
      <c r="E5" s="68">
        <f>0.8/0.95</f>
        <v>0.8421052631578948</v>
      </c>
      <c r="F5" s="68">
        <f>2/0.95</f>
        <v>2.1052631578947367</v>
      </c>
      <c r="G5" s="68">
        <f>14/0.95</f>
        <v>14.736842105263159</v>
      </c>
      <c r="H5" s="231" t="s">
        <v>300</v>
      </c>
    </row>
    <row r="8" spans="1:17">
      <c r="A8" s="517" t="s">
        <v>434</v>
      </c>
      <c r="B8" s="518"/>
      <c r="C8" s="519"/>
    </row>
    <row r="9" spans="1:17">
      <c r="A9" s="71" t="s">
        <v>427</v>
      </c>
      <c r="B9" s="74" t="s">
        <v>428</v>
      </c>
      <c r="C9" s="75" t="s">
        <v>429</v>
      </c>
      <c r="F9" s="27" t="s">
        <v>445</v>
      </c>
      <c r="G9" s="28"/>
      <c r="H9" s="28"/>
      <c r="I9" s="26"/>
      <c r="J9" s="25" t="s">
        <v>450</v>
      </c>
    </row>
    <row r="10" spans="1:17" ht="16" customHeight="1">
      <c r="A10" s="19" t="s">
        <v>430</v>
      </c>
      <c r="B10" t="s">
        <v>431</v>
      </c>
      <c r="C10" s="20">
        <v>250</v>
      </c>
      <c r="M10" s="451" t="s">
        <v>541</v>
      </c>
      <c r="N10" s="451"/>
      <c r="O10" s="451"/>
      <c r="P10" s="451"/>
      <c r="Q10" s="451"/>
    </row>
    <row r="11" spans="1:17">
      <c r="A11" s="19" t="s">
        <v>432</v>
      </c>
      <c r="C11" s="20"/>
      <c r="M11" s="451"/>
      <c r="N11" s="451"/>
      <c r="O11" s="451"/>
      <c r="P11" s="451"/>
      <c r="Q11" s="451"/>
    </row>
    <row r="12" spans="1:17">
      <c r="A12" s="22" t="s">
        <v>433</v>
      </c>
      <c r="B12" s="36" t="s">
        <v>372</v>
      </c>
      <c r="C12" s="24">
        <v>59.45</v>
      </c>
      <c r="F12" s="54" t="s">
        <v>448</v>
      </c>
      <c r="G12" s="63" t="s">
        <v>98</v>
      </c>
      <c r="H12" s="63" t="s">
        <v>99</v>
      </c>
      <c r="I12" s="63" t="s">
        <v>100</v>
      </c>
      <c r="J12" s="63" t="s">
        <v>101</v>
      </c>
      <c r="K12" s="64" t="s">
        <v>102</v>
      </c>
      <c r="L12" s="3"/>
      <c r="M12" s="451"/>
      <c r="N12" s="451"/>
      <c r="O12" s="451"/>
      <c r="P12" s="451"/>
      <c r="Q12" s="451"/>
    </row>
    <row r="13" spans="1:17">
      <c r="F13" s="41" t="s">
        <v>449</v>
      </c>
      <c r="G13" s="4">
        <f>C10+C12*C3</f>
        <v>271.40199999999999</v>
      </c>
      <c r="H13" s="4">
        <f>C10+C12*D3</f>
        <v>606.70000000000005</v>
      </c>
      <c r="I13" s="4">
        <f>C10+C12*E3</f>
        <v>2033.5</v>
      </c>
      <c r="J13" s="4" t="s">
        <v>58</v>
      </c>
      <c r="K13" s="42" t="s">
        <v>58</v>
      </c>
      <c r="M13" s="451"/>
      <c r="N13" s="451"/>
      <c r="O13" s="451"/>
      <c r="P13" s="451"/>
      <c r="Q13" s="451"/>
    </row>
    <row r="14" spans="1:17">
      <c r="A14" s="517" t="s">
        <v>435</v>
      </c>
      <c r="B14" s="518"/>
      <c r="C14" s="519"/>
      <c r="F14" s="41" t="s">
        <v>435</v>
      </c>
      <c r="G14" s="4" t="s">
        <v>58</v>
      </c>
      <c r="H14" s="4" t="s">
        <v>58</v>
      </c>
      <c r="I14" s="4" t="s">
        <v>58</v>
      </c>
      <c r="J14" s="4">
        <f>C16+C18*F3</f>
        <v>8251.7400000000016</v>
      </c>
      <c r="K14" s="42" t="s">
        <v>58</v>
      </c>
      <c r="M14" s="451"/>
      <c r="N14" s="451"/>
      <c r="O14" s="451"/>
      <c r="P14" s="451"/>
      <c r="Q14" s="451"/>
    </row>
    <row r="15" spans="1:17">
      <c r="A15" s="71" t="s">
        <v>427</v>
      </c>
      <c r="B15" s="74" t="s">
        <v>428</v>
      </c>
      <c r="C15" s="75" t="s">
        <v>429</v>
      </c>
      <c r="F15" s="41" t="s">
        <v>439</v>
      </c>
      <c r="G15" s="4" t="s">
        <v>58</v>
      </c>
      <c r="H15" s="4" t="s">
        <v>58</v>
      </c>
      <c r="I15" s="4" t="s">
        <v>58</v>
      </c>
      <c r="J15" s="4" t="s">
        <v>58</v>
      </c>
      <c r="K15" s="42">
        <f>(C24+C26*150+(G3-150)*C27)*1.19</f>
        <v>25507.911799999994</v>
      </c>
      <c r="M15" s="451"/>
      <c r="N15" s="451"/>
      <c r="O15" s="451"/>
      <c r="P15" s="451"/>
      <c r="Q15" s="451"/>
    </row>
    <row r="16" spans="1:17">
      <c r="A16" s="19" t="s">
        <v>430</v>
      </c>
      <c r="B16" t="s">
        <v>431</v>
      </c>
      <c r="C16" s="73">
        <v>1278</v>
      </c>
      <c r="F16" s="41" t="s">
        <v>440</v>
      </c>
      <c r="G16" s="4" t="s">
        <v>58</v>
      </c>
      <c r="H16" s="4" t="s">
        <v>58</v>
      </c>
      <c r="I16" s="4" t="s">
        <v>58</v>
      </c>
      <c r="J16" s="4" t="s">
        <v>58</v>
      </c>
      <c r="K16" s="42">
        <f>(C32+C34*G3)*1.19</f>
        <v>34298.751199999992</v>
      </c>
      <c r="M16" s="451"/>
      <c r="N16" s="451"/>
      <c r="O16" s="451"/>
      <c r="P16" s="451"/>
      <c r="Q16" s="451"/>
    </row>
    <row r="17" spans="1:17">
      <c r="A17" s="19" t="s">
        <v>432</v>
      </c>
      <c r="C17" s="20"/>
      <c r="F17" s="41" t="s">
        <v>443</v>
      </c>
      <c r="G17" s="4" t="s">
        <v>58</v>
      </c>
      <c r="H17" s="4" t="s">
        <v>58</v>
      </c>
      <c r="I17" s="4" t="s">
        <v>58</v>
      </c>
      <c r="J17" s="4" t="s">
        <v>58</v>
      </c>
      <c r="K17" s="42">
        <f>(C39+C41*G3)*1.19</f>
        <v>37341.581199999993</v>
      </c>
      <c r="M17" s="451"/>
      <c r="N17" s="451"/>
      <c r="O17" s="451"/>
      <c r="P17" s="451"/>
      <c r="Q17" s="451"/>
    </row>
    <row r="18" spans="1:17">
      <c r="A18" s="19" t="s">
        <v>436</v>
      </c>
      <c r="B18" t="s">
        <v>372</v>
      </c>
      <c r="C18" s="20">
        <v>68.37</v>
      </c>
      <c r="F18" s="51" t="s">
        <v>444</v>
      </c>
      <c r="G18" s="52" t="s">
        <v>58</v>
      </c>
      <c r="H18" s="52" t="s">
        <v>58</v>
      </c>
      <c r="I18" s="52" t="s">
        <v>58</v>
      </c>
      <c r="J18" s="52" t="s">
        <v>58</v>
      </c>
      <c r="K18" s="52" t="s">
        <v>58</v>
      </c>
    </row>
    <row r="19" spans="1:17">
      <c r="A19" s="19" t="s">
        <v>437</v>
      </c>
      <c r="B19" t="s">
        <v>372</v>
      </c>
      <c r="C19" s="20">
        <v>89.82</v>
      </c>
    </row>
    <row r="20" spans="1:17">
      <c r="A20" s="22" t="s">
        <v>438</v>
      </c>
      <c r="B20" s="36" t="s">
        <v>372</v>
      </c>
      <c r="C20" s="24">
        <v>127.27</v>
      </c>
    </row>
    <row r="21" spans="1:17">
      <c r="F21" s="129" t="s">
        <v>537</v>
      </c>
      <c r="G21" s="136" t="s">
        <v>98</v>
      </c>
      <c r="H21" s="136" t="s">
        <v>99</v>
      </c>
      <c r="I21" s="136" t="s">
        <v>100</v>
      </c>
      <c r="J21" s="136" t="s">
        <v>101</v>
      </c>
      <c r="K21" s="137" t="s">
        <v>102</v>
      </c>
    </row>
    <row r="22" spans="1:17">
      <c r="A22" s="517" t="s">
        <v>439</v>
      </c>
      <c r="B22" s="518"/>
      <c r="C22" s="519"/>
      <c r="F22" s="108" t="s">
        <v>78</v>
      </c>
      <c r="G22" s="109">
        <v>271.40199999999999</v>
      </c>
      <c r="H22" s="109">
        <v>606.70000000000005</v>
      </c>
      <c r="I22" s="109">
        <v>2033.5</v>
      </c>
      <c r="J22" s="109">
        <v>8251.74</v>
      </c>
      <c r="K22" s="110">
        <f>AVERAGE(K15:K17)</f>
        <v>32382.748066666663</v>
      </c>
    </row>
    <row r="23" spans="1:17">
      <c r="A23" s="71" t="s">
        <v>427</v>
      </c>
      <c r="B23" s="74" t="s">
        <v>428</v>
      </c>
      <c r="C23" s="75" t="s">
        <v>429</v>
      </c>
    </row>
    <row r="24" spans="1:17">
      <c r="A24" s="19" t="s">
        <v>430</v>
      </c>
      <c r="B24" t="s">
        <v>431</v>
      </c>
      <c r="C24" s="73">
        <v>2557</v>
      </c>
      <c r="J24" s="370"/>
    </row>
    <row r="25" spans="1:17">
      <c r="A25" s="19" t="s">
        <v>432</v>
      </c>
      <c r="C25" s="20"/>
    </row>
    <row r="26" spans="1:17">
      <c r="A26" s="19" t="s">
        <v>436</v>
      </c>
      <c r="B26" t="s">
        <v>372</v>
      </c>
      <c r="C26" s="20">
        <v>68.37</v>
      </c>
    </row>
    <row r="27" spans="1:17">
      <c r="A27" s="19" t="s">
        <v>437</v>
      </c>
      <c r="B27" t="s">
        <v>372</v>
      </c>
      <c r="C27" s="20">
        <v>89.82</v>
      </c>
    </row>
    <row r="28" spans="1:17">
      <c r="A28" s="22" t="s">
        <v>438</v>
      </c>
      <c r="B28" s="36" t="s">
        <v>372</v>
      </c>
      <c r="C28" s="24">
        <v>127.27</v>
      </c>
    </row>
    <row r="30" spans="1:17">
      <c r="A30" s="517" t="s">
        <v>440</v>
      </c>
      <c r="B30" s="518"/>
      <c r="C30" s="519"/>
    </row>
    <row r="31" spans="1:17">
      <c r="A31" s="71" t="s">
        <v>427</v>
      </c>
      <c r="B31" s="74" t="s">
        <v>428</v>
      </c>
      <c r="C31" s="75" t="s">
        <v>429</v>
      </c>
    </row>
    <row r="32" spans="1:17">
      <c r="A32" s="19" t="s">
        <v>430</v>
      </c>
      <c r="B32" t="s">
        <v>431</v>
      </c>
      <c r="C32" s="73">
        <v>5113</v>
      </c>
    </row>
    <row r="33" spans="1:3">
      <c r="A33" s="19" t="s">
        <v>432</v>
      </c>
      <c r="C33" s="20"/>
    </row>
    <row r="34" spans="1:3">
      <c r="A34" s="19" t="s">
        <v>441</v>
      </c>
      <c r="B34" t="s">
        <v>372</v>
      </c>
      <c r="C34" s="20">
        <v>96.38</v>
      </c>
    </row>
    <row r="35" spans="1:3">
      <c r="A35" s="22" t="s">
        <v>442</v>
      </c>
      <c r="B35" s="36" t="s">
        <v>372</v>
      </c>
      <c r="C35" s="24">
        <v>136.58000000000001</v>
      </c>
    </row>
    <row r="37" spans="1:3">
      <c r="A37" s="517" t="s">
        <v>443</v>
      </c>
      <c r="B37" s="518"/>
      <c r="C37" s="519"/>
    </row>
    <row r="38" spans="1:3">
      <c r="A38" s="71" t="s">
        <v>427</v>
      </c>
      <c r="B38" s="74" t="s">
        <v>428</v>
      </c>
      <c r="C38" s="75" t="s">
        <v>429</v>
      </c>
    </row>
    <row r="39" spans="1:3">
      <c r="A39" s="19" t="s">
        <v>430</v>
      </c>
      <c r="B39" t="s">
        <v>431</v>
      </c>
      <c r="C39" s="73">
        <v>7670</v>
      </c>
    </row>
    <row r="40" spans="1:3">
      <c r="A40" s="19" t="s">
        <v>432</v>
      </c>
      <c r="C40" s="20"/>
    </row>
    <row r="41" spans="1:3">
      <c r="A41" s="19" t="s">
        <v>441</v>
      </c>
      <c r="B41" t="s">
        <v>372</v>
      </c>
      <c r="C41" s="20">
        <v>96.38</v>
      </c>
    </row>
    <row r="42" spans="1:3">
      <c r="A42" s="22" t="s">
        <v>442</v>
      </c>
      <c r="B42" s="36" t="s">
        <v>372</v>
      </c>
      <c r="C42" s="24">
        <v>136.58000000000001</v>
      </c>
    </row>
    <row r="44" spans="1:3">
      <c r="A44" s="517" t="s">
        <v>444</v>
      </c>
      <c r="B44" s="518"/>
      <c r="C44" s="519"/>
    </row>
    <row r="45" spans="1:3">
      <c r="A45" s="71" t="s">
        <v>427</v>
      </c>
      <c r="B45" s="74" t="s">
        <v>428</v>
      </c>
      <c r="C45" s="75" t="s">
        <v>429</v>
      </c>
    </row>
    <row r="46" spans="1:3">
      <c r="A46" s="19" t="s">
        <v>430</v>
      </c>
      <c r="B46" t="s">
        <v>431</v>
      </c>
      <c r="C46" s="73">
        <v>12784</v>
      </c>
    </row>
    <row r="47" spans="1:3">
      <c r="A47" s="19" t="s">
        <v>432</v>
      </c>
      <c r="C47" s="20"/>
    </row>
    <row r="48" spans="1:3">
      <c r="A48" s="19" t="s">
        <v>441</v>
      </c>
      <c r="B48" t="s">
        <v>372</v>
      </c>
      <c r="C48" s="20">
        <v>96.38</v>
      </c>
    </row>
    <row r="49" spans="1:3">
      <c r="A49" s="22" t="s">
        <v>442</v>
      </c>
      <c r="B49" s="36" t="s">
        <v>372</v>
      </c>
      <c r="C49" s="24">
        <v>136.58000000000001</v>
      </c>
    </row>
  </sheetData>
  <mergeCells count="7">
    <mergeCell ref="M10:Q17"/>
    <mergeCell ref="A44:C44"/>
    <mergeCell ref="A8:C8"/>
    <mergeCell ref="A14:C14"/>
    <mergeCell ref="A22:C22"/>
    <mergeCell ref="A30:C30"/>
    <mergeCell ref="A37:C37"/>
  </mergeCells>
  <pageMargins left="0.7" right="0.7" top="0.75" bottom="0.75" header="0.3" footer="0.3"/>
  <pageSetup paperSize="9" orientation="portrait" horizontalDpi="0" verticalDpi="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69913-D8FE-0648-A279-E1D4600BCF47}">
  <dimension ref="A1:Q48"/>
  <sheetViews>
    <sheetView topLeftCell="A3" zoomScale="132" workbookViewId="0">
      <selection activeCell="F31" sqref="F31"/>
    </sheetView>
  </sheetViews>
  <sheetFormatPr baseColWidth="10" defaultRowHeight="16"/>
  <cols>
    <col min="1" max="1" width="27.33203125" style="4" customWidth="1"/>
    <col min="2" max="2" width="30.5" style="4" customWidth="1"/>
  </cols>
  <sheetData>
    <row r="1" spans="1:17">
      <c r="A1" s="172"/>
      <c r="B1" s="3" t="s">
        <v>97</v>
      </c>
      <c r="C1" s="3" t="s">
        <v>98</v>
      </c>
      <c r="D1" s="3" t="s">
        <v>99</v>
      </c>
      <c r="E1" s="3" t="s">
        <v>100</v>
      </c>
      <c r="F1" s="3" t="s">
        <v>101</v>
      </c>
      <c r="G1" s="3" t="s">
        <v>102</v>
      </c>
      <c r="H1" s="174" t="s">
        <v>199</v>
      </c>
    </row>
    <row r="2" spans="1:17">
      <c r="A2" s="175" t="s">
        <v>103</v>
      </c>
      <c r="B2" s="4">
        <v>0</v>
      </c>
      <c r="C2" s="4">
        <v>1.2E-2</v>
      </c>
      <c r="D2" s="4">
        <v>0.2</v>
      </c>
      <c r="E2" s="4">
        <v>1</v>
      </c>
      <c r="F2" s="4">
        <v>3.4</v>
      </c>
      <c r="G2" s="4">
        <v>8.1999999999999993</v>
      </c>
      <c r="H2" s="176" t="s">
        <v>200</v>
      </c>
    </row>
    <row r="3" spans="1:17" ht="34">
      <c r="A3" s="177" t="s">
        <v>110</v>
      </c>
      <c r="B3" s="4">
        <v>0</v>
      </c>
      <c r="C3" s="4">
        <f>C2*30</f>
        <v>0.36</v>
      </c>
      <c r="D3" s="4">
        <f t="shared" ref="D3:G3" si="0">D2*30</f>
        <v>6</v>
      </c>
      <c r="E3" s="4">
        <f t="shared" si="0"/>
        <v>30</v>
      </c>
      <c r="F3" s="4">
        <f t="shared" si="0"/>
        <v>102</v>
      </c>
      <c r="G3" s="4">
        <f t="shared" si="0"/>
        <v>245.99999999999997</v>
      </c>
      <c r="H3" s="176" t="s">
        <v>200</v>
      </c>
    </row>
    <row r="4" spans="1:17" ht="17" thickBot="1">
      <c r="A4" s="187" t="s">
        <v>483</v>
      </c>
      <c r="B4" s="179">
        <v>0</v>
      </c>
      <c r="C4" s="163" t="s">
        <v>484</v>
      </c>
      <c r="D4" s="163" t="s">
        <v>484</v>
      </c>
      <c r="E4" s="163" t="s">
        <v>485</v>
      </c>
      <c r="F4" s="163" t="s">
        <v>486</v>
      </c>
      <c r="G4" s="163" t="s">
        <v>487</v>
      </c>
      <c r="H4" s="180" t="s">
        <v>1080</v>
      </c>
    </row>
    <row r="6" spans="1:17" ht="17" thickBot="1"/>
    <row r="7" spans="1:17">
      <c r="A7" s="172"/>
      <c r="B7" s="242" t="s">
        <v>467</v>
      </c>
    </row>
    <row r="8" spans="1:17">
      <c r="A8" s="175" t="s">
        <v>468</v>
      </c>
      <c r="B8" s="176">
        <v>4</v>
      </c>
      <c r="M8" s="14" t="s">
        <v>477</v>
      </c>
      <c r="N8" s="15"/>
      <c r="O8" s="15"/>
      <c r="P8" s="15"/>
      <c r="Q8" s="16"/>
    </row>
    <row r="9" spans="1:17">
      <c r="A9" s="398" t="s">
        <v>451</v>
      </c>
      <c r="B9" s="399">
        <v>206.8</v>
      </c>
      <c r="D9" s="14" t="s">
        <v>454</v>
      </c>
      <c r="E9" s="15"/>
      <c r="F9" s="15"/>
      <c r="G9" s="15"/>
      <c r="H9" s="15"/>
      <c r="I9" s="15"/>
      <c r="J9" s="15"/>
      <c r="K9" s="16"/>
      <c r="M9" s="19" t="s">
        <v>478</v>
      </c>
      <c r="Q9" s="20"/>
    </row>
    <row r="10" spans="1:17">
      <c r="A10" s="175" t="s">
        <v>452</v>
      </c>
      <c r="B10" s="176">
        <v>206.8</v>
      </c>
      <c r="D10" s="19" t="s">
        <v>455</v>
      </c>
      <c r="K10" s="20"/>
      <c r="M10" s="19" t="s">
        <v>479</v>
      </c>
      <c r="Q10" s="20"/>
    </row>
    <row r="11" spans="1:17">
      <c r="A11" s="175" t="s">
        <v>453</v>
      </c>
      <c r="B11" s="176">
        <v>206.8</v>
      </c>
      <c r="D11" s="19" t="s">
        <v>456</v>
      </c>
      <c r="K11" s="20"/>
      <c r="M11" s="22" t="s">
        <v>480</v>
      </c>
      <c r="N11" s="36"/>
      <c r="O11" s="36"/>
      <c r="P11" s="36"/>
      <c r="Q11" s="24"/>
    </row>
    <row r="12" spans="1:17">
      <c r="A12" s="398" t="s">
        <v>458</v>
      </c>
      <c r="B12" s="399">
        <v>63.33</v>
      </c>
      <c r="D12" s="22" t="s">
        <v>457</v>
      </c>
      <c r="E12" s="36"/>
      <c r="F12" s="36"/>
      <c r="G12" s="36"/>
      <c r="H12" s="36"/>
      <c r="I12" s="36"/>
      <c r="J12" s="36"/>
      <c r="K12" s="24"/>
    </row>
    <row r="13" spans="1:17">
      <c r="A13" s="175" t="s">
        <v>459</v>
      </c>
      <c r="B13" s="176">
        <v>66.55</v>
      </c>
    </row>
    <row r="14" spans="1:17">
      <c r="A14" s="175" t="s">
        <v>460</v>
      </c>
      <c r="B14" s="176">
        <v>68.89</v>
      </c>
      <c r="D14" s="14" t="s">
        <v>469</v>
      </c>
      <c r="E14" s="15"/>
      <c r="F14" s="15"/>
      <c r="G14" s="15"/>
      <c r="H14" s="16"/>
    </row>
    <row r="15" spans="1:17">
      <c r="A15" s="398" t="s">
        <v>461</v>
      </c>
      <c r="B15" s="399">
        <v>52.51</v>
      </c>
      <c r="D15" s="19" t="s">
        <v>470</v>
      </c>
      <c r="H15" s="20"/>
    </row>
    <row r="16" spans="1:17">
      <c r="A16" s="175" t="s">
        <v>462</v>
      </c>
      <c r="B16" s="176">
        <v>56.32</v>
      </c>
      <c r="D16" s="19" t="s">
        <v>471</v>
      </c>
      <c r="H16" s="20"/>
    </row>
    <row r="17" spans="1:17">
      <c r="A17" s="175" t="s">
        <v>463</v>
      </c>
      <c r="B17" s="176">
        <v>57.45</v>
      </c>
      <c r="D17" s="22" t="s">
        <v>472</v>
      </c>
      <c r="E17" s="36"/>
      <c r="F17" s="36"/>
      <c r="G17" s="36"/>
      <c r="H17" s="24"/>
    </row>
    <row r="18" spans="1:17">
      <c r="A18" s="398" t="s">
        <v>464</v>
      </c>
      <c r="B18" s="399">
        <v>50.01</v>
      </c>
      <c r="M18" s="27" t="s">
        <v>481</v>
      </c>
      <c r="N18" s="28"/>
      <c r="O18" s="28"/>
      <c r="P18" s="28"/>
      <c r="Q18" s="26"/>
    </row>
    <row r="19" spans="1:17">
      <c r="A19" s="175" t="s">
        <v>465</v>
      </c>
      <c r="B19" s="176">
        <v>54.93</v>
      </c>
      <c r="D19" s="14" t="s">
        <v>473</v>
      </c>
      <c r="E19" s="15"/>
      <c r="F19" s="15"/>
      <c r="G19" s="15"/>
      <c r="H19" s="16"/>
    </row>
    <row r="20" spans="1:17" ht="17" thickBot="1">
      <c r="A20" s="187" t="s">
        <v>466</v>
      </c>
      <c r="B20" s="180">
        <v>54.93</v>
      </c>
      <c r="D20" s="19" t="s">
        <v>474</v>
      </c>
      <c r="H20" s="20"/>
      <c r="J20" s="25" t="s">
        <v>489</v>
      </c>
    </row>
    <row r="21" spans="1:17">
      <c r="D21" s="19" t="s">
        <v>475</v>
      </c>
      <c r="H21" s="20"/>
    </row>
    <row r="22" spans="1:17">
      <c r="D22" s="22" t="s">
        <v>476</v>
      </c>
      <c r="E22" s="36"/>
      <c r="F22" s="36"/>
      <c r="G22" s="36"/>
      <c r="H22" s="24"/>
    </row>
    <row r="23" spans="1:17">
      <c r="J23" s="456" t="s">
        <v>488</v>
      </c>
      <c r="K23" s="495"/>
      <c r="L23" s="495"/>
      <c r="M23" s="495"/>
      <c r="N23" s="495"/>
      <c r="O23" s="495"/>
      <c r="P23" s="495"/>
      <c r="Q23" s="495"/>
    </row>
    <row r="24" spans="1:17">
      <c r="A24" s="54" t="s">
        <v>448</v>
      </c>
      <c r="B24" s="63" t="s">
        <v>98</v>
      </c>
      <c r="C24" s="63" t="s">
        <v>99</v>
      </c>
      <c r="D24" s="63" t="s">
        <v>100</v>
      </c>
      <c r="E24" s="63" t="s">
        <v>101</v>
      </c>
      <c r="F24" s="64" t="s">
        <v>102</v>
      </c>
      <c r="J24" s="495"/>
      <c r="K24" s="495"/>
      <c r="L24" s="495"/>
      <c r="M24" s="495"/>
      <c r="N24" s="495"/>
      <c r="O24" s="495"/>
      <c r="P24" s="495"/>
      <c r="Q24" s="495"/>
    </row>
    <row r="25" spans="1:17">
      <c r="A25" s="41" t="s">
        <v>468</v>
      </c>
      <c r="B25" s="4">
        <f>B8*C3*1.075</f>
        <v>1.5479999999999998</v>
      </c>
      <c r="C25" s="4">
        <f>B8*D3*1.075</f>
        <v>25.799999999999997</v>
      </c>
      <c r="D25" s="4">
        <f>E3*B8*1.075</f>
        <v>129</v>
      </c>
      <c r="E25" s="4" t="s">
        <v>58</v>
      </c>
      <c r="F25" s="42" t="s">
        <v>58</v>
      </c>
      <c r="J25" s="495"/>
      <c r="K25" s="495"/>
      <c r="L25" s="495"/>
      <c r="M25" s="495"/>
      <c r="N25" s="495"/>
      <c r="O25" s="495"/>
      <c r="P25" s="495"/>
      <c r="Q25" s="495"/>
    </row>
    <row r="26" spans="1:17">
      <c r="A26" s="41" t="s">
        <v>451</v>
      </c>
      <c r="B26" s="4" t="s">
        <v>58</v>
      </c>
      <c r="C26" s="4" t="s">
        <v>58</v>
      </c>
      <c r="D26" s="4" t="s">
        <v>58</v>
      </c>
      <c r="E26" s="4" t="s">
        <v>58</v>
      </c>
      <c r="F26" s="42">
        <f>B9*G3*1.075</f>
        <v>54688.259999999995</v>
      </c>
      <c r="J26" s="495"/>
      <c r="K26" s="495"/>
      <c r="L26" s="495"/>
      <c r="M26" s="495"/>
      <c r="N26" s="495"/>
      <c r="O26" s="495"/>
      <c r="P26" s="495"/>
      <c r="Q26" s="495"/>
    </row>
    <row r="27" spans="1:17">
      <c r="A27" s="41" t="s">
        <v>458</v>
      </c>
      <c r="B27" s="4" t="s">
        <v>58</v>
      </c>
      <c r="C27" s="4" t="s">
        <v>58</v>
      </c>
      <c r="D27" s="4" t="s">
        <v>58</v>
      </c>
      <c r="E27" s="4">
        <f>B12*F3*1.075</f>
        <v>6944.1344999999992</v>
      </c>
      <c r="F27" s="42">
        <f>G3*B12*1.075</f>
        <v>16747.618499999997</v>
      </c>
      <c r="J27" s="495"/>
      <c r="K27" s="495"/>
      <c r="L27" s="495"/>
      <c r="M27" s="495"/>
      <c r="N27" s="495"/>
      <c r="O27" s="495"/>
      <c r="P27" s="495"/>
      <c r="Q27" s="495"/>
    </row>
    <row r="28" spans="1:17">
      <c r="A28" s="41" t="s">
        <v>461</v>
      </c>
      <c r="B28" s="4" t="s">
        <v>58</v>
      </c>
      <c r="C28" s="4" t="s">
        <v>58</v>
      </c>
      <c r="D28" s="4" t="s">
        <v>58</v>
      </c>
      <c r="E28" s="4">
        <f>B15*F3*1.075</f>
        <v>5757.7214999999997</v>
      </c>
      <c r="F28" s="42">
        <f>B15*G3*1.075</f>
        <v>13886.269499999997</v>
      </c>
      <c r="J28" s="495"/>
      <c r="K28" s="495"/>
      <c r="L28" s="495"/>
      <c r="M28" s="495"/>
      <c r="N28" s="495"/>
      <c r="O28" s="495"/>
      <c r="P28" s="495"/>
      <c r="Q28" s="495"/>
    </row>
    <row r="29" spans="1:17">
      <c r="A29" s="51" t="s">
        <v>464</v>
      </c>
      <c r="B29" s="52" t="s">
        <v>58</v>
      </c>
      <c r="C29" s="52" t="s">
        <v>58</v>
      </c>
      <c r="D29" s="52" t="s">
        <v>58</v>
      </c>
      <c r="E29" s="52">
        <f>B18*F3*1.075</f>
        <v>5483.5964999999997</v>
      </c>
      <c r="F29" s="53">
        <f>B18*G3*1.075</f>
        <v>13225.144499999997</v>
      </c>
      <c r="J29" s="495"/>
      <c r="K29" s="495"/>
      <c r="L29" s="495"/>
      <c r="M29" s="495"/>
      <c r="N29" s="495"/>
      <c r="O29" s="495"/>
      <c r="P29" s="495"/>
      <c r="Q29" s="495"/>
    </row>
    <row r="30" spans="1:17">
      <c r="J30" s="495"/>
      <c r="K30" s="495"/>
      <c r="L30" s="495"/>
      <c r="M30" s="495"/>
      <c r="N30" s="495"/>
      <c r="O30" s="495"/>
      <c r="P30" s="495"/>
      <c r="Q30" s="495"/>
    </row>
    <row r="31" spans="1:17">
      <c r="J31" s="495"/>
      <c r="K31" s="495"/>
      <c r="L31" s="495"/>
      <c r="M31" s="495"/>
      <c r="N31" s="495"/>
      <c r="O31" s="495"/>
      <c r="P31" s="495"/>
      <c r="Q31" s="495"/>
    </row>
    <row r="32" spans="1:17">
      <c r="J32" s="495"/>
      <c r="K32" s="495"/>
      <c r="L32" s="495"/>
      <c r="M32" s="495"/>
      <c r="N32" s="495"/>
      <c r="O32" s="495"/>
      <c r="P32" s="495"/>
      <c r="Q32" s="495"/>
    </row>
    <row r="33" spans="1:17">
      <c r="A33" s="129" t="s">
        <v>537</v>
      </c>
      <c r="B33" s="136" t="s">
        <v>98</v>
      </c>
      <c r="C33" s="136" t="s">
        <v>99</v>
      </c>
      <c r="D33" s="136" t="s">
        <v>100</v>
      </c>
      <c r="E33" s="136" t="s">
        <v>101</v>
      </c>
      <c r="F33" s="137" t="s">
        <v>102</v>
      </c>
      <c r="J33" s="495"/>
      <c r="K33" s="495"/>
      <c r="L33" s="495"/>
      <c r="M33" s="495"/>
      <c r="N33" s="495"/>
      <c r="O33" s="495"/>
      <c r="P33" s="495"/>
      <c r="Q33" s="495"/>
    </row>
    <row r="34" spans="1:17">
      <c r="A34" s="108" t="s">
        <v>78</v>
      </c>
      <c r="B34" s="109">
        <v>1.5479999999999998</v>
      </c>
      <c r="C34" s="134">
        <v>25.799999999999997</v>
      </c>
      <c r="D34" s="134">
        <f>AVERAGE(D25,D29,D28)</f>
        <v>129</v>
      </c>
      <c r="E34" s="134">
        <f>AVERAGE(E27:E29)</f>
        <v>6061.8175000000001</v>
      </c>
      <c r="F34" s="135">
        <f>AVERAGE(F26:F29)</f>
        <v>24636.823124999995</v>
      </c>
    </row>
    <row r="36" spans="1:17" ht="16" customHeight="1">
      <c r="H36" s="451" t="s">
        <v>542</v>
      </c>
      <c r="I36" s="451"/>
      <c r="J36" s="451"/>
      <c r="K36" s="451"/>
      <c r="L36" s="451"/>
      <c r="M36" s="451"/>
      <c r="N36" s="451"/>
    </row>
    <row r="37" spans="1:17">
      <c r="H37" s="451"/>
      <c r="I37" s="451"/>
      <c r="J37" s="451"/>
      <c r="K37" s="451"/>
      <c r="L37" s="451"/>
      <c r="M37" s="451"/>
      <c r="N37" s="451"/>
    </row>
    <row r="38" spans="1:17">
      <c r="H38" s="451"/>
      <c r="I38" s="451"/>
      <c r="J38" s="451"/>
      <c r="K38" s="451"/>
      <c r="L38" s="451"/>
      <c r="M38" s="451"/>
      <c r="N38" s="451"/>
    </row>
    <row r="39" spans="1:17">
      <c r="H39" s="451"/>
      <c r="I39" s="451"/>
      <c r="J39" s="451"/>
      <c r="K39" s="451"/>
      <c r="L39" s="451"/>
      <c r="M39" s="451"/>
      <c r="N39" s="451"/>
    </row>
    <row r="40" spans="1:17">
      <c r="H40" s="451"/>
      <c r="I40" s="451"/>
      <c r="J40" s="451"/>
      <c r="K40" s="451"/>
      <c r="L40" s="451"/>
      <c r="M40" s="451"/>
      <c r="N40" s="451"/>
    </row>
    <row r="41" spans="1:17">
      <c r="H41" s="451"/>
      <c r="I41" s="451"/>
      <c r="J41" s="451"/>
      <c r="K41" s="451"/>
      <c r="L41" s="451"/>
      <c r="M41" s="451"/>
      <c r="N41" s="451"/>
    </row>
    <row r="42" spans="1:17">
      <c r="H42" s="451"/>
      <c r="I42" s="451"/>
      <c r="J42" s="451"/>
      <c r="K42" s="451"/>
      <c r="L42" s="451"/>
      <c r="M42" s="451"/>
      <c r="N42" s="451"/>
    </row>
    <row r="43" spans="1:17">
      <c r="H43" s="451"/>
      <c r="I43" s="451"/>
      <c r="J43" s="451"/>
      <c r="K43" s="451"/>
      <c r="L43" s="451"/>
      <c r="M43" s="451"/>
      <c r="N43" s="451"/>
    </row>
    <row r="44" spans="1:17">
      <c r="H44" s="451"/>
      <c r="I44" s="451"/>
      <c r="J44" s="451"/>
      <c r="K44" s="451"/>
      <c r="L44" s="451"/>
      <c r="M44" s="451"/>
      <c r="N44" s="451"/>
    </row>
    <row r="45" spans="1:17">
      <c r="H45" s="451"/>
      <c r="I45" s="451"/>
      <c r="J45" s="451"/>
      <c r="K45" s="451"/>
      <c r="L45" s="451"/>
      <c r="M45" s="451"/>
      <c r="N45" s="451"/>
    </row>
    <row r="46" spans="1:17">
      <c r="H46" s="451"/>
      <c r="I46" s="451"/>
      <c r="J46" s="451"/>
      <c r="K46" s="451"/>
      <c r="L46" s="451"/>
      <c r="M46" s="451"/>
      <c r="N46" s="451"/>
    </row>
    <row r="47" spans="1:17">
      <c r="H47" s="451"/>
      <c r="I47" s="451"/>
      <c r="J47" s="451"/>
      <c r="K47" s="451"/>
      <c r="L47" s="451"/>
      <c r="M47" s="451"/>
      <c r="N47" s="451"/>
    </row>
    <row r="48" spans="1:17">
      <c r="H48" s="451"/>
      <c r="I48" s="451"/>
      <c r="J48" s="451"/>
      <c r="K48" s="451"/>
      <c r="L48" s="451"/>
      <c r="M48" s="451"/>
      <c r="N48" s="451"/>
    </row>
  </sheetData>
  <mergeCells count="2">
    <mergeCell ref="J23:Q33"/>
    <mergeCell ref="H36:N48"/>
  </mergeCells>
  <pageMargins left="0.7" right="0.7" top="0.75" bottom="0.75" header="0.3" footer="0.3"/>
  <pageSetup paperSize="9" orientation="portrait" horizontalDpi="0" verticalDpi="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D6CDD-2291-AB41-8B95-F3AC17006DDA}">
  <dimension ref="A1:N30"/>
  <sheetViews>
    <sheetView zoomScale="136" workbookViewId="0">
      <selection activeCell="E27" sqref="E27"/>
    </sheetView>
  </sheetViews>
  <sheetFormatPr baseColWidth="10" defaultRowHeight="16"/>
  <cols>
    <col min="1" max="1" width="20.33203125" customWidth="1"/>
    <col min="2" max="2" width="35.1640625" customWidth="1"/>
    <col min="3" max="3" width="31.33203125" customWidth="1"/>
    <col min="5" max="5" width="22.83203125" customWidth="1"/>
  </cols>
  <sheetData>
    <row r="1" spans="1:8">
      <c r="A1" s="227"/>
      <c r="B1" s="347" t="s">
        <v>97</v>
      </c>
      <c r="C1" s="347" t="s">
        <v>98</v>
      </c>
      <c r="D1" s="347" t="s">
        <v>99</v>
      </c>
      <c r="E1" s="347" t="s">
        <v>100</v>
      </c>
      <c r="F1" s="347" t="s">
        <v>101</v>
      </c>
      <c r="G1" s="347" t="s">
        <v>102</v>
      </c>
      <c r="H1" s="229" t="s">
        <v>199</v>
      </c>
    </row>
    <row r="2" spans="1:8">
      <c r="A2" s="230" t="s">
        <v>103</v>
      </c>
      <c r="B2" s="60">
        <v>0</v>
      </c>
      <c r="C2" s="60">
        <v>1.2E-2</v>
      </c>
      <c r="D2" s="60">
        <v>0.2</v>
      </c>
      <c r="E2" s="60">
        <v>1</v>
      </c>
      <c r="F2" s="60">
        <v>3.4</v>
      </c>
      <c r="G2" s="60">
        <v>8.1999999999999993</v>
      </c>
      <c r="H2" s="231" t="s">
        <v>200</v>
      </c>
    </row>
    <row r="3" spans="1:8" ht="34">
      <c r="A3" s="232" t="s">
        <v>110</v>
      </c>
      <c r="B3" s="60">
        <v>0</v>
      </c>
      <c r="C3" s="60">
        <f>C2*30</f>
        <v>0.36</v>
      </c>
      <c r="D3" s="60">
        <f t="shared" ref="D3:G3" si="0">D2*30</f>
        <v>6</v>
      </c>
      <c r="E3" s="60">
        <f t="shared" si="0"/>
        <v>30</v>
      </c>
      <c r="F3" s="60">
        <f t="shared" si="0"/>
        <v>102</v>
      </c>
      <c r="G3" s="60">
        <f t="shared" si="0"/>
        <v>245.99999999999997</v>
      </c>
      <c r="H3" s="231" t="s">
        <v>200</v>
      </c>
    </row>
    <row r="4" spans="1:8" ht="18" thickBot="1">
      <c r="A4" s="402" t="s">
        <v>1079</v>
      </c>
      <c r="B4" s="233">
        <v>0</v>
      </c>
      <c r="C4" s="233">
        <v>0.05</v>
      </c>
      <c r="D4" s="233">
        <v>0.2</v>
      </c>
      <c r="E4" s="233">
        <v>0.8</v>
      </c>
      <c r="F4" s="233">
        <v>2</v>
      </c>
      <c r="G4" s="233">
        <v>14</v>
      </c>
      <c r="H4" s="234" t="s">
        <v>201</v>
      </c>
    </row>
    <row r="5" spans="1:8">
      <c r="A5" s="1"/>
      <c r="B5" s="1"/>
      <c r="C5" s="1"/>
      <c r="D5" s="1"/>
      <c r="E5" s="1"/>
      <c r="F5" s="1"/>
      <c r="G5" s="1"/>
      <c r="H5" s="4"/>
    </row>
    <row r="6" spans="1:8">
      <c r="A6" s="1"/>
      <c r="B6" s="1"/>
      <c r="C6" s="1"/>
      <c r="D6" s="1"/>
      <c r="E6" s="1"/>
      <c r="F6" s="1"/>
      <c r="G6" s="1"/>
      <c r="H6" s="4"/>
    </row>
    <row r="7" spans="1:8" ht="17" thickBot="1">
      <c r="A7" s="1"/>
      <c r="B7" s="1"/>
      <c r="C7" s="1"/>
      <c r="D7" s="1"/>
      <c r="E7" s="1"/>
      <c r="F7" s="1"/>
      <c r="G7" s="1"/>
      <c r="H7" s="4"/>
    </row>
    <row r="8" spans="1:8" ht="17" thickBot="1">
      <c r="A8" s="172"/>
      <c r="B8" s="173" t="s">
        <v>753</v>
      </c>
      <c r="C8" s="174" t="s">
        <v>754</v>
      </c>
      <c r="D8" s="4"/>
      <c r="E8" s="4"/>
      <c r="F8" s="4"/>
      <c r="G8" s="4"/>
    </row>
    <row r="9" spans="1:8" ht="17" thickBot="1">
      <c r="A9" s="175" t="s">
        <v>748</v>
      </c>
      <c r="B9" s="4">
        <v>26440</v>
      </c>
      <c r="C9" s="176">
        <v>15</v>
      </c>
      <c r="D9" s="4"/>
      <c r="E9" s="263" t="s">
        <v>764</v>
      </c>
      <c r="F9" s="264">
        <f>120.88/1000</f>
        <v>0.12088</v>
      </c>
      <c r="G9" s="265" t="s">
        <v>283</v>
      </c>
    </row>
    <row r="10" spans="1:8">
      <c r="A10" s="175" t="s">
        <v>749</v>
      </c>
      <c r="B10" s="4">
        <v>50440</v>
      </c>
      <c r="C10" s="176">
        <v>15</v>
      </c>
      <c r="D10" s="4"/>
      <c r="E10" s="4"/>
      <c r="F10" s="4"/>
      <c r="G10" s="4"/>
    </row>
    <row r="11" spans="1:8">
      <c r="A11" s="175" t="s">
        <v>750</v>
      </c>
      <c r="B11" s="4">
        <v>75440</v>
      </c>
      <c r="C11" s="176">
        <v>40</v>
      </c>
      <c r="D11" s="4"/>
      <c r="E11" s="4"/>
      <c r="F11" s="4"/>
      <c r="G11" s="4"/>
    </row>
    <row r="12" spans="1:8">
      <c r="A12" s="175" t="s">
        <v>751</v>
      </c>
      <c r="B12" s="4">
        <v>100440</v>
      </c>
      <c r="C12" s="176">
        <v>50</v>
      </c>
      <c r="D12" s="4"/>
      <c r="E12" s="4"/>
      <c r="F12" s="4"/>
      <c r="G12" s="4"/>
    </row>
    <row r="13" spans="1:8">
      <c r="A13" s="175" t="s">
        <v>752</v>
      </c>
      <c r="B13" s="4">
        <v>100440</v>
      </c>
      <c r="C13" s="176">
        <v>20</v>
      </c>
      <c r="D13" s="4"/>
      <c r="E13" s="4"/>
      <c r="F13" s="4"/>
      <c r="G13" s="4"/>
    </row>
    <row r="14" spans="1:8">
      <c r="A14" s="175" t="s">
        <v>755</v>
      </c>
      <c r="B14" s="4">
        <v>124440</v>
      </c>
      <c r="C14" s="176">
        <v>25</v>
      </c>
      <c r="D14" s="4"/>
      <c r="E14" s="4"/>
      <c r="F14" s="4"/>
      <c r="G14" s="4"/>
    </row>
    <row r="15" spans="1:8">
      <c r="A15" s="175" t="s">
        <v>756</v>
      </c>
      <c r="B15" s="4">
        <v>151440</v>
      </c>
      <c r="C15" s="176">
        <v>30</v>
      </c>
      <c r="D15" s="4"/>
      <c r="E15" s="4"/>
      <c r="F15" s="4"/>
      <c r="G15" s="4"/>
    </row>
    <row r="16" spans="1:8">
      <c r="A16" s="261" t="s">
        <v>757</v>
      </c>
      <c r="B16" s="4">
        <v>200440</v>
      </c>
      <c r="C16" s="176">
        <v>40</v>
      </c>
      <c r="D16" s="4"/>
      <c r="E16" s="4"/>
      <c r="F16" s="4"/>
      <c r="G16" s="4"/>
    </row>
    <row r="17" spans="1:14">
      <c r="A17" s="261" t="s">
        <v>758</v>
      </c>
      <c r="B17" s="4">
        <v>248440</v>
      </c>
      <c r="C17" s="176">
        <v>50</v>
      </c>
      <c r="D17" s="4"/>
      <c r="E17" s="4"/>
      <c r="F17" s="4"/>
      <c r="G17" s="4"/>
    </row>
    <row r="18" spans="1:14">
      <c r="A18" s="261" t="s">
        <v>759</v>
      </c>
      <c r="B18" s="4">
        <v>290440</v>
      </c>
      <c r="C18" s="176">
        <v>60</v>
      </c>
      <c r="D18" s="4"/>
      <c r="E18" s="4"/>
      <c r="F18" s="4"/>
      <c r="G18" s="4"/>
    </row>
    <row r="19" spans="1:14">
      <c r="A19" s="261" t="s">
        <v>760</v>
      </c>
      <c r="B19" s="4">
        <v>330440</v>
      </c>
      <c r="C19" s="176">
        <v>70</v>
      </c>
      <c r="D19" s="4"/>
      <c r="E19" s="4"/>
      <c r="F19" s="4"/>
      <c r="G19" s="4"/>
    </row>
    <row r="20" spans="1:14">
      <c r="A20" s="261" t="s">
        <v>761</v>
      </c>
      <c r="B20" s="4">
        <v>368440</v>
      </c>
      <c r="C20" s="176">
        <v>80</v>
      </c>
      <c r="D20" s="4"/>
      <c r="E20" s="4"/>
      <c r="F20" s="4"/>
      <c r="G20" s="4"/>
    </row>
    <row r="21" spans="1:14" ht="17" thickBot="1">
      <c r="A21" s="262" t="s">
        <v>762</v>
      </c>
      <c r="B21" s="179">
        <v>406440</v>
      </c>
      <c r="C21" s="180">
        <v>90</v>
      </c>
      <c r="D21" s="4"/>
      <c r="E21" s="4"/>
      <c r="F21" s="4"/>
      <c r="G21" s="4"/>
    </row>
    <row r="22" spans="1:14">
      <c r="A22" s="9"/>
      <c r="B22" s="4"/>
      <c r="C22" s="4"/>
      <c r="D22" s="4"/>
      <c r="E22" s="4"/>
      <c r="F22" s="4"/>
      <c r="G22" s="4"/>
    </row>
    <row r="23" spans="1:14">
      <c r="A23" s="9"/>
      <c r="B23" s="4"/>
      <c r="C23" s="4"/>
      <c r="D23" s="4"/>
      <c r="E23" s="4"/>
      <c r="F23" s="4"/>
      <c r="G23" s="4"/>
    </row>
    <row r="24" spans="1:14" ht="17" thickBot="1">
      <c r="A24" s="4"/>
      <c r="B24" s="4"/>
      <c r="C24" s="4"/>
      <c r="D24" s="4"/>
      <c r="E24" s="4"/>
      <c r="F24" s="4"/>
      <c r="G24" s="4"/>
    </row>
    <row r="25" spans="1:14">
      <c r="A25" s="195" t="s">
        <v>109</v>
      </c>
      <c r="B25" s="196" t="s">
        <v>97</v>
      </c>
      <c r="C25" s="196" t="s">
        <v>98</v>
      </c>
      <c r="D25" s="196" t="s">
        <v>99</v>
      </c>
      <c r="E25" s="196" t="s">
        <v>100</v>
      </c>
      <c r="F25" s="196" t="s">
        <v>101</v>
      </c>
      <c r="G25" s="197" t="s">
        <v>102</v>
      </c>
    </row>
    <row r="26" spans="1:14" ht="17" thickBot="1">
      <c r="A26" s="198" t="s">
        <v>59</v>
      </c>
      <c r="B26" s="199">
        <v>0</v>
      </c>
      <c r="C26" s="199">
        <f>C3*$F9</f>
        <v>4.3516800000000001E-2</v>
      </c>
      <c r="D26" s="199">
        <f>D3*$F9</f>
        <v>0.72528000000000004</v>
      </c>
      <c r="E26" s="199">
        <f>E3*$F9</f>
        <v>3.6263999999999998</v>
      </c>
      <c r="F26" s="199">
        <f>F3*$F9</f>
        <v>12.32976</v>
      </c>
      <c r="G26" s="200">
        <f>G3*$F9</f>
        <v>29.736479999999997</v>
      </c>
      <c r="I26" s="451" t="s">
        <v>763</v>
      </c>
      <c r="J26" s="451"/>
      <c r="K26" s="451"/>
      <c r="L26" s="451"/>
      <c r="M26" s="451"/>
      <c r="N26" s="451"/>
    </row>
    <row r="27" spans="1:14">
      <c r="A27" s="4"/>
      <c r="B27" s="4"/>
      <c r="C27" s="4"/>
      <c r="D27" s="4"/>
      <c r="E27" s="4"/>
      <c r="F27" s="4"/>
      <c r="G27" s="4"/>
      <c r="I27" s="451"/>
      <c r="J27" s="451"/>
      <c r="K27" s="451"/>
      <c r="L27" s="451"/>
      <c r="M27" s="451"/>
      <c r="N27" s="451"/>
    </row>
    <row r="28" spans="1:14">
      <c r="I28" s="451"/>
      <c r="J28" s="451"/>
      <c r="K28" s="451"/>
      <c r="L28" s="451"/>
      <c r="M28" s="451"/>
      <c r="N28" s="451"/>
    </row>
    <row r="29" spans="1:14">
      <c r="I29" s="451"/>
      <c r="J29" s="451"/>
      <c r="K29" s="451"/>
      <c r="L29" s="451"/>
      <c r="M29" s="451"/>
      <c r="N29" s="451"/>
    </row>
    <row r="30" spans="1:14">
      <c r="I30" s="451"/>
      <c r="J30" s="451"/>
      <c r="K30" s="451"/>
      <c r="L30" s="451"/>
      <c r="M30" s="451"/>
      <c r="N30" s="451"/>
    </row>
  </sheetData>
  <mergeCells count="1">
    <mergeCell ref="I26:N30"/>
  </mergeCells>
  <pageMargins left="0.7" right="0.7" top="0.75" bottom="0.75" header="0.3" footer="0.3"/>
  <pageSetup paperSize="9" orientation="portrait" horizontalDpi="0" verticalDpi="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12E52-79A8-3247-841D-B9038466E403}">
  <dimension ref="A1:H9"/>
  <sheetViews>
    <sheetView zoomScale="158" workbookViewId="0">
      <selection activeCell="E9" sqref="E9"/>
    </sheetView>
  </sheetViews>
  <sheetFormatPr baseColWidth="10" defaultRowHeight="16"/>
  <cols>
    <col min="1" max="1" width="13.6640625" customWidth="1"/>
  </cols>
  <sheetData>
    <row r="1" spans="1:8">
      <c r="A1" s="172"/>
      <c r="B1" s="253" t="s">
        <v>97</v>
      </c>
      <c r="C1" s="253" t="s">
        <v>98</v>
      </c>
      <c r="D1" s="253" t="s">
        <v>99</v>
      </c>
      <c r="E1" s="253" t="s">
        <v>100</v>
      </c>
      <c r="F1" s="253" t="s">
        <v>101</v>
      </c>
      <c r="G1" s="253" t="s">
        <v>102</v>
      </c>
      <c r="H1" s="174" t="s">
        <v>199</v>
      </c>
    </row>
    <row r="2" spans="1:8">
      <c r="A2" s="175" t="s">
        <v>103</v>
      </c>
      <c r="B2" s="4">
        <v>0</v>
      </c>
      <c r="C2" s="4">
        <v>1.2E-2</v>
      </c>
      <c r="D2" s="4">
        <v>0.2</v>
      </c>
      <c r="E2" s="4">
        <v>1</v>
      </c>
      <c r="F2" s="4">
        <v>3.4</v>
      </c>
      <c r="G2" s="4">
        <v>8.1999999999999993</v>
      </c>
      <c r="H2" s="176" t="s">
        <v>200</v>
      </c>
    </row>
    <row r="3" spans="1:8" ht="69" thickBot="1">
      <c r="A3" s="178" t="s">
        <v>110</v>
      </c>
      <c r="B3" s="179">
        <v>0</v>
      </c>
      <c r="C3" s="179">
        <f>C2*30</f>
        <v>0.36</v>
      </c>
      <c r="D3" s="179">
        <f t="shared" ref="D3:G3" si="0">D2*30</f>
        <v>6</v>
      </c>
      <c r="E3" s="179">
        <f t="shared" si="0"/>
        <v>30</v>
      </c>
      <c r="F3" s="179">
        <f t="shared" si="0"/>
        <v>102</v>
      </c>
      <c r="G3" s="179">
        <f t="shared" si="0"/>
        <v>245.99999999999997</v>
      </c>
      <c r="H3" s="180" t="s">
        <v>200</v>
      </c>
    </row>
    <row r="4" spans="1:8" ht="17" thickBot="1"/>
    <row r="5" spans="1:8">
      <c r="A5" s="464" t="s">
        <v>218</v>
      </c>
      <c r="B5" s="448"/>
      <c r="C5" s="448"/>
      <c r="D5" s="448"/>
      <c r="E5" s="448"/>
      <c r="F5" s="449"/>
      <c r="H5" s="25" t="s">
        <v>222</v>
      </c>
    </row>
    <row r="6" spans="1:8" ht="17" thickBot="1">
      <c r="A6" s="251" t="s">
        <v>219</v>
      </c>
      <c r="B6" s="163">
        <v>89</v>
      </c>
      <c r="C6" s="163" t="s">
        <v>220</v>
      </c>
      <c r="D6" s="163">
        <v>212</v>
      </c>
      <c r="E6" s="163" t="s">
        <v>221</v>
      </c>
      <c r="F6" s="164">
        <v>249</v>
      </c>
    </row>
    <row r="7" spans="1:8">
      <c r="A7" s="6"/>
    </row>
    <row r="8" spans="1:8">
      <c r="A8" s="132" t="s">
        <v>109</v>
      </c>
      <c r="B8" s="130" t="s">
        <v>97</v>
      </c>
      <c r="C8" s="130" t="s">
        <v>98</v>
      </c>
      <c r="D8" s="130" t="s">
        <v>99</v>
      </c>
      <c r="E8" s="130" t="s">
        <v>100</v>
      </c>
      <c r="F8" s="130" t="s">
        <v>101</v>
      </c>
      <c r="G8" s="131" t="s">
        <v>102</v>
      </c>
      <c r="H8" s="9"/>
    </row>
    <row r="9" spans="1:8">
      <c r="A9" s="133" t="s">
        <v>78</v>
      </c>
      <c r="B9" s="134">
        <v>0</v>
      </c>
      <c r="C9" s="134">
        <f>C3*B6*1.18</f>
        <v>37.807199999999995</v>
      </c>
      <c r="D9" s="134">
        <f>D3*B6*1.18</f>
        <v>630.12</v>
      </c>
      <c r="E9" s="134">
        <f>(15*B6+(E3-15)*D6)*1.18</f>
        <v>5327.7</v>
      </c>
      <c r="F9" s="134">
        <f>(15*B6+35*D6+(F3-50)*F6)*1.18</f>
        <v>25609.539999999997</v>
      </c>
      <c r="G9" s="135">
        <f>(15*B6+35*D6+(G3-50)*F6)*1.18</f>
        <v>67919.619999999981</v>
      </c>
    </row>
  </sheetData>
  <mergeCells count="1">
    <mergeCell ref="A5:F5"/>
  </mergeCells>
  <pageMargins left="0.7" right="0.7" top="0.75" bottom="0.75" header="0.3" footer="0.3"/>
  <pageSetup paperSize="9" orientation="portrait" horizontalDpi="0" verticalDpi="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CFBBB-B57C-AB40-8DFC-EE1BDE64138B}">
  <dimension ref="A1:N34"/>
  <sheetViews>
    <sheetView workbookViewId="0">
      <selection activeCell="F23" sqref="F23"/>
    </sheetView>
  </sheetViews>
  <sheetFormatPr baseColWidth="10" defaultRowHeight="16"/>
  <cols>
    <col min="1" max="1" width="42.5" style="4" customWidth="1"/>
    <col min="2" max="2" width="15.83203125" style="4" customWidth="1"/>
    <col min="3" max="3" width="22.6640625" style="4" customWidth="1"/>
    <col min="4" max="4" width="29.5" style="1" customWidth="1"/>
    <col min="5" max="5" width="21.6640625" style="1" customWidth="1"/>
    <col min="6" max="6" width="23.6640625" style="1" customWidth="1"/>
    <col min="7" max="7" width="23" customWidth="1"/>
  </cols>
  <sheetData>
    <row r="1" spans="1:10">
      <c r="A1" s="172"/>
      <c r="B1" s="173" t="s">
        <v>97</v>
      </c>
      <c r="C1" s="173" t="s">
        <v>98</v>
      </c>
      <c r="D1" s="173" t="s">
        <v>99</v>
      </c>
      <c r="E1" s="173" t="s">
        <v>100</v>
      </c>
      <c r="F1" s="173" t="s">
        <v>101</v>
      </c>
      <c r="G1" s="173" t="s">
        <v>102</v>
      </c>
      <c r="H1" s="174" t="s">
        <v>199</v>
      </c>
    </row>
    <row r="2" spans="1:10">
      <c r="A2" s="175" t="s">
        <v>103</v>
      </c>
      <c r="B2" s="4">
        <v>0</v>
      </c>
      <c r="C2" s="4">
        <v>1.2E-2</v>
      </c>
      <c r="D2" s="4">
        <v>0.2</v>
      </c>
      <c r="E2" s="4">
        <v>1</v>
      </c>
      <c r="F2" s="4">
        <v>3.4</v>
      </c>
      <c r="G2" s="4">
        <v>8.1999999999999993</v>
      </c>
      <c r="H2" s="176" t="s">
        <v>200</v>
      </c>
    </row>
    <row r="3" spans="1:10" ht="17">
      <c r="A3" s="177" t="s">
        <v>110</v>
      </c>
      <c r="B3" s="4">
        <v>0</v>
      </c>
      <c r="C3" s="4">
        <f>C2*30</f>
        <v>0.36</v>
      </c>
      <c r="D3" s="4">
        <f t="shared" ref="D3:G3" si="0">D2*30</f>
        <v>6</v>
      </c>
      <c r="E3" s="4">
        <f t="shared" si="0"/>
        <v>30</v>
      </c>
      <c r="F3" s="4">
        <f t="shared" si="0"/>
        <v>102</v>
      </c>
      <c r="G3" s="4">
        <f t="shared" si="0"/>
        <v>245.99999999999997</v>
      </c>
      <c r="H3" s="176" t="s">
        <v>200</v>
      </c>
    </row>
    <row r="4" spans="1:10" ht="18" thickBot="1">
      <c r="A4" s="178" t="s">
        <v>297</v>
      </c>
      <c r="B4" s="179">
        <v>0</v>
      </c>
      <c r="C4" s="179" t="s">
        <v>577</v>
      </c>
      <c r="D4" s="179" t="s">
        <v>578</v>
      </c>
      <c r="E4" s="179" t="s">
        <v>579</v>
      </c>
      <c r="F4" s="179" t="s">
        <v>580</v>
      </c>
      <c r="G4" s="179" t="s">
        <v>1031</v>
      </c>
      <c r="H4" s="180" t="s">
        <v>202</v>
      </c>
    </row>
    <row r="5" spans="1:10">
      <c r="A5" s="1"/>
      <c r="B5" s="1"/>
      <c r="C5" s="1"/>
      <c r="G5" s="1"/>
    </row>
    <row r="6" spans="1:10" ht="17" thickBot="1">
      <c r="A6" s="6"/>
      <c r="D6" s="4"/>
      <c r="E6" s="4"/>
      <c r="F6" s="4"/>
      <c r="G6" s="4"/>
      <c r="H6" s="4"/>
    </row>
    <row r="7" spans="1:10" ht="17" thickBot="1">
      <c r="A7" s="461" t="s">
        <v>771</v>
      </c>
      <c r="B7" s="462"/>
      <c r="C7" s="462"/>
      <c r="D7" s="462"/>
      <c r="E7" s="186"/>
    </row>
    <row r="8" spans="1:10" ht="17" thickBot="1">
      <c r="A8" s="266" t="s">
        <v>770</v>
      </c>
      <c r="B8" s="4" t="s">
        <v>772</v>
      </c>
      <c r="C8" s="4" t="s">
        <v>773</v>
      </c>
      <c r="D8" s="1" t="s">
        <v>774</v>
      </c>
      <c r="E8" s="252"/>
      <c r="G8" s="267" t="s">
        <v>791</v>
      </c>
      <c r="H8" s="268"/>
      <c r="I8" s="269"/>
    </row>
    <row r="9" spans="1:10">
      <c r="A9" s="254" t="s">
        <v>776</v>
      </c>
      <c r="B9" s="4">
        <v>91.17</v>
      </c>
      <c r="C9" s="4">
        <v>136.49</v>
      </c>
      <c r="D9" s="1">
        <v>159.36000000000001</v>
      </c>
      <c r="E9" s="252"/>
    </row>
    <row r="10" spans="1:10">
      <c r="A10" s="175" t="s">
        <v>777</v>
      </c>
      <c r="B10" s="4">
        <v>111.23</v>
      </c>
      <c r="C10" s="4">
        <v>143.54</v>
      </c>
      <c r="D10" s="1">
        <v>158.46</v>
      </c>
      <c r="E10" s="252"/>
    </row>
    <row r="11" spans="1:10">
      <c r="A11" s="266" t="s">
        <v>775</v>
      </c>
      <c r="E11" s="252"/>
    </row>
    <row r="12" spans="1:10">
      <c r="A12" s="175" t="s">
        <v>776</v>
      </c>
      <c r="B12" s="4">
        <v>91.17</v>
      </c>
      <c r="C12" s="4">
        <v>136.49</v>
      </c>
      <c r="E12" s="252"/>
      <c r="F12" s="4"/>
    </row>
    <row r="13" spans="1:10" ht="17" thickBot="1">
      <c r="A13" s="175" t="s">
        <v>777</v>
      </c>
      <c r="B13" s="4">
        <v>111.23</v>
      </c>
      <c r="C13" s="4">
        <v>143.54</v>
      </c>
      <c r="E13" s="252"/>
      <c r="F13" s="4"/>
    </row>
    <row r="14" spans="1:10">
      <c r="A14" s="266" t="s">
        <v>779</v>
      </c>
      <c r="B14" s="4" t="s">
        <v>780</v>
      </c>
      <c r="C14" s="4" t="s">
        <v>781</v>
      </c>
      <c r="D14" s="1" t="s">
        <v>782</v>
      </c>
      <c r="E14" s="252"/>
      <c r="F14" s="4"/>
      <c r="G14" s="157" t="s">
        <v>783</v>
      </c>
      <c r="H14" s="158"/>
      <c r="I14" s="158"/>
      <c r="J14" s="159"/>
    </row>
    <row r="15" spans="1:10" ht="17" thickBot="1">
      <c r="A15" s="187" t="s">
        <v>778</v>
      </c>
      <c r="B15" s="179">
        <v>118.37</v>
      </c>
      <c r="C15" s="179">
        <v>170.53</v>
      </c>
      <c r="D15" s="182">
        <v>956.13</v>
      </c>
      <c r="E15" s="270"/>
      <c r="F15" s="4"/>
      <c r="G15" s="160" t="s">
        <v>784</v>
      </c>
      <c r="J15" s="161"/>
    </row>
    <row r="16" spans="1:10" ht="17" thickBot="1">
      <c r="G16" s="251" t="s">
        <v>785</v>
      </c>
      <c r="H16" s="163"/>
      <c r="I16" s="163"/>
      <c r="J16" s="164"/>
    </row>
    <row r="17" spans="1:14" ht="17" thickBot="1"/>
    <row r="18" spans="1:14">
      <c r="A18" s="235" t="s">
        <v>109</v>
      </c>
      <c r="B18" s="236" t="s">
        <v>97</v>
      </c>
      <c r="C18" s="236" t="s">
        <v>98</v>
      </c>
      <c r="D18" s="236" t="s">
        <v>99</v>
      </c>
      <c r="E18" s="236" t="s">
        <v>100</v>
      </c>
      <c r="F18" s="236" t="s">
        <v>101</v>
      </c>
      <c r="G18" s="237" t="s">
        <v>102</v>
      </c>
    </row>
    <row r="19" spans="1:14">
      <c r="A19" s="175" t="s">
        <v>786</v>
      </c>
      <c r="B19" s="4">
        <v>0</v>
      </c>
      <c r="C19" s="4">
        <f>$B9*C3</f>
        <v>32.821199999999997</v>
      </c>
      <c r="D19" s="4">
        <f>$B9*D3</f>
        <v>547.02</v>
      </c>
      <c r="E19" s="4" t="s">
        <v>58</v>
      </c>
      <c r="F19" s="4" t="s">
        <v>58</v>
      </c>
      <c r="G19" s="176" t="s">
        <v>58</v>
      </c>
    </row>
    <row r="20" spans="1:14">
      <c r="A20" s="175" t="s">
        <v>787</v>
      </c>
      <c r="B20" s="4">
        <v>0</v>
      </c>
      <c r="C20" s="4" t="s">
        <v>58</v>
      </c>
      <c r="D20" s="4" t="s">
        <v>58</v>
      </c>
      <c r="E20" s="1">
        <f>$B10*E3</f>
        <v>3336.9</v>
      </c>
      <c r="F20" s="4" t="s">
        <v>58</v>
      </c>
      <c r="G20" s="176" t="s">
        <v>58</v>
      </c>
    </row>
    <row r="21" spans="1:14">
      <c r="A21" s="175" t="s">
        <v>788</v>
      </c>
      <c r="B21" s="4">
        <v>0</v>
      </c>
      <c r="C21" s="4">
        <f>$B12*C3</f>
        <v>32.821199999999997</v>
      </c>
      <c r="D21" s="4">
        <f>$B12*D3</f>
        <v>547.02</v>
      </c>
      <c r="E21" s="4" t="s">
        <v>58</v>
      </c>
      <c r="F21" s="4" t="s">
        <v>58</v>
      </c>
      <c r="G21" s="176" t="s">
        <v>58</v>
      </c>
    </row>
    <row r="22" spans="1:14">
      <c r="A22" s="175" t="s">
        <v>789</v>
      </c>
      <c r="B22" s="4">
        <v>0</v>
      </c>
      <c r="C22" s="4" t="s">
        <v>58</v>
      </c>
      <c r="D22" s="4" t="s">
        <v>58</v>
      </c>
      <c r="E22" s="1">
        <f>$B13*E3</f>
        <v>3336.9</v>
      </c>
      <c r="F22" s="4" t="s">
        <v>58</v>
      </c>
      <c r="G22" s="176" t="s">
        <v>58</v>
      </c>
    </row>
    <row r="23" spans="1:14" ht="17" thickBot="1">
      <c r="A23" s="187" t="s">
        <v>790</v>
      </c>
      <c r="B23" s="179">
        <v>0</v>
      </c>
      <c r="C23" s="179" t="s">
        <v>58</v>
      </c>
      <c r="D23" s="179" t="s">
        <v>58</v>
      </c>
      <c r="E23" s="179" t="s">
        <v>58</v>
      </c>
      <c r="F23" s="182">
        <f>(F3*0.4)*$B15+(F3*0.6)*$C15+2*$D15</f>
        <v>17178.191999999999</v>
      </c>
      <c r="G23" s="270">
        <f>(G3*0.4)*$B15+(G3*0.6)*$C15+14*$D15</f>
        <v>50203.655999999995</v>
      </c>
    </row>
    <row r="24" spans="1:14" ht="17" thickBot="1"/>
    <row r="25" spans="1:14">
      <c r="A25" s="271" t="s">
        <v>109</v>
      </c>
      <c r="B25" s="239" t="s">
        <v>97</v>
      </c>
      <c r="C25" s="239" t="s">
        <v>98</v>
      </c>
      <c r="D25" s="239" t="s">
        <v>99</v>
      </c>
      <c r="E25" s="239" t="s">
        <v>100</v>
      </c>
      <c r="F25" s="239" t="s">
        <v>101</v>
      </c>
      <c r="G25" s="240" t="s">
        <v>102</v>
      </c>
    </row>
    <row r="26" spans="1:14" ht="17" thickBot="1">
      <c r="A26" s="198" t="s">
        <v>59</v>
      </c>
      <c r="B26" s="199">
        <v>0</v>
      </c>
      <c r="C26" s="199">
        <f>AVERAGE(C19,C21)</f>
        <v>32.821199999999997</v>
      </c>
      <c r="D26" s="199">
        <f>AVERAGE(D19,D21)</f>
        <v>547.02</v>
      </c>
      <c r="E26" s="199">
        <f>AVERAGE(E20,E22)</f>
        <v>3336.9</v>
      </c>
      <c r="F26" s="199">
        <f>AVERAGE(F20,F22,F23)</f>
        <v>17178.191999999999</v>
      </c>
      <c r="G26" s="200">
        <f>AVERAGE(G23)</f>
        <v>50203.655999999995</v>
      </c>
    </row>
    <row r="29" spans="1:14">
      <c r="A29" s="98"/>
      <c r="B29" s="99"/>
      <c r="C29" s="99"/>
      <c r="D29" s="99"/>
      <c r="E29" s="99"/>
      <c r="F29" s="99"/>
      <c r="G29" s="99"/>
      <c r="I29" s="451" t="s">
        <v>1136</v>
      </c>
      <c r="J29" s="451"/>
      <c r="K29" s="451"/>
      <c r="L29" s="451"/>
      <c r="M29" s="451"/>
      <c r="N29" s="451"/>
    </row>
    <row r="30" spans="1:14">
      <c r="G30" s="1"/>
      <c r="I30" s="451"/>
      <c r="J30" s="451"/>
      <c r="K30" s="451"/>
      <c r="L30" s="451"/>
      <c r="M30" s="451"/>
      <c r="N30" s="451"/>
    </row>
    <row r="31" spans="1:14">
      <c r="I31" s="451"/>
      <c r="J31" s="451"/>
      <c r="K31" s="451"/>
      <c r="L31" s="451"/>
      <c r="M31" s="451"/>
      <c r="N31" s="451"/>
    </row>
    <row r="32" spans="1:14">
      <c r="I32" s="451"/>
      <c r="J32" s="451"/>
      <c r="K32" s="451"/>
      <c r="L32" s="451"/>
      <c r="M32" s="451"/>
      <c r="N32" s="451"/>
    </row>
    <row r="33" spans="9:14">
      <c r="I33" s="451"/>
      <c r="J33" s="451"/>
      <c r="K33" s="451"/>
      <c r="L33" s="451"/>
      <c r="M33" s="451"/>
      <c r="N33" s="451"/>
    </row>
    <row r="34" spans="9:14">
      <c r="I34" s="451"/>
      <c r="J34" s="451"/>
      <c r="K34" s="451"/>
      <c r="L34" s="451"/>
      <c r="M34" s="451"/>
      <c r="N34" s="451"/>
    </row>
  </sheetData>
  <mergeCells count="2">
    <mergeCell ref="I29:N34"/>
    <mergeCell ref="A7:D7"/>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42D2-3993-974D-A3C1-72BE6B3B6BE1}">
  <dimension ref="A1:N26"/>
  <sheetViews>
    <sheetView zoomScale="196" workbookViewId="0">
      <selection activeCell="G20" sqref="G20"/>
    </sheetView>
  </sheetViews>
  <sheetFormatPr baseColWidth="10" defaultRowHeight="16"/>
  <cols>
    <col min="1" max="1" width="20.83203125" style="4" customWidth="1"/>
    <col min="2" max="2" width="10.83203125" style="4"/>
    <col min="3" max="3" width="14.5" style="4" customWidth="1"/>
    <col min="4" max="7" width="10.83203125" style="4"/>
  </cols>
  <sheetData>
    <row r="1" spans="1:14">
      <c r="A1" s="172"/>
      <c r="B1" s="173" t="s">
        <v>97</v>
      </c>
      <c r="C1" s="173" t="s">
        <v>98</v>
      </c>
      <c r="D1" s="173" t="s">
        <v>99</v>
      </c>
      <c r="E1" s="173" t="s">
        <v>100</v>
      </c>
      <c r="F1" s="173" t="s">
        <v>101</v>
      </c>
      <c r="G1" s="173" t="s">
        <v>102</v>
      </c>
      <c r="H1" s="174" t="s">
        <v>199</v>
      </c>
    </row>
    <row r="2" spans="1:14">
      <c r="A2" s="175" t="s">
        <v>103</v>
      </c>
      <c r="B2" s="4">
        <v>0</v>
      </c>
      <c r="C2" s="4">
        <v>1.2E-2</v>
      </c>
      <c r="D2" s="4">
        <v>0.2</v>
      </c>
      <c r="E2" s="4">
        <v>1</v>
      </c>
      <c r="F2" s="4">
        <v>3.4</v>
      </c>
      <c r="G2" s="4">
        <v>8.1999999999999993</v>
      </c>
      <c r="H2" s="176" t="s">
        <v>200</v>
      </c>
    </row>
    <row r="3" spans="1:14" ht="34">
      <c r="A3" s="177" t="s">
        <v>110</v>
      </c>
      <c r="B3" s="4">
        <v>0</v>
      </c>
      <c r="C3" s="4">
        <f>C2*30</f>
        <v>0.36</v>
      </c>
      <c r="D3" s="4">
        <f t="shared" ref="D3:F3" si="0">D2*30</f>
        <v>6</v>
      </c>
      <c r="E3" s="4">
        <f t="shared" si="0"/>
        <v>30</v>
      </c>
      <c r="F3" s="4">
        <f t="shared" si="0"/>
        <v>102</v>
      </c>
      <c r="G3" s="4">
        <f>G2*30</f>
        <v>245.99999999999997</v>
      </c>
      <c r="H3" s="176" t="s">
        <v>200</v>
      </c>
    </row>
    <row r="4" spans="1:14" ht="17">
      <c r="A4" s="177" t="s">
        <v>297</v>
      </c>
      <c r="B4" s="4">
        <v>0</v>
      </c>
      <c r="C4" s="4" t="s">
        <v>304</v>
      </c>
      <c r="D4" s="4" t="s">
        <v>303</v>
      </c>
      <c r="E4" s="4" t="s">
        <v>302</v>
      </c>
      <c r="F4" s="4" t="s">
        <v>301</v>
      </c>
      <c r="G4" s="4" t="s">
        <v>1032</v>
      </c>
      <c r="H4" s="176" t="s">
        <v>201</v>
      </c>
    </row>
    <row r="5" spans="1:14" ht="18" thickBot="1">
      <c r="A5" s="178" t="s">
        <v>1026</v>
      </c>
      <c r="B5" s="179">
        <v>0</v>
      </c>
      <c r="C5" s="182">
        <v>5.2631578947368425E-2</v>
      </c>
      <c r="D5" s="179">
        <v>0.2105263157894737</v>
      </c>
      <c r="E5" s="179">
        <v>0.8421052631578948</v>
      </c>
      <c r="F5" s="179">
        <v>2.1052631578947367</v>
      </c>
      <c r="G5" s="179">
        <f>14/0.95</f>
        <v>14.736842105263159</v>
      </c>
      <c r="H5" s="180" t="s">
        <v>300</v>
      </c>
    </row>
    <row r="6" spans="1:14" ht="17" thickBot="1">
      <c r="A6" s="1"/>
      <c r="B6" s="1"/>
      <c r="C6" s="1"/>
      <c r="D6" s="1"/>
      <c r="E6" s="1"/>
      <c r="F6" s="1"/>
      <c r="G6" s="1"/>
      <c r="H6" s="4"/>
    </row>
    <row r="7" spans="1:14">
      <c r="A7" s="172" t="s">
        <v>609</v>
      </c>
      <c r="B7" s="173"/>
      <c r="C7" s="173"/>
      <c r="D7" s="173"/>
      <c r="E7" s="174"/>
    </row>
    <row r="8" spans="1:14">
      <c r="A8" s="175" t="s">
        <v>291</v>
      </c>
      <c r="B8" s="4">
        <v>2.46</v>
      </c>
      <c r="C8" s="4" t="s">
        <v>292</v>
      </c>
      <c r="E8" s="176"/>
    </row>
    <row r="9" spans="1:14" ht="17">
      <c r="A9" s="177" t="s">
        <v>293</v>
      </c>
      <c r="B9" s="4">
        <v>6.41</v>
      </c>
      <c r="C9" s="4" t="s">
        <v>292</v>
      </c>
      <c r="E9" s="176"/>
      <c r="I9" s="25" t="s">
        <v>295</v>
      </c>
    </row>
    <row r="10" spans="1:14" ht="18" thickBot="1">
      <c r="A10" s="177" t="s">
        <v>1027</v>
      </c>
      <c r="B10" s="4">
        <v>10.89</v>
      </c>
      <c r="C10" s="4" t="s">
        <v>292</v>
      </c>
      <c r="D10" s="4">
        <v>90</v>
      </c>
      <c r="E10" s="176" t="s">
        <v>294</v>
      </c>
    </row>
    <row r="11" spans="1:14" ht="17" customHeight="1" thickBot="1">
      <c r="A11" s="178" t="s">
        <v>1028</v>
      </c>
      <c r="B11" s="179">
        <v>14.74</v>
      </c>
      <c r="C11" s="179" t="s">
        <v>292</v>
      </c>
      <c r="D11" s="179">
        <v>100</v>
      </c>
      <c r="E11" s="180" t="s">
        <v>294</v>
      </c>
      <c r="I11" s="452" t="s">
        <v>596</v>
      </c>
      <c r="J11" s="453"/>
      <c r="K11" s="453"/>
      <c r="L11" s="453"/>
      <c r="M11" s="453"/>
      <c r="N11" s="454"/>
    </row>
    <row r="12" spans="1:14" ht="17" thickBot="1">
      <c r="A12" s="6"/>
      <c r="I12" s="455"/>
      <c r="J12" s="456"/>
      <c r="K12" s="456"/>
      <c r="L12" s="456"/>
      <c r="M12" s="456"/>
      <c r="N12" s="457"/>
    </row>
    <row r="13" spans="1:14" ht="17">
      <c r="A13" s="348" t="s">
        <v>109</v>
      </c>
      <c r="B13" s="173" t="s">
        <v>97</v>
      </c>
      <c r="C13" s="173" t="s">
        <v>98</v>
      </c>
      <c r="D13" s="173" t="s">
        <v>99</v>
      </c>
      <c r="E13" s="173" t="s">
        <v>100</v>
      </c>
      <c r="F13" s="173" t="s">
        <v>101</v>
      </c>
      <c r="G13" s="174" t="s">
        <v>102</v>
      </c>
      <c r="I13" s="455"/>
      <c r="J13" s="456"/>
      <c r="K13" s="456"/>
      <c r="L13" s="456"/>
      <c r="M13" s="456"/>
      <c r="N13" s="457"/>
    </row>
    <row r="14" spans="1:14">
      <c r="A14" s="175" t="s">
        <v>291</v>
      </c>
      <c r="B14" s="4">
        <v>0</v>
      </c>
      <c r="C14" s="4">
        <f>$B8*C3*1.14</f>
        <v>1.0095839999999998</v>
      </c>
      <c r="D14" s="4">
        <f t="shared" ref="D14" si="1">$B8*D3*1.14</f>
        <v>16.8264</v>
      </c>
      <c r="E14" s="4">
        <f>$B8*E3*1.14</f>
        <v>84.131999999999991</v>
      </c>
      <c r="F14" s="9" t="s">
        <v>58</v>
      </c>
      <c r="G14" s="176" t="s">
        <v>58</v>
      </c>
      <c r="I14" s="455"/>
      <c r="J14" s="456"/>
      <c r="K14" s="456"/>
      <c r="L14" s="456"/>
      <c r="M14" s="456"/>
      <c r="N14" s="457"/>
    </row>
    <row r="15" spans="1:14" ht="17">
      <c r="A15" s="177" t="s">
        <v>293</v>
      </c>
      <c r="B15" s="4">
        <v>0</v>
      </c>
      <c r="C15" s="9" t="s">
        <v>58</v>
      </c>
      <c r="D15" s="9" t="s">
        <v>58</v>
      </c>
      <c r="E15" s="9" t="s">
        <v>58</v>
      </c>
      <c r="F15" s="9">
        <f>B9*F3*1.14</f>
        <v>745.35479999999995</v>
      </c>
      <c r="G15" s="176" t="s">
        <v>58</v>
      </c>
      <c r="I15" s="455"/>
      <c r="J15" s="456"/>
      <c r="K15" s="456"/>
      <c r="L15" s="456"/>
      <c r="M15" s="456"/>
      <c r="N15" s="457"/>
    </row>
    <row r="16" spans="1:14" ht="17">
      <c r="A16" s="177" t="s">
        <v>1027</v>
      </c>
      <c r="B16" s="4">
        <v>0</v>
      </c>
      <c r="C16" s="9" t="s">
        <v>58</v>
      </c>
      <c r="D16" s="9" t="s">
        <v>58</v>
      </c>
      <c r="E16" s="9" t="s">
        <v>58</v>
      </c>
      <c r="F16" s="9" t="s">
        <v>58</v>
      </c>
      <c r="G16" s="176">
        <f>(B10*G3+9.9*D10)*1.14</f>
        <v>4069.7315999999996</v>
      </c>
      <c r="I16" s="455"/>
      <c r="J16" s="456"/>
      <c r="K16" s="456"/>
      <c r="L16" s="456"/>
      <c r="M16" s="456"/>
      <c r="N16" s="457"/>
    </row>
    <row r="17" spans="1:14" ht="18" thickBot="1">
      <c r="A17" s="178" t="s">
        <v>1028</v>
      </c>
      <c r="B17" s="179">
        <v>0</v>
      </c>
      <c r="C17" s="377" t="s">
        <v>58</v>
      </c>
      <c r="D17" s="377" t="s">
        <v>58</v>
      </c>
      <c r="E17" s="377" t="s">
        <v>58</v>
      </c>
      <c r="F17" s="377" t="s">
        <v>58</v>
      </c>
      <c r="G17" s="180">
        <f>(B11*G3+D11*G5)*1.14</f>
        <v>5813.6855999999998</v>
      </c>
      <c r="I17" s="455"/>
      <c r="J17" s="456"/>
      <c r="K17" s="456"/>
      <c r="L17" s="456"/>
      <c r="M17" s="456"/>
      <c r="N17" s="457"/>
    </row>
    <row r="18" spans="1:14">
      <c r="A18" s="6"/>
      <c r="E18" s="9"/>
      <c r="I18" s="455"/>
      <c r="J18" s="456"/>
      <c r="K18" s="456"/>
      <c r="L18" s="456"/>
      <c r="M18" s="456"/>
      <c r="N18" s="457"/>
    </row>
    <row r="19" spans="1:14">
      <c r="A19" s="105" t="s">
        <v>109</v>
      </c>
      <c r="B19" s="106" t="s">
        <v>97</v>
      </c>
      <c r="C19" s="106" t="s">
        <v>98</v>
      </c>
      <c r="D19" s="106" t="s">
        <v>99</v>
      </c>
      <c r="E19" s="106" t="s">
        <v>100</v>
      </c>
      <c r="F19" s="106" t="s">
        <v>101</v>
      </c>
      <c r="G19" s="107" t="s">
        <v>102</v>
      </c>
      <c r="I19" s="455"/>
      <c r="J19" s="456"/>
      <c r="K19" s="456"/>
      <c r="L19" s="456"/>
      <c r="M19" s="456"/>
      <c r="N19" s="457"/>
    </row>
    <row r="20" spans="1:14" ht="17" thickBot="1">
      <c r="A20" s="108" t="s">
        <v>83</v>
      </c>
      <c r="B20" s="109">
        <v>0</v>
      </c>
      <c r="C20" s="109">
        <f>B8*C3*1.14</f>
        <v>1.0095839999999998</v>
      </c>
      <c r="D20" s="109">
        <f>B8*D3*1.14</f>
        <v>16.8264</v>
      </c>
      <c r="E20" s="109">
        <f>E3*B8*1.14</f>
        <v>84.131999999999991</v>
      </c>
      <c r="F20" s="109">
        <v>745.35479999999995</v>
      </c>
      <c r="G20" s="110">
        <f>AVERAGE(G16:G17)</f>
        <v>4941.7085999999999</v>
      </c>
      <c r="I20" s="458"/>
      <c r="J20" s="459"/>
      <c r="K20" s="459"/>
      <c r="L20" s="459"/>
      <c r="M20" s="459"/>
      <c r="N20" s="460"/>
    </row>
    <row r="22" spans="1:14">
      <c r="I22" s="451" t="s">
        <v>610</v>
      </c>
      <c r="J22" s="451"/>
      <c r="K22" s="451"/>
      <c r="L22" s="451"/>
      <c r="M22" s="451"/>
    </row>
    <row r="23" spans="1:14">
      <c r="I23" s="451"/>
      <c r="J23" s="451"/>
      <c r="K23" s="451"/>
      <c r="L23" s="451"/>
      <c r="M23" s="451"/>
    </row>
    <row r="24" spans="1:14">
      <c r="I24" s="451"/>
      <c r="J24" s="451"/>
      <c r="K24" s="451"/>
      <c r="L24" s="451"/>
      <c r="M24" s="451"/>
    </row>
    <row r="25" spans="1:14">
      <c r="I25" s="451"/>
      <c r="J25" s="451"/>
      <c r="K25" s="451"/>
      <c r="L25" s="451"/>
      <c r="M25" s="451"/>
    </row>
    <row r="26" spans="1:14">
      <c r="I26" s="451"/>
      <c r="J26" s="451"/>
      <c r="K26" s="451"/>
      <c r="L26" s="451"/>
      <c r="M26" s="451"/>
    </row>
  </sheetData>
  <mergeCells count="2">
    <mergeCell ref="I22:M26"/>
    <mergeCell ref="I11:N20"/>
  </mergeCells>
  <pageMargins left="0.7" right="0.7" top="0.75" bottom="0.75" header="0.3" footer="0.3"/>
  <pageSetup paperSize="9" orientation="portrait" horizontalDpi="0" verticalDpi="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43E07-7D72-2A41-B7EB-3D8FB54FDFAD}">
  <dimension ref="A1:R38"/>
  <sheetViews>
    <sheetView topLeftCell="A6" zoomScale="139" workbookViewId="0">
      <selection activeCell="E32" sqref="E32"/>
    </sheetView>
  </sheetViews>
  <sheetFormatPr baseColWidth="10" defaultRowHeight="16"/>
  <cols>
    <col min="1" max="1" width="22.83203125" customWidth="1"/>
    <col min="9" max="9" width="16.1640625" customWidth="1"/>
  </cols>
  <sheetData>
    <row r="1" spans="1:12">
      <c r="A1" s="227"/>
      <c r="B1" s="347" t="s">
        <v>97</v>
      </c>
      <c r="C1" s="347" t="s">
        <v>98</v>
      </c>
      <c r="D1" s="347" t="s">
        <v>99</v>
      </c>
      <c r="E1" s="347" t="s">
        <v>100</v>
      </c>
      <c r="F1" s="347" t="s">
        <v>101</v>
      </c>
      <c r="G1" s="347" t="s">
        <v>102</v>
      </c>
      <c r="H1" s="229" t="s">
        <v>199</v>
      </c>
    </row>
    <row r="2" spans="1:12">
      <c r="A2" s="230" t="s">
        <v>103</v>
      </c>
      <c r="B2" s="60">
        <v>0</v>
      </c>
      <c r="C2" s="60">
        <v>1.2E-2</v>
      </c>
      <c r="D2" s="60">
        <v>0.2</v>
      </c>
      <c r="E2" s="60">
        <v>1</v>
      </c>
      <c r="F2" s="60">
        <v>3.4</v>
      </c>
      <c r="G2" s="60">
        <v>8.1999999999999993</v>
      </c>
      <c r="H2" s="231" t="s">
        <v>200</v>
      </c>
    </row>
    <row r="3" spans="1:12" ht="34">
      <c r="A3" s="232" t="s">
        <v>110</v>
      </c>
      <c r="B3" s="60">
        <v>0</v>
      </c>
      <c r="C3" s="60">
        <f>C2*30</f>
        <v>0.36</v>
      </c>
      <c r="D3" s="60">
        <f t="shared" ref="D3:G3" si="0">D2*30</f>
        <v>6</v>
      </c>
      <c r="E3" s="60">
        <f t="shared" si="0"/>
        <v>30</v>
      </c>
      <c r="F3" s="60">
        <f t="shared" si="0"/>
        <v>102</v>
      </c>
      <c r="G3" s="60">
        <f t="shared" si="0"/>
        <v>245.99999999999997</v>
      </c>
      <c r="H3" s="231" t="s">
        <v>200</v>
      </c>
    </row>
    <row r="4" spans="1:12" ht="17">
      <c r="A4" s="232" t="s">
        <v>1079</v>
      </c>
      <c r="B4" s="60">
        <v>0</v>
      </c>
      <c r="C4" s="60">
        <v>0.05</v>
      </c>
      <c r="D4" s="60">
        <v>0.2</v>
      </c>
      <c r="E4" s="60">
        <v>0.8</v>
      </c>
      <c r="F4" s="60">
        <v>2</v>
      </c>
      <c r="G4" s="60">
        <v>14</v>
      </c>
      <c r="H4" s="231" t="s">
        <v>201</v>
      </c>
    </row>
    <row r="5" spans="1:12" ht="17" thickBot="1">
      <c r="A5" s="276" t="s">
        <v>581</v>
      </c>
      <c r="B5" s="277">
        <v>0</v>
      </c>
      <c r="C5" s="277">
        <f>0.05/0.95</f>
        <v>5.2631578947368425E-2</v>
      </c>
      <c r="D5" s="277">
        <f>0.2/0.95</f>
        <v>0.2105263157894737</v>
      </c>
      <c r="E5" s="277">
        <f>0.8/0.95</f>
        <v>0.8421052631578948</v>
      </c>
      <c r="F5" s="277">
        <f>2/0.95</f>
        <v>2.1052631578947367</v>
      </c>
      <c r="G5" s="277">
        <f>14/0.95</f>
        <v>14.736842105263159</v>
      </c>
      <c r="H5" s="234" t="s">
        <v>300</v>
      </c>
    </row>
    <row r="6" spans="1:12">
      <c r="A6" s="1"/>
      <c r="B6" s="1"/>
      <c r="C6" s="1"/>
      <c r="D6" s="1"/>
      <c r="E6" s="1"/>
      <c r="F6" s="1"/>
      <c r="G6" s="1"/>
      <c r="H6" s="4"/>
    </row>
    <row r="8" spans="1:12">
      <c r="A8" s="505" t="s">
        <v>189</v>
      </c>
      <c r="B8" s="506"/>
      <c r="C8" s="506"/>
      <c r="D8" s="506"/>
      <c r="E8" s="506"/>
      <c r="F8" s="506"/>
      <c r="G8" s="506"/>
      <c r="H8" s="506"/>
      <c r="I8" s="506"/>
      <c r="J8" s="507"/>
    </row>
    <row r="9" spans="1:12">
      <c r="A9" s="554" t="s">
        <v>229</v>
      </c>
      <c r="B9" s="495"/>
      <c r="C9" s="495"/>
      <c r="D9" s="495"/>
      <c r="E9" s="495"/>
      <c r="F9" s="495"/>
      <c r="G9" s="495"/>
      <c r="H9" s="495"/>
      <c r="I9" s="495"/>
      <c r="J9" s="555"/>
    </row>
    <row r="10" spans="1:12">
      <c r="A10" s="19" t="s">
        <v>223</v>
      </c>
      <c r="B10">
        <v>1.87</v>
      </c>
      <c r="C10" t="s">
        <v>224</v>
      </c>
      <c r="D10">
        <v>2.16</v>
      </c>
      <c r="E10" t="s">
        <v>225</v>
      </c>
      <c r="F10">
        <v>3.8</v>
      </c>
      <c r="G10" t="s">
        <v>226</v>
      </c>
      <c r="H10">
        <v>4.2</v>
      </c>
      <c r="I10" t="s">
        <v>227</v>
      </c>
      <c r="J10" s="20">
        <v>4.8499999999999996</v>
      </c>
      <c r="L10" s="47" t="s">
        <v>232</v>
      </c>
    </row>
    <row r="11" spans="1:12">
      <c r="A11" s="554" t="s">
        <v>228</v>
      </c>
      <c r="B11" s="495"/>
      <c r="C11" s="495"/>
      <c r="D11" s="495"/>
      <c r="E11" s="495"/>
      <c r="F11" s="495"/>
      <c r="G11" s="495"/>
      <c r="H11" s="495"/>
      <c r="I11" s="495"/>
      <c r="J11" s="555"/>
    </row>
    <row r="12" spans="1:12">
      <c r="A12" s="552">
        <v>0</v>
      </c>
      <c r="B12" s="548"/>
      <c r="C12" s="548"/>
      <c r="D12" s="548"/>
      <c r="E12" s="548"/>
      <c r="F12" s="548"/>
      <c r="G12" s="548"/>
      <c r="H12" s="548"/>
      <c r="I12" s="548"/>
      <c r="J12" s="553"/>
    </row>
    <row r="14" spans="1:12">
      <c r="A14" s="505" t="s">
        <v>230</v>
      </c>
      <c r="B14" s="506"/>
      <c r="C14" s="506"/>
      <c r="D14" s="506"/>
      <c r="E14" s="506"/>
      <c r="F14" s="506"/>
      <c r="G14" s="506"/>
      <c r="H14" s="506"/>
      <c r="I14" s="506"/>
      <c r="J14" s="507"/>
    </row>
    <row r="15" spans="1:12">
      <c r="A15" s="554" t="s">
        <v>229</v>
      </c>
      <c r="B15" s="495"/>
      <c r="C15" s="495"/>
      <c r="D15" s="495"/>
      <c r="E15" s="495"/>
      <c r="F15" s="495"/>
      <c r="G15" s="495"/>
      <c r="H15" s="495"/>
      <c r="I15" s="495"/>
      <c r="J15" s="555"/>
    </row>
    <row r="16" spans="1:12">
      <c r="A16" s="19" t="s">
        <v>223</v>
      </c>
      <c r="B16">
        <v>1.87</v>
      </c>
      <c r="C16" t="s">
        <v>224</v>
      </c>
      <c r="D16">
        <v>2.16</v>
      </c>
      <c r="E16" t="s">
        <v>225</v>
      </c>
      <c r="F16">
        <v>3.8</v>
      </c>
      <c r="G16" t="s">
        <v>226</v>
      </c>
      <c r="H16">
        <v>4.2</v>
      </c>
      <c r="I16" t="s">
        <v>227</v>
      </c>
      <c r="J16" s="20">
        <v>4.8499999999999996</v>
      </c>
      <c r="L16" s="47" t="s">
        <v>233</v>
      </c>
    </row>
    <row r="17" spans="1:18">
      <c r="A17" s="554" t="s">
        <v>228</v>
      </c>
      <c r="B17" s="495"/>
      <c r="C17" s="495"/>
      <c r="D17" s="495"/>
      <c r="E17" s="495"/>
      <c r="F17" s="495"/>
      <c r="G17" s="495"/>
      <c r="H17" s="495"/>
      <c r="I17" s="495"/>
      <c r="J17" s="555"/>
    </row>
    <row r="18" spans="1:18">
      <c r="A18" s="552">
        <v>4.9000000000000004</v>
      </c>
      <c r="B18" s="548"/>
      <c r="C18" s="548"/>
      <c r="D18" s="548"/>
      <c r="E18" s="548"/>
      <c r="F18" s="548"/>
      <c r="G18" s="548"/>
      <c r="H18" s="548"/>
      <c r="I18" s="548"/>
      <c r="J18" s="553"/>
    </row>
    <row r="20" spans="1:18">
      <c r="A20" s="559" t="s">
        <v>231</v>
      </c>
      <c r="B20" s="560"/>
      <c r="C20" s="560"/>
      <c r="D20" s="560"/>
      <c r="E20" s="560"/>
      <c r="F20" s="560"/>
      <c r="G20" s="560"/>
      <c r="H20" s="560"/>
      <c r="I20" s="560"/>
      <c r="J20" s="561"/>
    </row>
    <row r="21" spans="1:18">
      <c r="A21" s="562" t="s">
        <v>229</v>
      </c>
      <c r="B21" s="563"/>
      <c r="C21" s="563"/>
      <c r="D21" s="563"/>
      <c r="E21" s="563"/>
      <c r="F21" s="563"/>
      <c r="G21" s="563"/>
      <c r="H21" s="563"/>
      <c r="I21" s="563"/>
      <c r="J21" s="564"/>
      <c r="L21" t="s">
        <v>234</v>
      </c>
    </row>
    <row r="22" spans="1:18">
      <c r="A22" s="44" t="s">
        <v>223</v>
      </c>
      <c r="B22" s="32">
        <v>1.87</v>
      </c>
      <c r="C22" s="32" t="s">
        <v>224</v>
      </c>
      <c r="D22" s="32">
        <v>2.16</v>
      </c>
      <c r="E22" s="32" t="s">
        <v>225</v>
      </c>
      <c r="F22" s="32">
        <v>3.8</v>
      </c>
      <c r="G22" s="32" t="s">
        <v>226</v>
      </c>
      <c r="H22" s="32">
        <v>4.2</v>
      </c>
      <c r="I22" s="32" t="s">
        <v>227</v>
      </c>
      <c r="J22" s="45">
        <v>4.8499999999999996</v>
      </c>
    </row>
    <row r="23" spans="1:18">
      <c r="A23" s="562" t="s">
        <v>228</v>
      </c>
      <c r="B23" s="563"/>
      <c r="C23" s="563"/>
      <c r="D23" s="563"/>
      <c r="E23" s="563"/>
      <c r="F23" s="563"/>
      <c r="G23" s="563"/>
      <c r="H23" s="563"/>
      <c r="I23" s="563"/>
      <c r="J23" s="564"/>
      <c r="L23" s="25" t="s">
        <v>424</v>
      </c>
    </row>
    <row r="24" spans="1:18">
      <c r="A24" s="565">
        <v>9.85</v>
      </c>
      <c r="B24" s="566"/>
      <c r="C24" s="566"/>
      <c r="D24" s="566"/>
      <c r="E24" s="566"/>
      <c r="F24" s="566"/>
      <c r="G24" s="566"/>
      <c r="H24" s="566"/>
      <c r="I24" s="566"/>
      <c r="J24" s="567"/>
    </row>
    <row r="25" spans="1:18" ht="16" customHeight="1" thickBot="1">
      <c r="Q25" s="11"/>
      <c r="R25" s="11"/>
    </row>
    <row r="26" spans="1:18">
      <c r="A26" s="403" t="s">
        <v>109</v>
      </c>
      <c r="B26" s="404" t="s">
        <v>97</v>
      </c>
      <c r="C26" s="404" t="s">
        <v>98</v>
      </c>
      <c r="D26" s="404" t="s">
        <v>99</v>
      </c>
      <c r="E26" s="404" t="s">
        <v>100</v>
      </c>
      <c r="F26" s="404" t="s">
        <v>101</v>
      </c>
      <c r="G26" s="405" t="s">
        <v>102</v>
      </c>
      <c r="Q26" s="11"/>
      <c r="R26" s="11"/>
    </row>
    <row r="27" spans="1:18">
      <c r="A27" s="224" t="s">
        <v>189</v>
      </c>
      <c r="B27" s="1">
        <v>0</v>
      </c>
      <c r="C27" s="1">
        <f>C3*B10</f>
        <v>0.67320000000000002</v>
      </c>
      <c r="D27" s="1">
        <f>B10*D3</f>
        <v>11.22</v>
      </c>
      <c r="E27" s="1">
        <f>E3*B10</f>
        <v>56.1</v>
      </c>
      <c r="F27" s="1">
        <f>F3*B10</f>
        <v>190.74</v>
      </c>
      <c r="G27" s="252" t="s">
        <v>58</v>
      </c>
      <c r="Q27" s="11"/>
      <c r="R27" s="11"/>
    </row>
    <row r="28" spans="1:18">
      <c r="A28" s="224" t="s">
        <v>230</v>
      </c>
      <c r="B28" s="1">
        <v>0</v>
      </c>
      <c r="C28" s="1" t="s">
        <v>58</v>
      </c>
      <c r="D28" s="1" t="s">
        <v>58</v>
      </c>
      <c r="E28" s="1" t="s">
        <v>58</v>
      </c>
      <c r="F28" s="1" t="s">
        <v>58</v>
      </c>
      <c r="G28" s="252">
        <f>200*B16+(G3-200)*D16+A18*G5</f>
        <v>545.57052631578949</v>
      </c>
      <c r="Q28" s="11"/>
      <c r="R28" s="11"/>
    </row>
    <row r="29" spans="1:18" ht="17" thickBot="1">
      <c r="A29" s="181" t="s">
        <v>231</v>
      </c>
      <c r="B29" s="182">
        <v>0</v>
      </c>
      <c r="C29" s="182" t="s">
        <v>58</v>
      </c>
      <c r="D29" s="182" t="s">
        <v>58</v>
      </c>
      <c r="E29" s="182" t="s">
        <v>58</v>
      </c>
      <c r="F29" s="182" t="s">
        <v>58</v>
      </c>
      <c r="G29" s="270">
        <f>200*B22+(G3-200)*D22+A24*G5</f>
        <v>618.51789473684209</v>
      </c>
      <c r="Q29" s="11"/>
      <c r="R29" s="11"/>
    </row>
    <row r="30" spans="1:18">
      <c r="M30" s="11"/>
      <c r="N30" s="11"/>
      <c r="O30" s="11"/>
      <c r="P30" s="11"/>
      <c r="Q30" s="11"/>
      <c r="R30" s="11"/>
    </row>
    <row r="31" spans="1:18">
      <c r="A31" s="129" t="s">
        <v>537</v>
      </c>
      <c r="B31" s="130" t="s">
        <v>97</v>
      </c>
      <c r="C31" s="130" t="s">
        <v>98</v>
      </c>
      <c r="D31" s="130" t="s">
        <v>99</v>
      </c>
      <c r="E31" s="130" t="s">
        <v>100</v>
      </c>
      <c r="F31" s="130" t="s">
        <v>101</v>
      </c>
      <c r="G31" s="131" t="s">
        <v>102</v>
      </c>
      <c r="I31" s="451" t="s">
        <v>543</v>
      </c>
      <c r="J31" s="547"/>
      <c r="K31" s="547"/>
      <c r="L31" s="547"/>
      <c r="M31" s="547"/>
      <c r="N31" s="547"/>
      <c r="O31" s="11"/>
      <c r="P31" s="11"/>
      <c r="Q31" s="11"/>
      <c r="R31" s="11"/>
    </row>
    <row r="32" spans="1:18">
      <c r="A32" s="108" t="s">
        <v>78</v>
      </c>
      <c r="B32" s="109">
        <v>0</v>
      </c>
      <c r="C32" s="109">
        <v>0.67320000000000002</v>
      </c>
      <c r="D32" s="109">
        <v>11.22</v>
      </c>
      <c r="E32" s="109">
        <v>56.1</v>
      </c>
      <c r="F32" s="109">
        <v>190.74</v>
      </c>
      <c r="G32" s="110">
        <f>AVERAGE(G28:G29)</f>
        <v>582.04421052631574</v>
      </c>
      <c r="I32" s="547"/>
      <c r="J32" s="547"/>
      <c r="K32" s="547"/>
      <c r="L32" s="547"/>
      <c r="M32" s="547"/>
      <c r="N32" s="547"/>
      <c r="O32" s="11"/>
      <c r="P32" s="11"/>
      <c r="Q32" s="11"/>
      <c r="R32" s="11"/>
    </row>
    <row r="33" spans="9:18">
      <c r="I33" s="547"/>
      <c r="J33" s="547"/>
      <c r="K33" s="547"/>
      <c r="L33" s="547"/>
      <c r="M33" s="547"/>
      <c r="N33" s="547"/>
      <c r="O33" s="11"/>
      <c r="P33" s="11"/>
      <c r="Q33" s="11"/>
      <c r="R33" s="11"/>
    </row>
    <row r="34" spans="9:18">
      <c r="I34" s="547"/>
      <c r="J34" s="547"/>
      <c r="K34" s="547"/>
      <c r="L34" s="547"/>
      <c r="M34" s="547"/>
      <c r="N34" s="547"/>
    </row>
    <row r="35" spans="9:18">
      <c r="I35" s="547"/>
      <c r="J35" s="547"/>
      <c r="K35" s="547"/>
      <c r="L35" s="547"/>
      <c r="M35" s="547"/>
      <c r="N35" s="547"/>
    </row>
    <row r="36" spans="9:18">
      <c r="I36" s="547"/>
      <c r="J36" s="547"/>
      <c r="K36" s="547"/>
      <c r="L36" s="547"/>
      <c r="M36" s="547"/>
      <c r="N36" s="547"/>
    </row>
    <row r="37" spans="9:18">
      <c r="I37" s="547"/>
      <c r="J37" s="547"/>
      <c r="K37" s="547"/>
      <c r="L37" s="547"/>
      <c r="M37" s="547"/>
      <c r="N37" s="547"/>
    </row>
    <row r="38" spans="9:18">
      <c r="I38" s="547"/>
      <c r="J38" s="547"/>
      <c r="K38" s="547"/>
      <c r="L38" s="547"/>
      <c r="M38" s="547"/>
      <c r="N38" s="547"/>
    </row>
  </sheetData>
  <mergeCells count="13">
    <mergeCell ref="A15:J15"/>
    <mergeCell ref="A8:J8"/>
    <mergeCell ref="A11:J11"/>
    <mergeCell ref="A9:J9"/>
    <mergeCell ref="A12:J12"/>
    <mergeCell ref="A14:J14"/>
    <mergeCell ref="I31:N38"/>
    <mergeCell ref="A17:J17"/>
    <mergeCell ref="A18:J18"/>
    <mergeCell ref="A20:J20"/>
    <mergeCell ref="A21:J21"/>
    <mergeCell ref="A23:J23"/>
    <mergeCell ref="A24:J24"/>
  </mergeCells>
  <pageMargins left="0.7" right="0.7" top="0.75" bottom="0.75" header="0.3" footer="0.3"/>
  <pageSetup paperSize="9" orientation="portrait" horizontalDpi="0" verticalDpi="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4AF44-232B-F14C-9940-7FFA8FF879D8}">
  <dimension ref="A1:N16"/>
  <sheetViews>
    <sheetView zoomScale="170" workbookViewId="0">
      <selection activeCell="G13" sqref="G13"/>
    </sheetView>
  </sheetViews>
  <sheetFormatPr baseColWidth="10" defaultRowHeight="16"/>
  <cols>
    <col min="1" max="1" width="16.5" customWidth="1"/>
    <col min="5" max="5" width="15.33203125" customWidth="1"/>
  </cols>
  <sheetData>
    <row r="1" spans="1:14">
      <c r="A1" s="172"/>
      <c r="B1" s="253" t="s">
        <v>97</v>
      </c>
      <c r="C1" s="253" t="s">
        <v>98</v>
      </c>
      <c r="D1" s="253" t="s">
        <v>99</v>
      </c>
      <c r="E1" s="253" t="s">
        <v>100</v>
      </c>
      <c r="F1" s="253" t="s">
        <v>101</v>
      </c>
      <c r="G1" s="253" t="s">
        <v>102</v>
      </c>
      <c r="H1" s="174" t="s">
        <v>199</v>
      </c>
    </row>
    <row r="2" spans="1:14">
      <c r="A2" s="175" t="s">
        <v>103</v>
      </c>
      <c r="B2" s="4">
        <v>0</v>
      </c>
      <c r="C2" s="4">
        <v>1.2E-2</v>
      </c>
      <c r="D2" s="4">
        <v>0.2</v>
      </c>
      <c r="E2" s="4">
        <v>1</v>
      </c>
      <c r="F2" s="4">
        <v>3.4</v>
      </c>
      <c r="G2" s="4">
        <v>8.1999999999999993</v>
      </c>
      <c r="H2" s="176" t="s">
        <v>200</v>
      </c>
    </row>
    <row r="3" spans="1:14" ht="35" thickBot="1">
      <c r="A3" s="178" t="s">
        <v>110</v>
      </c>
      <c r="B3" s="179">
        <v>0</v>
      </c>
      <c r="C3" s="179">
        <f>C2*30</f>
        <v>0.36</v>
      </c>
      <c r="D3" s="179">
        <f t="shared" ref="D3:G3" si="0">D2*30</f>
        <v>6</v>
      </c>
      <c r="E3" s="179">
        <f t="shared" si="0"/>
        <v>30</v>
      </c>
      <c r="F3" s="179">
        <f t="shared" si="0"/>
        <v>102</v>
      </c>
      <c r="G3" s="179">
        <f t="shared" si="0"/>
        <v>245.99999999999997</v>
      </c>
      <c r="H3" s="180" t="s">
        <v>200</v>
      </c>
    </row>
    <row r="4" spans="1:14" ht="17" thickBot="1">
      <c r="A4" s="6"/>
      <c r="B4" s="4"/>
      <c r="C4" s="4"/>
      <c r="D4" s="4"/>
      <c r="E4" s="4"/>
      <c r="F4" s="4"/>
      <c r="G4" s="4"/>
      <c r="H4" s="4"/>
    </row>
    <row r="5" spans="1:14">
      <c r="A5" s="464" t="s">
        <v>236</v>
      </c>
      <c r="B5" s="448"/>
      <c r="C5" s="448"/>
      <c r="D5" s="448"/>
      <c r="E5" s="448"/>
      <c r="F5" s="448"/>
      <c r="G5" s="448"/>
      <c r="H5" s="448"/>
      <c r="I5" s="448"/>
      <c r="J5" s="449"/>
      <c r="L5" s="48" t="s">
        <v>241</v>
      </c>
    </row>
    <row r="6" spans="1:14" ht="17" thickBot="1">
      <c r="A6" s="251" t="s">
        <v>237</v>
      </c>
      <c r="B6" s="163"/>
      <c r="C6" s="163">
        <v>2093</v>
      </c>
      <c r="D6" s="163" t="s">
        <v>238</v>
      </c>
      <c r="E6" s="163"/>
      <c r="F6" s="163">
        <v>4853</v>
      </c>
      <c r="G6" s="163" t="s">
        <v>239</v>
      </c>
      <c r="H6" s="163"/>
      <c r="I6" s="163"/>
      <c r="J6" s="164">
        <v>5271</v>
      </c>
    </row>
    <row r="8" spans="1:14">
      <c r="C8" s="27" t="s">
        <v>240</v>
      </c>
      <c r="D8" s="26"/>
    </row>
    <row r="10" spans="1:14" ht="16" customHeight="1">
      <c r="A10" s="95" t="s">
        <v>109</v>
      </c>
      <c r="B10" s="96" t="s">
        <v>97</v>
      </c>
      <c r="C10" s="96" t="s">
        <v>98</v>
      </c>
      <c r="D10" s="96" t="s">
        <v>99</v>
      </c>
      <c r="E10" s="96" t="s">
        <v>100</v>
      </c>
      <c r="F10" s="96" t="s">
        <v>101</v>
      </c>
      <c r="G10" s="97" t="s">
        <v>102</v>
      </c>
      <c r="I10" s="451" t="s">
        <v>545</v>
      </c>
      <c r="J10" s="451"/>
      <c r="K10" s="451"/>
      <c r="L10" s="451"/>
      <c r="M10" s="451"/>
      <c r="N10" s="451"/>
    </row>
    <row r="11" spans="1:14">
      <c r="A11" s="38" t="s">
        <v>235</v>
      </c>
      <c r="B11" s="1">
        <v>0</v>
      </c>
      <c r="C11" s="1">
        <f>C3*C6</f>
        <v>753.48</v>
      </c>
      <c r="D11" s="1">
        <f>D3*C6</f>
        <v>12558</v>
      </c>
      <c r="E11" s="1" t="s">
        <v>58</v>
      </c>
      <c r="F11" s="1" t="s">
        <v>58</v>
      </c>
      <c r="G11" s="100" t="s">
        <v>58</v>
      </c>
      <c r="I11" s="451"/>
      <c r="J11" s="451"/>
      <c r="K11" s="451"/>
      <c r="L11" s="451"/>
      <c r="M11" s="451"/>
      <c r="N11" s="451"/>
    </row>
    <row r="12" spans="1:14">
      <c r="A12" s="38" t="s">
        <v>242</v>
      </c>
      <c r="B12" s="1" t="s">
        <v>58</v>
      </c>
      <c r="C12" s="1" t="s">
        <v>58</v>
      </c>
      <c r="D12" s="1" t="s">
        <v>58</v>
      </c>
      <c r="E12" s="1">
        <f>25*C6+(E3-25)*F6</f>
        <v>76590</v>
      </c>
      <c r="F12" s="1">
        <f>25*C6+(F3-25)*F6</f>
        <v>426006</v>
      </c>
      <c r="G12" s="100" t="s">
        <v>58</v>
      </c>
      <c r="I12" s="451"/>
      <c r="J12" s="451"/>
      <c r="K12" s="451"/>
      <c r="L12" s="451"/>
      <c r="M12" s="451"/>
      <c r="N12" s="451"/>
    </row>
    <row r="13" spans="1:14">
      <c r="A13" s="103" t="s">
        <v>243</v>
      </c>
      <c r="B13" s="101" t="s">
        <v>58</v>
      </c>
      <c r="C13" s="101" t="s">
        <v>58</v>
      </c>
      <c r="D13" s="101" t="s">
        <v>58</v>
      </c>
      <c r="E13" s="101" t="s">
        <v>58</v>
      </c>
      <c r="F13" s="101" t="s">
        <v>58</v>
      </c>
      <c r="G13" s="102">
        <f>25*C6+(200-25)*F6+(G3-200)*J6</f>
        <v>1144065.9999999998</v>
      </c>
      <c r="I13" s="451"/>
      <c r="J13" s="451"/>
      <c r="K13" s="451"/>
      <c r="L13" s="451"/>
      <c r="M13" s="451"/>
      <c r="N13" s="451"/>
    </row>
    <row r="14" spans="1:14">
      <c r="I14" s="451"/>
      <c r="J14" s="451"/>
      <c r="K14" s="451"/>
      <c r="L14" s="451"/>
      <c r="M14" s="451"/>
      <c r="N14" s="451"/>
    </row>
    <row r="15" spans="1:14">
      <c r="A15" s="129" t="s">
        <v>544</v>
      </c>
      <c r="B15" s="130" t="s">
        <v>97</v>
      </c>
      <c r="C15" s="130" t="s">
        <v>98</v>
      </c>
      <c r="D15" s="130" t="s">
        <v>99</v>
      </c>
      <c r="E15" s="130" t="s">
        <v>100</v>
      </c>
      <c r="F15" s="130" t="s">
        <v>101</v>
      </c>
      <c r="G15" s="131" t="s">
        <v>102</v>
      </c>
      <c r="I15" s="451"/>
      <c r="J15" s="451"/>
      <c r="K15" s="451"/>
      <c r="L15" s="451"/>
      <c r="M15" s="451"/>
      <c r="N15" s="451"/>
    </row>
    <row r="16" spans="1:14">
      <c r="A16" s="108" t="s">
        <v>78</v>
      </c>
      <c r="B16" s="109">
        <v>0</v>
      </c>
      <c r="C16" s="109">
        <v>753.48</v>
      </c>
      <c r="D16" s="109">
        <v>12558</v>
      </c>
      <c r="E16" s="109">
        <v>76590</v>
      </c>
      <c r="F16" s="109">
        <v>426006</v>
      </c>
      <c r="G16" s="110">
        <v>1144065.9999999998</v>
      </c>
      <c r="I16" s="451"/>
      <c r="J16" s="451"/>
      <c r="K16" s="451"/>
      <c r="L16" s="451"/>
      <c r="M16" s="451"/>
      <c r="N16" s="451"/>
    </row>
  </sheetData>
  <mergeCells count="2">
    <mergeCell ref="A5:J5"/>
    <mergeCell ref="I10:N16"/>
  </mergeCells>
  <pageMargins left="0.7" right="0.7" top="0.75" bottom="0.75" header="0.3" footer="0.3"/>
  <pageSetup paperSize="9" orientation="portrait" horizontalDpi="0" verticalDpi="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E9B4F-89E4-8F4B-89E8-F360C5CCBB7D}">
  <dimension ref="A1:M14"/>
  <sheetViews>
    <sheetView zoomScale="163" workbookViewId="0">
      <selection activeCell="F12" sqref="F12"/>
    </sheetView>
  </sheetViews>
  <sheetFormatPr baseColWidth="10" defaultRowHeight="16"/>
  <cols>
    <col min="1" max="1" width="20.83203125" customWidth="1"/>
  </cols>
  <sheetData>
    <row r="1" spans="1:13">
      <c r="A1" s="172"/>
      <c r="B1" s="173" t="s">
        <v>97</v>
      </c>
      <c r="C1" s="173" t="s">
        <v>98</v>
      </c>
      <c r="D1" s="173" t="s">
        <v>99</v>
      </c>
      <c r="E1" s="173" t="s">
        <v>100</v>
      </c>
      <c r="F1" s="173" t="s">
        <v>101</v>
      </c>
      <c r="G1" s="173" t="s">
        <v>102</v>
      </c>
      <c r="H1" s="174" t="s">
        <v>199</v>
      </c>
    </row>
    <row r="2" spans="1:13">
      <c r="A2" s="175" t="s">
        <v>103</v>
      </c>
      <c r="B2" s="4">
        <v>0</v>
      </c>
      <c r="C2" s="4">
        <v>1.2E-2</v>
      </c>
      <c r="D2" s="4">
        <v>0.2</v>
      </c>
      <c r="E2" s="4">
        <v>1</v>
      </c>
      <c r="F2" s="4">
        <v>3.4</v>
      </c>
      <c r="G2" s="4">
        <v>8.1999999999999993</v>
      </c>
      <c r="H2" s="176" t="s">
        <v>200</v>
      </c>
    </row>
    <row r="3" spans="1:13" ht="35" thickBot="1">
      <c r="A3" s="178" t="s">
        <v>110</v>
      </c>
      <c r="B3" s="179">
        <v>0</v>
      </c>
      <c r="C3" s="179">
        <f>C2*30</f>
        <v>0.36</v>
      </c>
      <c r="D3" s="179">
        <f t="shared" ref="D3:G3" si="0">D2*30</f>
        <v>6</v>
      </c>
      <c r="E3" s="179">
        <f t="shared" si="0"/>
        <v>30</v>
      </c>
      <c r="F3" s="179">
        <f t="shared" si="0"/>
        <v>102</v>
      </c>
      <c r="G3" s="179">
        <f t="shared" si="0"/>
        <v>245.99999999999997</v>
      </c>
      <c r="H3" s="180" t="s">
        <v>200</v>
      </c>
    </row>
    <row r="4" spans="1:13" ht="17" thickBot="1"/>
    <row r="5" spans="1:13" ht="17" thickBot="1">
      <c r="A5" s="263" t="s">
        <v>286</v>
      </c>
      <c r="B5" s="264">
        <v>79.42</v>
      </c>
      <c r="C5" s="264" t="s">
        <v>282</v>
      </c>
      <c r="D5" s="264"/>
      <c r="E5" s="264">
        <f>B5/1000</f>
        <v>7.9420000000000004E-2</v>
      </c>
      <c r="F5" s="265" t="s">
        <v>283</v>
      </c>
      <c r="G5" s="4"/>
      <c r="H5" s="27" t="s">
        <v>284</v>
      </c>
      <c r="I5" s="28"/>
      <c r="J5" s="26"/>
    </row>
    <row r="6" spans="1:13">
      <c r="A6" s="59"/>
      <c r="B6" s="4"/>
      <c r="C6" s="4"/>
      <c r="D6" s="4"/>
      <c r="E6" s="4"/>
      <c r="F6" s="4"/>
      <c r="G6" s="4"/>
    </row>
    <row r="7" spans="1:13">
      <c r="A7" s="4"/>
      <c r="B7" s="4"/>
      <c r="C7" s="4"/>
      <c r="D7" s="4"/>
      <c r="E7" s="4"/>
      <c r="F7" s="4"/>
      <c r="G7" s="4"/>
    </row>
    <row r="8" spans="1:13">
      <c r="A8" s="132" t="s">
        <v>109</v>
      </c>
      <c r="B8" s="130" t="s">
        <v>97</v>
      </c>
      <c r="C8" s="130" t="s">
        <v>98</v>
      </c>
      <c r="D8" s="130" t="s">
        <v>99</v>
      </c>
      <c r="E8" s="130" t="s">
        <v>100</v>
      </c>
      <c r="F8" s="130" t="s">
        <v>101</v>
      </c>
      <c r="G8" s="131" t="s">
        <v>102</v>
      </c>
      <c r="I8" s="451" t="s">
        <v>538</v>
      </c>
      <c r="J8" s="451"/>
      <c r="K8" s="451"/>
      <c r="L8" s="451"/>
      <c r="M8" s="451"/>
    </row>
    <row r="9" spans="1:13">
      <c r="A9" s="108" t="s">
        <v>59</v>
      </c>
      <c r="B9" s="109">
        <f>E5*B3</f>
        <v>0</v>
      </c>
      <c r="C9" s="109">
        <f>E5*C3</f>
        <v>2.8591200000000001E-2</v>
      </c>
      <c r="D9" s="109">
        <f>E5*D3</f>
        <v>0.47652000000000005</v>
      </c>
      <c r="E9" s="109">
        <f>E5*E3</f>
        <v>2.3826000000000001</v>
      </c>
      <c r="F9" s="109">
        <f>E5*F3</f>
        <v>8.1008399999999998</v>
      </c>
      <c r="G9" s="110">
        <f>E5*G3</f>
        <v>19.537319999999998</v>
      </c>
      <c r="I9" s="451"/>
      <c r="J9" s="451"/>
      <c r="K9" s="451"/>
      <c r="L9" s="451"/>
      <c r="M9" s="451"/>
    </row>
    <row r="10" spans="1:13">
      <c r="A10" s="4"/>
      <c r="B10" s="4"/>
      <c r="C10" s="4"/>
      <c r="D10" s="4"/>
      <c r="E10" s="4"/>
      <c r="F10" s="4"/>
      <c r="G10" s="4"/>
      <c r="I10" s="451"/>
      <c r="J10" s="451"/>
      <c r="K10" s="451"/>
      <c r="L10" s="451"/>
      <c r="M10" s="451"/>
    </row>
    <row r="11" spans="1:13">
      <c r="I11" s="451"/>
      <c r="J11" s="451"/>
      <c r="K11" s="451"/>
      <c r="L11" s="451"/>
      <c r="M11" s="451"/>
    </row>
    <row r="12" spans="1:13">
      <c r="I12" s="451"/>
      <c r="J12" s="451"/>
      <c r="K12" s="451"/>
      <c r="L12" s="451"/>
      <c r="M12" s="451"/>
    </row>
    <row r="13" spans="1:13">
      <c r="I13" s="451"/>
      <c r="J13" s="451"/>
      <c r="K13" s="451"/>
      <c r="L13" s="451"/>
      <c r="M13" s="451"/>
    </row>
    <row r="14" spans="1:13">
      <c r="I14" s="451"/>
      <c r="J14" s="451"/>
      <c r="K14" s="451"/>
      <c r="L14" s="451"/>
      <c r="M14" s="451"/>
    </row>
  </sheetData>
  <mergeCells count="1">
    <mergeCell ref="I8:M14"/>
  </mergeCells>
  <pageMargins left="0.7" right="0.7" top="0.75" bottom="0.75" header="0.3" footer="0.3"/>
  <pageSetup paperSize="9" orientation="portrait" horizontalDpi="0" verticalDpi="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D5F6B-E18F-5647-A3E8-664D86AC76F5}">
  <dimension ref="A1:AC107"/>
  <sheetViews>
    <sheetView topLeftCell="A10" zoomScale="75" workbookViewId="0">
      <selection activeCell="H56" sqref="H56:H68"/>
    </sheetView>
  </sheetViews>
  <sheetFormatPr baseColWidth="10" defaultRowHeight="16"/>
  <cols>
    <col min="1" max="1" width="23.1640625" style="4" customWidth="1"/>
    <col min="2" max="2" width="33" style="4" customWidth="1"/>
    <col min="3" max="3" width="35.83203125" style="1" customWidth="1"/>
    <col min="4" max="4" width="39.5" style="4" customWidth="1"/>
    <col min="5" max="5" width="30.83203125" customWidth="1"/>
    <col min="6" max="6" width="25" style="146" customWidth="1"/>
    <col min="7" max="7" width="12.83203125" bestFit="1" customWidth="1"/>
    <col min="8" max="8" width="38.83203125" customWidth="1"/>
    <col min="9" max="9" width="33.6640625" customWidth="1"/>
  </cols>
  <sheetData>
    <row r="1" spans="1:16">
      <c r="A1" s="227"/>
      <c r="B1" s="347" t="s">
        <v>97</v>
      </c>
      <c r="C1" s="347" t="s">
        <v>98</v>
      </c>
      <c r="D1" s="347" t="s">
        <v>99</v>
      </c>
      <c r="E1" s="347" t="s">
        <v>100</v>
      </c>
      <c r="F1" s="347" t="s">
        <v>101</v>
      </c>
      <c r="G1" s="347" t="s">
        <v>102</v>
      </c>
      <c r="H1" s="229" t="s">
        <v>199</v>
      </c>
    </row>
    <row r="2" spans="1:16">
      <c r="A2" s="230" t="s">
        <v>103</v>
      </c>
      <c r="B2" s="60">
        <v>0</v>
      </c>
      <c r="C2" s="60">
        <v>1.2E-2</v>
      </c>
      <c r="D2" s="60">
        <v>0.2</v>
      </c>
      <c r="E2" s="60">
        <v>1</v>
      </c>
      <c r="F2" s="60">
        <v>3.4</v>
      </c>
      <c r="G2" s="60">
        <v>8.1999999999999993</v>
      </c>
      <c r="H2" s="231" t="s">
        <v>200</v>
      </c>
    </row>
    <row r="3" spans="1:16" ht="35" thickBot="1">
      <c r="A3" s="232" t="s">
        <v>110</v>
      </c>
      <c r="B3" s="60">
        <v>0</v>
      </c>
      <c r="C3" s="60">
        <f>C2*30</f>
        <v>0.36</v>
      </c>
      <c r="D3" s="60">
        <f t="shared" ref="D3:G3" si="0">D2*30</f>
        <v>6</v>
      </c>
      <c r="E3" s="60">
        <f t="shared" si="0"/>
        <v>30</v>
      </c>
      <c r="F3" s="60">
        <f t="shared" si="0"/>
        <v>102</v>
      </c>
      <c r="G3" s="60">
        <f t="shared" si="0"/>
        <v>245.99999999999997</v>
      </c>
      <c r="H3" s="231" t="s">
        <v>200</v>
      </c>
    </row>
    <row r="4" spans="1:16" ht="17">
      <c r="A4" s="232" t="s">
        <v>1079</v>
      </c>
      <c r="B4" s="60">
        <v>0</v>
      </c>
      <c r="C4" s="60">
        <v>0.05</v>
      </c>
      <c r="D4" s="60">
        <v>0.2</v>
      </c>
      <c r="E4" s="60">
        <v>0.8</v>
      </c>
      <c r="F4" s="60">
        <v>2</v>
      </c>
      <c r="G4" s="60">
        <v>14</v>
      </c>
      <c r="H4" s="231" t="s">
        <v>201</v>
      </c>
      <c r="K4" s="157" t="s">
        <v>587</v>
      </c>
      <c r="L4" s="158"/>
      <c r="M4" s="158"/>
      <c r="N4" s="158"/>
      <c r="O4" s="158"/>
      <c r="P4" s="159"/>
    </row>
    <row r="5" spans="1:16" ht="23" customHeight="1">
      <c r="A5" s="400" t="s">
        <v>1081</v>
      </c>
      <c r="B5" s="301">
        <v>0</v>
      </c>
      <c r="C5" s="301">
        <f>50/(230*0.95)</f>
        <v>0.2288329519450801</v>
      </c>
      <c r="D5" s="301">
        <f>200/(230*0.95)</f>
        <v>0.91533180778032042</v>
      </c>
      <c r="E5" s="301">
        <f>800/(230*0.95)</f>
        <v>3.6613272311212817</v>
      </c>
      <c r="F5" s="301">
        <f>2000/(230*0.95)</f>
        <v>9.1533180778032044</v>
      </c>
      <c r="G5" s="301">
        <f>14000/(230*0.95)</f>
        <v>64.073226544622429</v>
      </c>
      <c r="H5" s="401" t="s">
        <v>217</v>
      </c>
      <c r="K5" s="160"/>
      <c r="P5" s="161"/>
    </row>
    <row r="6" spans="1:16" ht="17" thickBot="1">
      <c r="A6" s="276" t="s">
        <v>581</v>
      </c>
      <c r="B6" s="277">
        <v>0</v>
      </c>
      <c r="C6" s="277">
        <f>0.05/0.95</f>
        <v>5.2631578947368425E-2</v>
      </c>
      <c r="D6" s="277">
        <f>0.2/0.95</f>
        <v>0.2105263157894737</v>
      </c>
      <c r="E6" s="277">
        <f>0.8/0.95</f>
        <v>0.8421052631578948</v>
      </c>
      <c r="F6" s="277">
        <f>2/0.95</f>
        <v>2.1052631578947367</v>
      </c>
      <c r="G6" s="277">
        <f>14/0.95</f>
        <v>14.736842105263159</v>
      </c>
      <c r="H6" s="234" t="s">
        <v>300</v>
      </c>
      <c r="K6" s="162" t="s">
        <v>585</v>
      </c>
      <c r="L6" s="163"/>
      <c r="M6" s="163"/>
      <c r="N6" s="163"/>
      <c r="O6" s="163"/>
      <c r="P6" s="164"/>
    </row>
    <row r="7" spans="1:16">
      <c r="A7" s="1"/>
      <c r="B7" s="1"/>
      <c r="D7" s="1"/>
      <c r="E7" s="1"/>
      <c r="F7" s="1"/>
      <c r="G7" s="1"/>
      <c r="H7" s="4"/>
    </row>
    <row r="8" spans="1:16" ht="17" thickBot="1">
      <c r="A8" s="38"/>
      <c r="B8" s="1"/>
      <c r="D8" s="100"/>
      <c r="E8" s="1"/>
      <c r="F8" s="1"/>
      <c r="G8" s="1"/>
      <c r="H8" s="4"/>
    </row>
    <row r="9" spans="1:16" ht="16" customHeight="1">
      <c r="A9" s="485" t="s">
        <v>960</v>
      </c>
      <c r="B9" s="486"/>
      <c r="C9" s="486"/>
      <c r="D9" s="487"/>
      <c r="F9" s="568" t="s">
        <v>975</v>
      </c>
      <c r="G9" s="569"/>
      <c r="H9" s="570"/>
      <c r="I9" s="13"/>
      <c r="J9" s="13"/>
      <c r="K9" s="13"/>
    </row>
    <row r="10" spans="1:16" ht="34">
      <c r="A10" s="175"/>
      <c r="B10" s="6" t="s">
        <v>1082</v>
      </c>
      <c r="C10" s="6" t="s">
        <v>1083</v>
      </c>
      <c r="D10" s="176" t="s">
        <v>570</v>
      </c>
      <c r="E10" s="80" t="s">
        <v>573</v>
      </c>
      <c r="F10" s="571"/>
      <c r="G10" s="523"/>
      <c r="H10" s="572"/>
      <c r="I10" s="13"/>
      <c r="J10" s="2"/>
      <c r="K10" s="2"/>
      <c r="L10" s="2"/>
      <c r="M10" s="2"/>
      <c r="N10" s="2"/>
      <c r="O10" s="2"/>
      <c r="P10" s="2"/>
    </row>
    <row r="11" spans="1:16">
      <c r="A11" s="175" t="s">
        <v>566</v>
      </c>
      <c r="B11" s="4">
        <f>285.79/100</f>
        <v>2.8579000000000003</v>
      </c>
      <c r="C11" s="1">
        <f>451.25/100</f>
        <v>4.5125000000000002</v>
      </c>
      <c r="D11" s="176">
        <v>12.22</v>
      </c>
      <c r="E11" s="457" t="s">
        <v>982</v>
      </c>
      <c r="F11" s="571"/>
      <c r="G11" s="523"/>
      <c r="H11" s="572"/>
      <c r="I11" s="13"/>
      <c r="J11" s="2"/>
      <c r="K11" s="2"/>
      <c r="L11" s="2"/>
      <c r="M11" s="2"/>
      <c r="N11" s="2"/>
      <c r="O11" s="2"/>
      <c r="P11" s="2"/>
    </row>
    <row r="12" spans="1:16">
      <c r="A12" s="175" t="s">
        <v>567</v>
      </c>
      <c r="B12" s="4">
        <f>285.79/100</f>
        <v>2.8579000000000003</v>
      </c>
      <c r="C12" s="1">
        <f>439.93/100</f>
        <v>4.3993000000000002</v>
      </c>
      <c r="D12" s="176">
        <v>22.93</v>
      </c>
      <c r="E12" s="457"/>
      <c r="F12" s="571"/>
      <c r="G12" s="523"/>
      <c r="H12" s="572"/>
      <c r="I12" s="13"/>
      <c r="J12" s="2"/>
      <c r="K12" s="2"/>
      <c r="L12" s="2"/>
      <c r="M12" s="2"/>
      <c r="N12" s="2"/>
      <c r="O12" s="2"/>
      <c r="P12" s="2"/>
    </row>
    <row r="13" spans="1:16">
      <c r="A13" s="175" t="s">
        <v>568</v>
      </c>
      <c r="B13" s="4">
        <f>285.79/100</f>
        <v>2.8579000000000003</v>
      </c>
      <c r="C13" s="1">
        <f>439.93/100</f>
        <v>4.3993000000000002</v>
      </c>
      <c r="D13" s="176">
        <v>47.38</v>
      </c>
      <c r="F13" s="571"/>
      <c r="G13" s="523"/>
      <c r="H13" s="572"/>
      <c r="I13" s="13"/>
      <c r="J13" s="2"/>
      <c r="K13" s="2"/>
      <c r="L13" s="2"/>
      <c r="M13" s="2"/>
      <c r="N13" s="2"/>
      <c r="O13" s="2"/>
      <c r="P13" s="2"/>
    </row>
    <row r="14" spans="1:16" ht="17" thickBot="1">
      <c r="A14" s="187" t="s">
        <v>569</v>
      </c>
      <c r="B14" s="179">
        <f>285.79/100</f>
        <v>2.8579000000000003</v>
      </c>
      <c r="C14" s="182">
        <f>459.55/100</f>
        <v>4.5955000000000004</v>
      </c>
      <c r="D14" s="180">
        <v>7.5</v>
      </c>
      <c r="F14" s="571"/>
      <c r="G14" s="523"/>
      <c r="H14" s="572"/>
      <c r="I14" s="13"/>
      <c r="J14" s="2"/>
      <c r="K14" s="2"/>
      <c r="L14" s="2"/>
      <c r="M14" s="2"/>
      <c r="N14" s="2"/>
      <c r="O14" s="2"/>
      <c r="P14" s="2"/>
    </row>
    <row r="15" spans="1:16" ht="17" thickBot="1">
      <c r="F15" s="571"/>
      <c r="G15" s="523"/>
      <c r="H15" s="572"/>
      <c r="I15" s="13">
        <f>B21/18.45024418</f>
        <v>0.15304404497046609</v>
      </c>
      <c r="J15" s="2"/>
      <c r="K15" s="2"/>
      <c r="L15" s="2"/>
      <c r="M15" s="2"/>
      <c r="N15" s="2"/>
      <c r="O15" s="2"/>
      <c r="P15" s="2"/>
    </row>
    <row r="16" spans="1:16">
      <c r="A16" s="485" t="s">
        <v>961</v>
      </c>
      <c r="B16" s="486"/>
      <c r="C16" s="486"/>
      <c r="D16" s="487"/>
      <c r="F16" s="571"/>
      <c r="G16" s="523"/>
      <c r="H16" s="572"/>
      <c r="I16" s="13"/>
      <c r="J16" s="13"/>
      <c r="K16" s="13"/>
    </row>
    <row r="17" spans="1:29" ht="35" thickBot="1">
      <c r="A17" s="175"/>
      <c r="B17" s="6" t="s">
        <v>1082</v>
      </c>
      <c r="C17" s="6" t="s">
        <v>1083</v>
      </c>
      <c r="D17" s="176" t="s">
        <v>570</v>
      </c>
      <c r="F17" s="573"/>
      <c r="G17" s="574"/>
      <c r="H17" s="575"/>
      <c r="I17" s="13"/>
      <c r="J17" s="13"/>
      <c r="K17" s="13"/>
    </row>
    <row r="18" spans="1:29">
      <c r="A18" s="175" t="s">
        <v>566</v>
      </c>
      <c r="B18" s="4">
        <f>282.37/100</f>
        <v>2.8237000000000001</v>
      </c>
      <c r="C18" s="1">
        <f>445.88/100</f>
        <v>4.4588000000000001</v>
      </c>
      <c r="D18" s="176">
        <v>12.1</v>
      </c>
      <c r="F18" s="13"/>
      <c r="G18" s="13"/>
      <c r="H18" s="13"/>
      <c r="I18" s="13"/>
      <c r="J18" s="13"/>
      <c r="K18" s="13"/>
    </row>
    <row r="19" spans="1:29">
      <c r="A19" s="175" t="s">
        <v>567</v>
      </c>
      <c r="B19" s="4">
        <f>282.37/100</f>
        <v>2.8237000000000001</v>
      </c>
      <c r="C19" s="1">
        <f>434.76/100</f>
        <v>4.3475999999999999</v>
      </c>
      <c r="D19" s="176">
        <v>22.67</v>
      </c>
      <c r="F19" s="13"/>
      <c r="G19" s="13"/>
      <c r="H19" s="13"/>
      <c r="I19" s="13"/>
      <c r="J19" s="13"/>
      <c r="K19" s="13"/>
      <c r="Y19" s="450" t="s">
        <v>571</v>
      </c>
      <c r="Z19" s="450"/>
      <c r="AA19" s="450"/>
      <c r="AB19" s="450"/>
      <c r="AC19" s="450"/>
    </row>
    <row r="20" spans="1:29">
      <c r="A20" s="175" t="s">
        <v>568</v>
      </c>
      <c r="B20" s="4">
        <f>282.37/100</f>
        <v>2.8237000000000001</v>
      </c>
      <c r="C20" s="1">
        <f>434.76/100</f>
        <v>4.3475999999999999</v>
      </c>
      <c r="D20" s="176">
        <v>46.79</v>
      </c>
      <c r="F20" s="13"/>
      <c r="G20" s="13"/>
      <c r="H20" s="13"/>
      <c r="I20" s="13"/>
      <c r="J20" s="13"/>
      <c r="K20" s="13"/>
      <c r="Y20" s="450"/>
      <c r="Z20" s="450"/>
      <c r="AA20" s="450"/>
      <c r="AB20" s="450"/>
      <c r="AC20" s="450"/>
    </row>
    <row r="21" spans="1:29" ht="17" thickBot="1">
      <c r="A21" s="187" t="s">
        <v>569</v>
      </c>
      <c r="B21" s="179">
        <f>282.37/100</f>
        <v>2.8237000000000001</v>
      </c>
      <c r="C21" s="182">
        <f>454.09/100</f>
        <v>4.5408999999999997</v>
      </c>
      <c r="D21" s="180">
        <v>7.39</v>
      </c>
      <c r="F21" s="13"/>
      <c r="G21" s="13"/>
      <c r="H21" s="13"/>
      <c r="I21" s="13"/>
      <c r="J21" s="13"/>
      <c r="K21" s="13"/>
      <c r="Y21" s="450"/>
      <c r="Z21" s="450"/>
      <c r="AA21" s="450"/>
      <c r="AB21" s="450"/>
      <c r="AC21" s="450"/>
    </row>
    <row r="22" spans="1:29" ht="17" thickBot="1">
      <c r="A22" s="406"/>
      <c r="B22" s="312"/>
      <c r="C22" s="312"/>
      <c r="D22" s="407"/>
      <c r="Y22" s="450"/>
      <c r="Z22" s="450"/>
      <c r="AA22" s="450"/>
      <c r="AB22" s="450"/>
      <c r="AC22" s="450"/>
    </row>
    <row r="23" spans="1:29" ht="15" customHeight="1">
      <c r="A23" s="503" t="s">
        <v>962</v>
      </c>
      <c r="B23" s="558"/>
      <c r="C23" s="558"/>
      <c r="D23" s="558"/>
      <c r="E23" s="558"/>
      <c r="F23" s="558"/>
      <c r="G23" s="558"/>
      <c r="H23" s="558"/>
      <c r="I23" s="504"/>
      <c r="J23" s="165"/>
      <c r="L23" s="568" t="s">
        <v>976</v>
      </c>
      <c r="M23" s="569"/>
      <c r="N23" s="569"/>
      <c r="O23" s="569"/>
      <c r="P23" s="569"/>
      <c r="Q23" s="570"/>
    </row>
    <row r="24" spans="1:29">
      <c r="A24" s="175"/>
      <c r="B24" s="473" t="s">
        <v>968</v>
      </c>
      <c r="C24" s="473"/>
      <c r="D24" s="473"/>
      <c r="E24" s="473"/>
      <c r="F24" s="473"/>
      <c r="G24" s="473"/>
      <c r="H24" s="4"/>
      <c r="I24" s="176"/>
      <c r="J24" s="4"/>
      <c r="L24" s="571"/>
      <c r="M24" s="523"/>
      <c r="N24" s="523"/>
      <c r="O24" s="523"/>
      <c r="P24" s="523"/>
      <c r="Q24" s="572"/>
    </row>
    <row r="25" spans="1:29">
      <c r="A25" s="175"/>
      <c r="B25" s="473" t="s">
        <v>963</v>
      </c>
      <c r="C25" s="473"/>
      <c r="D25" s="473"/>
      <c r="E25" s="473" t="s">
        <v>964</v>
      </c>
      <c r="F25" s="473"/>
      <c r="G25" s="473"/>
      <c r="H25" s="4" t="s">
        <v>973</v>
      </c>
      <c r="I25" s="176" t="s">
        <v>974</v>
      </c>
      <c r="J25" s="4"/>
      <c r="L25" s="571"/>
      <c r="M25" s="523"/>
      <c r="N25" s="523"/>
      <c r="O25" s="523"/>
      <c r="P25" s="523"/>
      <c r="Q25" s="572"/>
    </row>
    <row r="26" spans="1:29">
      <c r="A26" s="175"/>
      <c r="B26" s="4" t="s">
        <v>965</v>
      </c>
      <c r="C26" s="4" t="s">
        <v>966</v>
      </c>
      <c r="D26" s="4" t="s">
        <v>967</v>
      </c>
      <c r="E26" s="4" t="s">
        <v>965</v>
      </c>
      <c r="F26" s="4" t="s">
        <v>966</v>
      </c>
      <c r="G26" s="4" t="s">
        <v>967</v>
      </c>
      <c r="H26" s="4"/>
      <c r="I26" s="176"/>
      <c r="J26" s="4"/>
      <c r="L26" s="571"/>
      <c r="M26" s="523"/>
      <c r="N26" s="523"/>
      <c r="O26" s="523"/>
      <c r="P26" s="523"/>
      <c r="Q26" s="572"/>
    </row>
    <row r="27" spans="1:29">
      <c r="A27" s="175" t="s">
        <v>969</v>
      </c>
      <c r="B27" s="4">
        <v>703.73</v>
      </c>
      <c r="C27" s="4">
        <v>214.11</v>
      </c>
      <c r="D27" s="4">
        <v>116.91</v>
      </c>
      <c r="E27" s="4">
        <v>230.44</v>
      </c>
      <c r="F27" s="6">
        <v>159</v>
      </c>
      <c r="G27" s="4">
        <v>101.37</v>
      </c>
      <c r="H27" s="4">
        <v>145.35</v>
      </c>
      <c r="I27" s="176">
        <v>12.1</v>
      </c>
      <c r="J27" s="4"/>
      <c r="L27" s="571"/>
      <c r="M27" s="523"/>
      <c r="N27" s="523"/>
      <c r="O27" s="523"/>
      <c r="P27" s="523"/>
      <c r="Q27" s="572"/>
    </row>
    <row r="28" spans="1:29">
      <c r="A28" s="175" t="s">
        <v>970</v>
      </c>
      <c r="B28" s="4">
        <v>703.73</v>
      </c>
      <c r="C28" s="4">
        <v>214.11</v>
      </c>
      <c r="D28" s="4">
        <v>116.91</v>
      </c>
      <c r="E28" s="4">
        <v>230.44</v>
      </c>
      <c r="F28" s="6">
        <v>159</v>
      </c>
      <c r="G28" s="4">
        <v>101.37</v>
      </c>
      <c r="H28" s="4">
        <v>145.35</v>
      </c>
      <c r="I28" s="176">
        <v>22.67</v>
      </c>
      <c r="J28" s="4"/>
      <c r="L28" s="571"/>
      <c r="M28" s="523"/>
      <c r="N28" s="523"/>
      <c r="O28" s="523"/>
      <c r="P28" s="523"/>
      <c r="Q28" s="572"/>
    </row>
    <row r="29" spans="1:29">
      <c r="A29" s="175" t="s">
        <v>971</v>
      </c>
      <c r="B29" s="4">
        <v>703.73</v>
      </c>
      <c r="C29" s="4">
        <v>214.11</v>
      </c>
      <c r="D29" s="4">
        <v>116.91</v>
      </c>
      <c r="E29" s="4">
        <v>230.44</v>
      </c>
      <c r="F29" s="6">
        <v>159</v>
      </c>
      <c r="G29" s="4">
        <v>101.37</v>
      </c>
      <c r="H29" s="4">
        <v>145.35</v>
      </c>
      <c r="I29" s="176">
        <v>46.79</v>
      </c>
      <c r="J29" s="4"/>
      <c r="L29" s="571"/>
      <c r="M29" s="523"/>
      <c r="N29" s="523"/>
      <c r="O29" s="523"/>
      <c r="P29" s="523"/>
      <c r="Q29" s="572"/>
      <c r="Y29" s="450" t="s">
        <v>572</v>
      </c>
      <c r="Z29" s="450"/>
      <c r="AA29" s="450"/>
      <c r="AB29" s="450"/>
      <c r="AC29" s="450"/>
    </row>
    <row r="30" spans="1:29" ht="17" thickBot="1">
      <c r="A30" s="187" t="s">
        <v>972</v>
      </c>
      <c r="B30" s="179">
        <v>703.73</v>
      </c>
      <c r="C30" s="179">
        <v>214.11</v>
      </c>
      <c r="D30" s="179">
        <v>116.91</v>
      </c>
      <c r="E30" s="179">
        <v>230.44</v>
      </c>
      <c r="F30" s="188">
        <v>159</v>
      </c>
      <c r="G30" s="179">
        <v>101.37</v>
      </c>
      <c r="H30" s="179">
        <v>145.35</v>
      </c>
      <c r="I30" s="180">
        <v>7.39</v>
      </c>
      <c r="J30" s="4"/>
      <c r="L30" s="571"/>
      <c r="M30" s="523"/>
      <c r="N30" s="523"/>
      <c r="O30" s="523"/>
      <c r="P30" s="523"/>
      <c r="Q30" s="572"/>
      <c r="Y30" s="450"/>
      <c r="Z30" s="450"/>
      <c r="AA30" s="450"/>
      <c r="AB30" s="450"/>
      <c r="AC30" s="450"/>
    </row>
    <row r="31" spans="1:29" ht="17" thickBot="1">
      <c r="A31" s="6"/>
      <c r="B31" s="6"/>
      <c r="C31" s="6"/>
      <c r="D31" s="6"/>
      <c r="E31" s="6"/>
      <c r="F31" s="6"/>
      <c r="G31" s="4"/>
      <c r="H31" s="4"/>
      <c r="I31" s="4"/>
      <c r="J31" s="4"/>
      <c r="L31" s="571"/>
      <c r="M31" s="523"/>
      <c r="N31" s="523"/>
      <c r="O31" s="523"/>
      <c r="P31" s="523"/>
      <c r="Q31" s="572"/>
      <c r="Y31" s="450"/>
      <c r="Z31" s="450"/>
      <c r="AA31" s="450"/>
      <c r="AB31" s="450"/>
      <c r="AC31" s="450"/>
    </row>
    <row r="32" spans="1:29">
      <c r="A32" s="503" t="s">
        <v>977</v>
      </c>
      <c r="B32" s="558"/>
      <c r="C32" s="504"/>
      <c r="D32" s="6"/>
      <c r="E32" s="6"/>
      <c r="F32" s="6"/>
      <c r="G32" s="4"/>
      <c r="H32" s="4"/>
      <c r="I32" s="4"/>
      <c r="J32" s="4"/>
      <c r="L32" s="571"/>
      <c r="M32" s="523"/>
      <c r="N32" s="523"/>
      <c r="O32" s="523"/>
      <c r="P32" s="523"/>
      <c r="Q32" s="572"/>
      <c r="Y32" s="450"/>
      <c r="Z32" s="450"/>
      <c r="AA32" s="450"/>
      <c r="AB32" s="450"/>
      <c r="AC32" s="450"/>
    </row>
    <row r="33" spans="1:17" ht="16" customHeight="1">
      <c r="A33" s="175"/>
      <c r="B33" s="4" t="s">
        <v>1084</v>
      </c>
      <c r="C33" s="176"/>
      <c r="E33" s="450" t="s">
        <v>1003</v>
      </c>
      <c r="F33" s="450"/>
      <c r="G33" s="450"/>
      <c r="H33" s="450"/>
      <c r="I33" s="4"/>
      <c r="J33" s="4"/>
      <c r="L33" s="571"/>
      <c r="M33" s="523"/>
      <c r="N33" s="523"/>
      <c r="O33" s="523"/>
      <c r="P33" s="523"/>
      <c r="Q33" s="572"/>
    </row>
    <row r="34" spans="1:17">
      <c r="A34" s="175"/>
      <c r="B34" s="4" t="s">
        <v>980</v>
      </c>
      <c r="C34" s="176" t="s">
        <v>981</v>
      </c>
      <c r="E34" s="450"/>
      <c r="F34" s="450"/>
      <c r="G34" s="450"/>
      <c r="H34" s="450"/>
      <c r="I34" s="4"/>
      <c r="J34" s="4"/>
      <c r="L34" s="571"/>
      <c r="M34" s="523"/>
      <c r="N34" s="523"/>
      <c r="O34" s="523"/>
      <c r="P34" s="523"/>
      <c r="Q34" s="572"/>
    </row>
    <row r="35" spans="1:17">
      <c r="A35" s="175" t="s">
        <v>978</v>
      </c>
      <c r="B35" s="4">
        <f>267.16/100</f>
        <v>2.6716000000000002</v>
      </c>
      <c r="C35" s="252">
        <f>454.09/100</f>
        <v>4.5408999999999997</v>
      </c>
      <c r="E35" s="450"/>
      <c r="F35" s="450"/>
      <c r="G35" s="450"/>
      <c r="H35" s="450"/>
      <c r="L35" s="571"/>
      <c r="M35" s="523"/>
      <c r="N35" s="523"/>
      <c r="O35" s="523"/>
      <c r="P35" s="523"/>
      <c r="Q35" s="572"/>
    </row>
    <row r="36" spans="1:17" ht="17" thickBot="1">
      <c r="A36" s="187" t="s">
        <v>979</v>
      </c>
      <c r="B36" s="179">
        <f>218.82/100</f>
        <v>2.1882000000000001</v>
      </c>
      <c r="C36" s="270">
        <f>247.96/100</f>
        <v>2.4796</v>
      </c>
      <c r="E36" s="450"/>
      <c r="F36" s="450"/>
      <c r="G36" s="450"/>
      <c r="H36" s="450"/>
      <c r="L36" s="573"/>
      <c r="M36" s="574"/>
      <c r="N36" s="574"/>
      <c r="O36" s="574"/>
      <c r="P36" s="574"/>
      <c r="Q36" s="575"/>
    </row>
    <row r="37" spans="1:17">
      <c r="A37" s="312"/>
      <c r="B37" s="312"/>
      <c r="C37" s="312"/>
      <c r="D37" s="312"/>
      <c r="E37" s="450"/>
      <c r="F37" s="450"/>
      <c r="G37" s="450"/>
      <c r="H37" s="450"/>
    </row>
    <row r="38" spans="1:17" ht="16" customHeight="1" thickBot="1">
      <c r="B38" s="2"/>
      <c r="C38" s="2"/>
      <c r="D38" s="2"/>
    </row>
    <row r="39" spans="1:17" ht="16" customHeight="1" thickBot="1">
      <c r="A39" s="498" t="s">
        <v>995</v>
      </c>
      <c r="B39" s="499"/>
      <c r="C39" s="499"/>
      <c r="D39" s="499"/>
      <c r="E39" s="499"/>
      <c r="F39" s="500"/>
    </row>
    <row r="40" spans="1:17" ht="16" customHeight="1">
      <c r="A40" s="175"/>
      <c r="B40" s="4" t="s">
        <v>1085</v>
      </c>
      <c r="C40" s="4" t="s">
        <v>1087</v>
      </c>
      <c r="D40" s="4" t="s">
        <v>1086</v>
      </c>
      <c r="E40" s="4" t="s">
        <v>985</v>
      </c>
      <c r="F40" s="302" t="s">
        <v>986</v>
      </c>
      <c r="H40" s="568" t="s">
        <v>996</v>
      </c>
      <c r="I40" s="569"/>
      <c r="J40" s="569"/>
      <c r="K40" s="569"/>
      <c r="L40" s="569"/>
      <c r="M40" s="570"/>
    </row>
    <row r="41" spans="1:17" ht="16" customHeight="1">
      <c r="A41" s="175" t="s">
        <v>987</v>
      </c>
      <c r="B41" s="4">
        <f>239.75/100</f>
        <v>2.3975</v>
      </c>
      <c r="C41" s="4">
        <f>0.92/100</f>
        <v>9.1999999999999998E-3</v>
      </c>
      <c r="D41" s="4">
        <f>59.9/100</f>
        <v>0.59899999999999998</v>
      </c>
      <c r="E41" s="4">
        <v>64.03</v>
      </c>
      <c r="F41" s="302">
        <v>53.19</v>
      </c>
      <c r="H41" s="571"/>
      <c r="I41" s="523"/>
      <c r="J41" s="523"/>
      <c r="K41" s="523"/>
      <c r="L41" s="523"/>
      <c r="M41" s="572"/>
    </row>
    <row r="42" spans="1:17" ht="16" customHeight="1">
      <c r="A42" s="175" t="s">
        <v>988</v>
      </c>
      <c r="B42" s="4">
        <f>239.75/100</f>
        <v>2.3975</v>
      </c>
      <c r="C42" s="4">
        <f>0.92/100</f>
        <v>9.1999999999999998E-3</v>
      </c>
      <c r="D42" s="4">
        <f>59.9/100</f>
        <v>0.59899999999999998</v>
      </c>
      <c r="E42" s="4">
        <v>98.43</v>
      </c>
      <c r="F42" s="302">
        <v>53.19</v>
      </c>
      <c r="H42" s="571"/>
      <c r="I42" s="523"/>
      <c r="J42" s="523"/>
      <c r="K42" s="523"/>
      <c r="L42" s="523"/>
      <c r="M42" s="572"/>
    </row>
    <row r="43" spans="1:17" ht="16" customHeight="1">
      <c r="A43" s="175" t="s">
        <v>989</v>
      </c>
      <c r="B43" s="4">
        <f>239.75/100</f>
        <v>2.3975</v>
      </c>
      <c r="C43" s="4">
        <f>0.92/100</f>
        <v>9.1999999999999998E-3</v>
      </c>
      <c r="D43" s="4">
        <f>59.9/100</f>
        <v>0.59899999999999998</v>
      </c>
      <c r="E43" s="4">
        <v>157.37</v>
      </c>
      <c r="F43" s="302">
        <v>53.19</v>
      </c>
      <c r="H43" s="571"/>
      <c r="I43" s="523"/>
      <c r="J43" s="523"/>
      <c r="K43" s="523"/>
      <c r="L43" s="523"/>
      <c r="M43" s="572"/>
    </row>
    <row r="44" spans="1:17" ht="16" customHeight="1">
      <c r="A44" s="175" t="s">
        <v>990</v>
      </c>
      <c r="B44" s="4">
        <f>517.83/100</f>
        <v>5.1783000000000001</v>
      </c>
      <c r="C44" s="4">
        <f>0.92/100</f>
        <v>9.1999999999999998E-3</v>
      </c>
      <c r="D44" s="4">
        <f>59.9/100</f>
        <v>0.59899999999999998</v>
      </c>
      <c r="E44" s="4">
        <v>50.99</v>
      </c>
      <c r="F44" s="302">
        <v>0</v>
      </c>
      <c r="H44" s="571"/>
      <c r="I44" s="523"/>
      <c r="J44" s="523"/>
      <c r="K44" s="523"/>
      <c r="L44" s="523"/>
      <c r="M44" s="572"/>
    </row>
    <row r="45" spans="1:17" ht="16" customHeight="1">
      <c r="A45" s="175" t="s">
        <v>991</v>
      </c>
      <c r="B45" s="4">
        <f>689.4/100</f>
        <v>6.8940000000000001</v>
      </c>
      <c r="C45" s="4"/>
      <c r="E45" s="4"/>
      <c r="F45" s="302"/>
      <c r="H45" s="571"/>
      <c r="I45" s="523"/>
      <c r="J45" s="523"/>
      <c r="K45" s="523"/>
      <c r="L45" s="523"/>
      <c r="M45" s="572"/>
    </row>
    <row r="46" spans="1:17" ht="16" customHeight="1">
      <c r="A46" s="175" t="s">
        <v>992</v>
      </c>
      <c r="B46" s="4">
        <f>888.73/100</f>
        <v>8.8872999999999998</v>
      </c>
      <c r="C46" s="4"/>
      <c r="E46" s="4"/>
      <c r="F46" s="302"/>
      <c r="H46" s="571"/>
      <c r="I46" s="523"/>
      <c r="J46" s="523"/>
      <c r="K46" s="523"/>
      <c r="L46" s="523"/>
      <c r="M46" s="572"/>
    </row>
    <row r="47" spans="1:17" ht="16" customHeight="1" thickBot="1">
      <c r="A47" s="187" t="s">
        <v>993</v>
      </c>
      <c r="B47" s="179"/>
      <c r="C47" s="179"/>
      <c r="D47" s="179"/>
      <c r="E47" s="179"/>
      <c r="F47" s="303">
        <v>114.06</v>
      </c>
      <c r="H47" s="573"/>
      <c r="I47" s="574"/>
      <c r="J47" s="574"/>
      <c r="K47" s="574"/>
      <c r="L47" s="574"/>
      <c r="M47" s="575"/>
    </row>
    <row r="48" spans="1:17" ht="17" customHeight="1" thickBot="1">
      <c r="C48" s="4"/>
      <c r="E48" s="4"/>
      <c r="F48" s="6"/>
    </row>
    <row r="49" spans="1:28" ht="17" customHeight="1">
      <c r="A49" s="498" t="s">
        <v>994</v>
      </c>
      <c r="B49" s="499"/>
      <c r="C49" s="499"/>
      <c r="D49" s="499"/>
      <c r="E49" s="499"/>
      <c r="F49" s="500"/>
    </row>
    <row r="50" spans="1:28" ht="17" customHeight="1">
      <c r="A50" s="175"/>
      <c r="B50" s="4" t="s">
        <v>1085</v>
      </c>
      <c r="C50" s="4" t="s">
        <v>1087</v>
      </c>
      <c r="D50" s="4" t="s">
        <v>1086</v>
      </c>
      <c r="E50" s="4" t="s">
        <v>985</v>
      </c>
      <c r="F50" s="302" t="s">
        <v>986</v>
      </c>
    </row>
    <row r="51" spans="1:28" ht="17" customHeight="1">
      <c r="A51" s="175" t="s">
        <v>987</v>
      </c>
      <c r="B51" s="4">
        <f>248.41/100</f>
        <v>2.4840999999999998</v>
      </c>
      <c r="C51" s="4">
        <f>0.94/100</f>
        <v>9.3999999999999986E-3</v>
      </c>
      <c r="D51" s="4">
        <f>61.24/100</f>
        <v>0.61240000000000006</v>
      </c>
      <c r="E51" s="4">
        <v>65.400000000000006</v>
      </c>
      <c r="F51" s="302">
        <v>53.52</v>
      </c>
    </row>
    <row r="52" spans="1:28" ht="17" customHeight="1">
      <c r="A52" s="175" t="s">
        <v>988</v>
      </c>
      <c r="B52" s="4">
        <f>248.41/100</f>
        <v>2.4840999999999998</v>
      </c>
      <c r="C52" s="4">
        <f>0.94/100</f>
        <v>9.3999999999999986E-3</v>
      </c>
      <c r="D52" s="4">
        <f>61.24/100</f>
        <v>0.61240000000000006</v>
      </c>
      <c r="E52" s="4">
        <v>100.51</v>
      </c>
      <c r="F52" s="302">
        <v>53.52</v>
      </c>
    </row>
    <row r="53" spans="1:28" ht="17" customHeight="1">
      <c r="A53" s="175" t="s">
        <v>989</v>
      </c>
      <c r="B53" s="4">
        <f>248.41/100</f>
        <v>2.4840999999999998</v>
      </c>
      <c r="C53" s="4">
        <f>0.94/100</f>
        <v>9.3999999999999986E-3</v>
      </c>
      <c r="D53" s="4">
        <f>61.24/100</f>
        <v>0.61240000000000006</v>
      </c>
      <c r="E53" s="4">
        <v>160.74</v>
      </c>
      <c r="F53" s="302">
        <v>53.52</v>
      </c>
    </row>
    <row r="54" spans="1:28" ht="17" customHeight="1">
      <c r="A54" s="175" t="s">
        <v>990</v>
      </c>
      <c r="B54" s="4">
        <f>248.41/100</f>
        <v>2.4840999999999998</v>
      </c>
      <c r="C54" s="4">
        <f>0.94/100</f>
        <v>9.3999999999999986E-3</v>
      </c>
      <c r="D54" s="4">
        <f>61.24/100</f>
        <v>0.61240000000000006</v>
      </c>
      <c r="E54" s="4">
        <v>52.08</v>
      </c>
      <c r="F54" s="302">
        <v>0</v>
      </c>
    </row>
    <row r="55" spans="1:28" ht="17" customHeight="1" thickBot="1">
      <c r="A55" s="187" t="s">
        <v>993</v>
      </c>
      <c r="B55" s="179"/>
      <c r="C55" s="179"/>
      <c r="D55" s="179"/>
      <c r="E55" s="179"/>
      <c r="F55" s="303">
        <v>115.82</v>
      </c>
    </row>
    <row r="56" spans="1:28" ht="17" customHeight="1" thickBot="1">
      <c r="C56" s="4"/>
      <c r="E56" s="4"/>
      <c r="F56" s="6"/>
    </row>
    <row r="57" spans="1:28" ht="17">
      <c r="A57" s="241" t="s">
        <v>109</v>
      </c>
      <c r="B57" s="253" t="s">
        <v>97</v>
      </c>
      <c r="C57" s="253" t="s">
        <v>98</v>
      </c>
      <c r="D57" s="253" t="s">
        <v>99</v>
      </c>
      <c r="E57" s="253" t="s">
        <v>100</v>
      </c>
      <c r="F57" s="313" t="s">
        <v>101</v>
      </c>
      <c r="G57" s="242" t="s">
        <v>102</v>
      </c>
      <c r="I57" s="577" t="s">
        <v>1135</v>
      </c>
      <c r="J57" s="451"/>
      <c r="K57" s="451"/>
      <c r="L57" s="451"/>
      <c r="M57" s="451"/>
    </row>
    <row r="58" spans="1:28">
      <c r="A58" s="175" t="s">
        <v>983</v>
      </c>
      <c r="B58" s="4">
        <v>0</v>
      </c>
      <c r="C58" s="4" t="s">
        <v>58</v>
      </c>
      <c r="D58" s="4" t="s">
        <v>58</v>
      </c>
      <c r="E58" s="4" t="s">
        <v>58</v>
      </c>
      <c r="F58" s="4">
        <f>$B14*F3+$D14*30</f>
        <v>516.50580000000002</v>
      </c>
      <c r="G58" s="176">
        <f>$B14*G3+$D14*30</f>
        <v>928.04340000000002</v>
      </c>
      <c r="I58" s="451"/>
      <c r="J58" s="451"/>
      <c r="K58" s="451"/>
      <c r="L58" s="451"/>
      <c r="M58" s="451"/>
    </row>
    <row r="59" spans="1:28">
      <c r="A59" s="175" t="s">
        <v>984</v>
      </c>
      <c r="B59" s="4">
        <v>0</v>
      </c>
      <c r="C59" s="4" t="s">
        <v>58</v>
      </c>
      <c r="D59" s="4" t="s">
        <v>58</v>
      </c>
      <c r="E59" s="4" t="s">
        <v>58</v>
      </c>
      <c r="F59" s="6">
        <f>$B21*F3+$D21*30</f>
        <v>509.7174</v>
      </c>
      <c r="G59" s="302">
        <f>$B21*G3+$D21*30</f>
        <v>916.33019999999988</v>
      </c>
      <c r="I59" s="451"/>
      <c r="J59" s="451"/>
      <c r="K59" s="451"/>
      <c r="L59" s="451"/>
      <c r="M59" s="451"/>
    </row>
    <row r="60" spans="1:28" ht="16" customHeight="1">
      <c r="A60" s="175" t="s">
        <v>979</v>
      </c>
      <c r="B60" s="4">
        <v>0</v>
      </c>
      <c r="C60" s="4">
        <f>$B36*C3</f>
        <v>0.78775200000000001</v>
      </c>
      <c r="D60" s="4">
        <f t="shared" ref="D60" si="1">$B36*D3</f>
        <v>13.129200000000001</v>
      </c>
      <c r="E60" s="4">
        <f>$B36*E3</f>
        <v>65.646000000000001</v>
      </c>
      <c r="F60" s="4" t="s">
        <v>58</v>
      </c>
      <c r="G60" s="176" t="s">
        <v>58</v>
      </c>
      <c r="I60" s="451"/>
      <c r="J60" s="451"/>
      <c r="K60" s="451"/>
      <c r="L60" s="451"/>
      <c r="M60" s="451"/>
      <c r="W60" s="13"/>
      <c r="X60" s="13"/>
      <c r="Y60" s="13"/>
      <c r="Z60" s="13"/>
      <c r="AA60" s="13"/>
      <c r="AB60" s="13"/>
    </row>
    <row r="61" spans="1:28">
      <c r="A61" s="175" t="s">
        <v>978</v>
      </c>
      <c r="B61" s="4">
        <v>0</v>
      </c>
      <c r="C61" s="4">
        <f>$B35*C3</f>
        <v>0.96177600000000008</v>
      </c>
      <c r="D61" s="4">
        <f t="shared" ref="D61" si="2">$B35*D3</f>
        <v>16.029600000000002</v>
      </c>
      <c r="E61" s="4">
        <f>$B35*E3</f>
        <v>80.14800000000001</v>
      </c>
      <c r="F61" s="4" t="s">
        <v>58</v>
      </c>
      <c r="G61" s="176" t="s">
        <v>58</v>
      </c>
      <c r="I61" s="451"/>
      <c r="J61" s="451"/>
      <c r="K61" s="451"/>
      <c r="L61" s="451"/>
      <c r="M61" s="451"/>
      <c r="W61" s="13"/>
      <c r="X61" s="13"/>
      <c r="Y61" s="13"/>
      <c r="Z61" s="13"/>
      <c r="AA61" s="13"/>
      <c r="AB61" s="13"/>
    </row>
    <row r="62" spans="1:28">
      <c r="A62" s="175" t="s">
        <v>997</v>
      </c>
      <c r="B62" s="4">
        <v>0</v>
      </c>
      <c r="C62" s="410" t="s">
        <v>58</v>
      </c>
      <c r="D62" s="410" t="s">
        <v>58</v>
      </c>
      <c r="E62" s="410" t="s">
        <v>58</v>
      </c>
      <c r="F62" s="410" t="s">
        <v>58</v>
      </c>
      <c r="G62" s="408">
        <v>3887</v>
      </c>
      <c r="I62" s="451"/>
      <c r="J62" s="451"/>
      <c r="K62" s="451"/>
      <c r="L62" s="451"/>
      <c r="M62" s="451"/>
      <c r="W62" s="13"/>
      <c r="X62" s="13"/>
      <c r="Y62" s="13"/>
      <c r="Z62" s="13"/>
      <c r="AA62" s="13"/>
      <c r="AB62" s="13"/>
    </row>
    <row r="63" spans="1:28">
      <c r="A63" s="175" t="s">
        <v>998</v>
      </c>
      <c r="B63" s="4">
        <v>0</v>
      </c>
      <c r="C63" s="410" t="s">
        <v>58</v>
      </c>
      <c r="D63" s="410" t="s">
        <v>58</v>
      </c>
      <c r="E63" s="410" t="s">
        <v>58</v>
      </c>
      <c r="F63" s="410" t="s">
        <v>58</v>
      </c>
      <c r="G63" s="408">
        <v>3818</v>
      </c>
      <c r="I63" s="451"/>
      <c r="J63" s="451"/>
      <c r="K63" s="451"/>
      <c r="L63" s="451"/>
      <c r="M63" s="451"/>
      <c r="W63" s="13"/>
      <c r="X63" s="13"/>
      <c r="Y63" s="13"/>
      <c r="Z63" s="13"/>
      <c r="AA63" s="13"/>
      <c r="AB63" s="13"/>
    </row>
    <row r="64" spans="1:28">
      <c r="A64" s="175" t="s">
        <v>999</v>
      </c>
      <c r="B64" s="4">
        <v>0</v>
      </c>
      <c r="C64" s="410" t="s">
        <v>58</v>
      </c>
      <c r="D64" s="410" t="s">
        <v>58</v>
      </c>
      <c r="E64" s="410" t="s">
        <v>58</v>
      </c>
      <c r="F64" s="410">
        <f>$B54*F3+$C54*F3+$D54*F3+$E54*30</f>
        <v>1879.2017999999998</v>
      </c>
      <c r="G64" s="408">
        <f>$B54*G3+$C54*G3+$D54*G3+$E54*30</f>
        <v>2326.4513999999999</v>
      </c>
      <c r="I64" s="451"/>
      <c r="J64" s="451"/>
      <c r="K64" s="451"/>
      <c r="L64" s="451"/>
      <c r="M64" s="451"/>
      <c r="W64" s="13"/>
      <c r="X64" s="13"/>
      <c r="Y64" s="13"/>
      <c r="Z64" s="13"/>
      <c r="AA64" s="13"/>
      <c r="AB64" s="13"/>
    </row>
    <row r="65" spans="1:28">
      <c r="A65" s="175" t="s">
        <v>1000</v>
      </c>
      <c r="B65" s="4">
        <v>0</v>
      </c>
      <c r="C65" s="410" t="s">
        <v>58</v>
      </c>
      <c r="D65" s="410" t="s">
        <v>58</v>
      </c>
      <c r="E65" s="410" t="s">
        <v>58</v>
      </c>
      <c r="F65" s="410">
        <f>$B44*F3+$C44*F3+$D44*F3+$E44*30</f>
        <v>2119.9229999999998</v>
      </c>
      <c r="G65" s="408">
        <f>$B44*G3+$C44*G3+$D44*G3+$E44*30</f>
        <v>2953.1790000000001</v>
      </c>
      <c r="I65" s="451"/>
      <c r="J65" s="451"/>
      <c r="K65" s="451"/>
      <c r="L65" s="451"/>
      <c r="M65" s="451"/>
      <c r="W65" s="13"/>
      <c r="X65" s="13"/>
      <c r="Y65" s="13"/>
      <c r="Z65" s="13"/>
      <c r="AA65" s="13"/>
      <c r="AB65" s="13"/>
    </row>
    <row r="66" spans="1:28">
      <c r="A66" s="175" t="s">
        <v>1001</v>
      </c>
      <c r="B66" s="4">
        <v>0</v>
      </c>
      <c r="C66" s="410"/>
      <c r="D66" s="410"/>
      <c r="E66" s="410"/>
      <c r="F66" s="410"/>
      <c r="G66" s="408" t="s">
        <v>58</v>
      </c>
      <c r="I66" s="451"/>
      <c r="J66" s="451"/>
      <c r="K66" s="451"/>
      <c r="L66" s="451"/>
      <c r="M66" s="451"/>
      <c r="W66" s="13"/>
      <c r="X66" s="13"/>
      <c r="Y66" s="13"/>
      <c r="Z66" s="13"/>
      <c r="AA66" s="13"/>
      <c r="AB66" s="13"/>
    </row>
    <row r="67" spans="1:28">
      <c r="A67" s="175" t="s">
        <v>1002</v>
      </c>
      <c r="B67" s="4">
        <v>0</v>
      </c>
      <c r="C67" s="410"/>
      <c r="D67" s="410"/>
      <c r="E67" s="410"/>
      <c r="F67" s="410"/>
      <c r="G67" s="408" t="s">
        <v>58</v>
      </c>
      <c r="I67" s="451"/>
      <c r="J67" s="451"/>
      <c r="K67" s="451"/>
      <c r="L67" s="451"/>
      <c r="M67" s="451"/>
      <c r="W67" s="13"/>
      <c r="X67" s="13"/>
      <c r="Y67" s="13"/>
      <c r="Z67" s="13"/>
      <c r="AA67" s="13"/>
      <c r="AB67" s="13"/>
    </row>
    <row r="68" spans="1:28">
      <c r="A68" s="175" t="s">
        <v>991</v>
      </c>
      <c r="B68" s="4">
        <v>0</v>
      </c>
      <c r="C68" s="410">
        <f>$B45*C3</f>
        <v>2.48184</v>
      </c>
      <c r="D68" s="410">
        <f t="shared" ref="D68:E68" si="3">$B45*D3</f>
        <v>41.364000000000004</v>
      </c>
      <c r="E68" s="410">
        <f t="shared" si="3"/>
        <v>206.82</v>
      </c>
      <c r="F68" s="410" t="s">
        <v>58</v>
      </c>
      <c r="G68" s="408" t="s">
        <v>58</v>
      </c>
      <c r="I68" s="451"/>
      <c r="J68" s="451"/>
      <c r="K68" s="451"/>
      <c r="L68" s="451"/>
      <c r="M68" s="451"/>
      <c r="W68" s="13"/>
      <c r="X68" s="13"/>
      <c r="Y68" s="13"/>
      <c r="Z68" s="13"/>
      <c r="AA68" s="13"/>
      <c r="AB68" s="13"/>
    </row>
    <row r="69" spans="1:28" ht="17" thickBot="1">
      <c r="A69" s="187" t="s">
        <v>992</v>
      </c>
      <c r="B69" s="179">
        <v>0</v>
      </c>
      <c r="C69" s="409">
        <f>$B46*C3</f>
        <v>3.1994279999999997</v>
      </c>
      <c r="D69" s="409">
        <f t="shared" ref="D69:E69" si="4">$B46*D3</f>
        <v>53.323799999999999</v>
      </c>
      <c r="E69" s="409">
        <f t="shared" si="4"/>
        <v>266.61899999999997</v>
      </c>
      <c r="F69" s="409" t="s">
        <v>58</v>
      </c>
      <c r="G69" s="411" t="s">
        <v>58</v>
      </c>
      <c r="I69" s="451"/>
      <c r="J69" s="451"/>
      <c r="K69" s="451"/>
      <c r="L69" s="451"/>
      <c r="M69" s="451"/>
      <c r="W69" s="13"/>
      <c r="X69" s="13"/>
      <c r="Y69" s="13"/>
      <c r="Z69" s="13"/>
      <c r="AA69" s="13"/>
      <c r="AB69" s="13"/>
    </row>
    <row r="70" spans="1:28">
      <c r="C70" s="4"/>
      <c r="E70" s="4"/>
      <c r="F70" s="6"/>
      <c r="G70" s="4"/>
      <c r="W70" s="13"/>
      <c r="X70" s="13"/>
      <c r="Y70" s="13"/>
      <c r="Z70" s="13"/>
      <c r="AA70" s="13"/>
      <c r="AB70" s="13"/>
    </row>
    <row r="71" spans="1:28" ht="16" customHeight="1">
      <c r="A71" s="314"/>
      <c r="B71" s="314"/>
      <c r="C71" s="314"/>
      <c r="W71" s="13"/>
      <c r="X71" s="13"/>
      <c r="Y71" s="13"/>
      <c r="Z71" s="13"/>
      <c r="AA71" s="13"/>
      <c r="AB71" s="13"/>
    </row>
    <row r="72" spans="1:28" ht="17" thickBot="1">
      <c r="B72" s="80"/>
      <c r="C72" s="80"/>
      <c r="D72" s="80"/>
      <c r="E72" s="80"/>
      <c r="F72" s="80"/>
      <c r="G72" s="80"/>
      <c r="W72" s="13"/>
      <c r="X72" s="13"/>
      <c r="Y72" s="13"/>
      <c r="Z72" s="13"/>
      <c r="AA72" s="13"/>
      <c r="AB72" s="13"/>
    </row>
    <row r="73" spans="1:28">
      <c r="A73" s="271" t="s">
        <v>109</v>
      </c>
      <c r="B73" s="239" t="s">
        <v>97</v>
      </c>
      <c r="C73" s="239" t="s">
        <v>98</v>
      </c>
      <c r="D73" s="239" t="s">
        <v>99</v>
      </c>
      <c r="E73" s="239" t="s">
        <v>100</v>
      </c>
      <c r="F73" s="239" t="s">
        <v>101</v>
      </c>
      <c r="G73" s="240" t="s">
        <v>102</v>
      </c>
      <c r="W73" s="13"/>
      <c r="X73" s="13"/>
      <c r="Y73" s="13"/>
      <c r="Z73" s="13"/>
      <c r="AA73" s="13"/>
      <c r="AB73" s="13"/>
    </row>
    <row r="74" spans="1:28" ht="16" customHeight="1" thickBot="1">
      <c r="A74" s="198" t="s">
        <v>78</v>
      </c>
      <c r="B74" s="199">
        <v>0</v>
      </c>
      <c r="C74" s="259">
        <f>AVERAGE(C60:C61)</f>
        <v>0.8747640000000001</v>
      </c>
      <c r="D74" s="259">
        <f>AVERAGE(D60:D61)</f>
        <v>14.579400000000001</v>
      </c>
      <c r="E74" s="259">
        <f>AVERAGE(E60:E61)</f>
        <v>72.897000000000006</v>
      </c>
      <c r="F74" s="259">
        <f>AVERAGE(F58:F59)</f>
        <v>513.11159999999995</v>
      </c>
      <c r="G74" s="260">
        <f>AVERAGE(G58:G59)</f>
        <v>922.18679999999995</v>
      </c>
      <c r="J74" s="443"/>
      <c r="K74" s="443"/>
      <c r="L74" s="443"/>
      <c r="M74" s="443"/>
      <c r="N74" s="443"/>
      <c r="O74" s="443"/>
      <c r="P74" s="443"/>
      <c r="Q74" s="443"/>
      <c r="W74" s="13"/>
      <c r="X74" s="13"/>
      <c r="Y74" s="13"/>
      <c r="Z74" s="13"/>
      <c r="AA74" s="13"/>
      <c r="AB74" s="13"/>
    </row>
    <row r="75" spans="1:28" ht="16" customHeight="1">
      <c r="E75" s="4"/>
      <c r="J75" s="443"/>
      <c r="K75" s="443"/>
      <c r="L75" s="443"/>
      <c r="M75" s="443"/>
      <c r="N75" s="443"/>
      <c r="O75" s="443"/>
      <c r="P75" s="443"/>
      <c r="Q75" s="443"/>
    </row>
    <row r="76" spans="1:28" ht="16" customHeight="1">
      <c r="J76" s="443"/>
      <c r="K76" s="443"/>
      <c r="L76" s="443"/>
      <c r="M76" s="443"/>
      <c r="N76" s="443"/>
      <c r="O76" s="443"/>
      <c r="P76" s="443"/>
      <c r="Q76" s="443"/>
    </row>
    <row r="77" spans="1:28" ht="16" customHeight="1">
      <c r="A77" s="41"/>
      <c r="C77" s="4"/>
      <c r="E77" s="4"/>
      <c r="F77" s="6"/>
      <c r="G77" s="6"/>
      <c r="J77" s="443"/>
      <c r="K77" s="443"/>
      <c r="L77" s="443"/>
      <c r="M77" s="443"/>
      <c r="N77" s="443"/>
      <c r="O77" s="443"/>
      <c r="P77" s="443"/>
      <c r="Q77" s="443"/>
    </row>
    <row r="78" spans="1:28" ht="16" customHeight="1">
      <c r="A78" s="41"/>
      <c r="C78" s="4"/>
      <c r="E78" s="4"/>
      <c r="F78" s="6"/>
      <c r="G78" s="6"/>
      <c r="J78" s="443"/>
      <c r="K78" s="443"/>
      <c r="L78" s="443"/>
      <c r="M78" s="443"/>
      <c r="N78" s="443"/>
      <c r="O78" s="443"/>
      <c r="P78" s="443"/>
      <c r="Q78" s="443"/>
    </row>
    <row r="79" spans="1:28" ht="16" customHeight="1">
      <c r="A79" s="41"/>
      <c r="C79" s="4"/>
      <c r="E79" s="4"/>
      <c r="F79" s="6"/>
      <c r="G79" s="4"/>
      <c r="J79" s="443"/>
      <c r="K79" s="443"/>
      <c r="L79" s="443"/>
      <c r="M79" s="443"/>
      <c r="N79" s="443"/>
      <c r="O79" s="443"/>
      <c r="P79" s="443"/>
      <c r="Q79" s="443"/>
    </row>
    <row r="80" spans="1:28" ht="16" customHeight="1">
      <c r="A80" s="41"/>
      <c r="C80" s="4"/>
      <c r="D80" s="2"/>
      <c r="E80" s="2"/>
      <c r="F80" s="2"/>
      <c r="G80" s="2"/>
      <c r="H80" s="2"/>
      <c r="J80" s="443"/>
      <c r="K80" s="443"/>
      <c r="L80" s="443"/>
      <c r="M80" s="443"/>
      <c r="N80" s="443"/>
      <c r="O80" s="443"/>
      <c r="P80" s="443"/>
      <c r="Q80" s="443"/>
    </row>
    <row r="81" spans="1:28" ht="16" customHeight="1">
      <c r="A81" s="41"/>
      <c r="C81" s="4"/>
      <c r="D81" s="2"/>
      <c r="E81" s="2"/>
      <c r="F81" s="2"/>
      <c r="G81" s="2"/>
      <c r="H81" s="2"/>
      <c r="J81" s="443"/>
      <c r="K81" s="443"/>
      <c r="L81" s="443"/>
      <c r="M81" s="443"/>
      <c r="N81" s="443"/>
      <c r="O81" s="443"/>
      <c r="P81" s="443"/>
      <c r="Q81" s="443"/>
    </row>
    <row r="82" spans="1:28" ht="16" customHeight="1">
      <c r="A82" s="41"/>
      <c r="C82" s="4"/>
      <c r="D82" s="2"/>
      <c r="E82" s="2"/>
      <c r="F82" s="2"/>
      <c r="G82" s="2"/>
      <c r="H82" s="2"/>
      <c r="J82" s="443"/>
      <c r="K82" s="443"/>
      <c r="L82" s="443"/>
      <c r="M82" s="443"/>
      <c r="N82" s="443"/>
      <c r="O82" s="443"/>
      <c r="P82" s="443"/>
      <c r="Q82" s="443"/>
      <c r="W82" s="2"/>
      <c r="X82" s="2"/>
      <c r="Y82" s="2"/>
      <c r="Z82" s="2"/>
      <c r="AA82" s="2"/>
      <c r="AB82" s="2"/>
    </row>
    <row r="83" spans="1:28" ht="16" customHeight="1">
      <c r="A83" s="41"/>
      <c r="C83" s="4"/>
      <c r="D83" s="2"/>
      <c r="E83" s="2"/>
      <c r="F83" s="2"/>
      <c r="G83" s="2"/>
      <c r="H83" s="2"/>
      <c r="J83" s="443"/>
      <c r="K83" s="443"/>
      <c r="L83" s="443"/>
      <c r="M83" s="443"/>
      <c r="N83" s="443"/>
      <c r="O83" s="443"/>
      <c r="P83" s="443"/>
      <c r="Q83" s="443"/>
      <c r="W83" s="2"/>
      <c r="X83" s="2"/>
      <c r="Y83" s="2"/>
      <c r="Z83" s="2"/>
      <c r="AA83" s="2"/>
      <c r="AB83" s="2"/>
    </row>
    <row r="84" spans="1:28" ht="16" customHeight="1">
      <c r="C84" s="4"/>
      <c r="D84" s="2"/>
      <c r="E84" s="2"/>
      <c r="F84" s="2"/>
      <c r="G84" s="2"/>
      <c r="H84" s="2"/>
      <c r="J84" s="443"/>
      <c r="K84" s="443"/>
      <c r="L84" s="443"/>
      <c r="M84" s="443"/>
      <c r="N84" s="443"/>
      <c r="O84" s="443"/>
      <c r="P84" s="443"/>
      <c r="Q84" s="443"/>
      <c r="W84" s="2"/>
      <c r="X84" s="2"/>
      <c r="Y84" s="2"/>
      <c r="Z84" s="2"/>
      <c r="AA84" s="2"/>
      <c r="AB84" s="2"/>
    </row>
    <row r="85" spans="1:28" ht="16" customHeight="1">
      <c r="J85" s="443"/>
      <c r="K85" s="443"/>
      <c r="L85" s="443"/>
      <c r="M85" s="443"/>
      <c r="N85" s="443"/>
      <c r="O85" s="443"/>
      <c r="P85" s="443"/>
      <c r="Q85" s="443"/>
      <c r="W85" s="2"/>
      <c r="X85" s="2"/>
      <c r="Y85" s="2"/>
      <c r="Z85" s="2"/>
      <c r="AA85" s="2"/>
      <c r="AB85" s="2"/>
    </row>
    <row r="86" spans="1:28" ht="16" customHeight="1">
      <c r="A86" s="61"/>
      <c r="J86" s="443"/>
      <c r="K86" s="443"/>
      <c r="L86" s="443"/>
      <c r="M86" s="443"/>
      <c r="N86" s="443"/>
      <c r="O86" s="443"/>
      <c r="P86" s="443"/>
      <c r="Q86" s="443"/>
      <c r="W86" s="2"/>
      <c r="X86" s="2"/>
      <c r="Y86" s="2"/>
      <c r="Z86" s="2"/>
      <c r="AA86" s="2"/>
      <c r="AB86" s="2"/>
    </row>
    <row r="87" spans="1:28" ht="16" customHeight="1">
      <c r="J87" s="443"/>
      <c r="K87" s="443"/>
      <c r="L87" s="443"/>
      <c r="M87" s="443"/>
      <c r="N87" s="443"/>
      <c r="O87" s="443"/>
      <c r="P87" s="443"/>
      <c r="Q87" s="443"/>
      <c r="W87" s="2"/>
      <c r="X87" s="2"/>
      <c r="Y87" s="2"/>
      <c r="Z87" s="2"/>
      <c r="AA87" s="2"/>
      <c r="AB87" s="2"/>
    </row>
    <row r="89" spans="1:28" ht="16" customHeight="1">
      <c r="J89" s="442"/>
      <c r="K89" s="2"/>
      <c r="L89" s="2"/>
      <c r="M89" s="2"/>
      <c r="N89" s="2"/>
      <c r="O89" s="2"/>
      <c r="P89" s="2"/>
      <c r="Q89" s="2"/>
      <c r="R89" s="171"/>
    </row>
    <row r="90" spans="1:28" ht="16" customHeight="1">
      <c r="J90" s="2"/>
      <c r="K90" s="2"/>
      <c r="L90" s="2"/>
      <c r="M90" s="2"/>
      <c r="N90" s="2"/>
      <c r="O90" s="2"/>
      <c r="P90" s="2"/>
      <c r="Q90" s="2"/>
      <c r="R90" s="171"/>
      <c r="T90" s="2"/>
      <c r="U90" s="2"/>
      <c r="V90" s="2"/>
      <c r="W90" s="2"/>
      <c r="X90" s="2"/>
    </row>
    <row r="91" spans="1:28" ht="16" customHeight="1">
      <c r="A91" s="576"/>
      <c r="B91" s="576"/>
      <c r="C91" s="576"/>
      <c r="D91" s="576"/>
      <c r="E91" s="576"/>
      <c r="F91" s="576"/>
      <c r="G91" s="576"/>
      <c r="J91" s="2"/>
      <c r="K91" s="2"/>
      <c r="L91" s="2"/>
      <c r="M91" s="2"/>
      <c r="N91" s="2"/>
      <c r="O91" s="2"/>
      <c r="P91" s="2"/>
      <c r="Q91" s="2"/>
      <c r="R91" s="171"/>
      <c r="T91" s="2"/>
      <c r="U91" s="2"/>
      <c r="V91" s="2"/>
      <c r="W91" s="2"/>
      <c r="X91" s="2"/>
    </row>
    <row r="92" spans="1:28" ht="16" customHeight="1">
      <c r="A92" s="80"/>
      <c r="B92" s="80"/>
      <c r="C92" s="80"/>
      <c r="D92" s="80"/>
      <c r="E92" s="80"/>
      <c r="F92" s="80"/>
      <c r="G92" s="80"/>
      <c r="J92" s="2"/>
      <c r="K92" s="2"/>
      <c r="L92" s="2"/>
      <c r="M92" s="2"/>
      <c r="N92" s="2"/>
      <c r="O92" s="2"/>
      <c r="P92" s="2"/>
      <c r="Q92" s="2"/>
      <c r="R92" s="171"/>
      <c r="T92" s="2"/>
      <c r="U92" s="2"/>
      <c r="V92" s="2"/>
      <c r="W92" s="2"/>
      <c r="X92" s="2"/>
    </row>
    <row r="93" spans="1:28" ht="16" customHeight="1">
      <c r="C93" s="4"/>
      <c r="E93" s="4"/>
      <c r="F93" s="6"/>
      <c r="G93" s="4"/>
      <c r="J93" s="2"/>
      <c r="K93" s="2"/>
      <c r="L93" s="2"/>
      <c r="M93" s="2"/>
      <c r="N93" s="2"/>
      <c r="O93" s="2"/>
      <c r="P93" s="2"/>
      <c r="Q93" s="2"/>
      <c r="R93" s="171"/>
      <c r="T93" s="2"/>
      <c r="U93" s="2"/>
      <c r="V93" s="2"/>
      <c r="W93" s="2"/>
      <c r="X93" s="2"/>
    </row>
    <row r="94" spans="1:28" ht="16" customHeight="1">
      <c r="C94" s="4"/>
      <c r="E94" s="4"/>
      <c r="F94" s="6"/>
      <c r="G94" s="4"/>
      <c r="J94" s="2"/>
      <c r="K94" s="2"/>
      <c r="L94" s="2"/>
      <c r="M94" s="2"/>
      <c r="N94" s="2"/>
      <c r="O94" s="2"/>
      <c r="P94" s="2"/>
      <c r="Q94" s="2"/>
      <c r="R94" s="171"/>
    </row>
    <row r="95" spans="1:28" ht="16" customHeight="1">
      <c r="C95" s="4"/>
      <c r="E95" s="4"/>
      <c r="F95" s="4"/>
      <c r="G95" s="4"/>
      <c r="J95" s="2"/>
      <c r="K95" s="2"/>
      <c r="L95" s="2"/>
      <c r="M95" s="2"/>
      <c r="N95" s="2"/>
      <c r="O95" s="2"/>
      <c r="P95" s="2"/>
      <c r="Q95" s="2"/>
      <c r="R95" s="171"/>
    </row>
    <row r="96" spans="1:28" ht="16" customHeight="1">
      <c r="C96" s="4"/>
      <c r="E96" s="4"/>
      <c r="F96" s="6"/>
      <c r="G96" s="4"/>
      <c r="J96" s="2"/>
      <c r="K96" s="2"/>
      <c r="L96" s="2"/>
      <c r="M96" s="2"/>
      <c r="N96" s="2"/>
      <c r="O96" s="2"/>
      <c r="P96" s="2"/>
      <c r="Q96" s="2"/>
      <c r="R96" s="171"/>
    </row>
    <row r="97" spans="3:18" ht="16" customHeight="1">
      <c r="C97" s="4"/>
      <c r="E97" s="4"/>
      <c r="F97" s="6"/>
      <c r="G97" s="6"/>
      <c r="J97" s="2"/>
      <c r="K97" s="2"/>
      <c r="L97" s="2"/>
      <c r="M97" s="2"/>
      <c r="N97" s="2"/>
      <c r="O97" s="2"/>
      <c r="P97" s="2"/>
      <c r="Q97" s="2"/>
      <c r="R97" s="171"/>
    </row>
    <row r="98" spans="3:18" ht="16" customHeight="1">
      <c r="C98" s="4"/>
      <c r="E98" s="4"/>
      <c r="F98" s="6"/>
      <c r="G98" s="6"/>
      <c r="J98" s="2"/>
      <c r="K98" s="2"/>
      <c r="L98" s="2"/>
      <c r="M98" s="2"/>
      <c r="N98" s="2"/>
      <c r="O98" s="2"/>
      <c r="P98" s="2"/>
      <c r="Q98" s="2"/>
      <c r="R98" s="171"/>
    </row>
    <row r="99" spans="3:18" ht="16" customHeight="1">
      <c r="C99" s="4"/>
      <c r="E99" s="4"/>
      <c r="F99" s="6"/>
      <c r="G99" s="4"/>
      <c r="J99" s="2"/>
      <c r="K99" s="2"/>
      <c r="L99" s="2"/>
      <c r="M99" s="2"/>
      <c r="N99" s="2"/>
      <c r="O99" s="2"/>
      <c r="P99" s="2"/>
      <c r="Q99" s="2"/>
      <c r="R99" s="171"/>
    </row>
    <row r="100" spans="3:18">
      <c r="C100" s="4"/>
      <c r="E100" s="4"/>
      <c r="F100" s="4"/>
      <c r="G100" s="4"/>
      <c r="J100" s="2"/>
      <c r="K100" s="2"/>
      <c r="L100" s="2"/>
      <c r="M100" s="2"/>
      <c r="N100" s="2"/>
      <c r="O100" s="2"/>
      <c r="P100" s="2"/>
      <c r="Q100" s="2"/>
    </row>
    <row r="101" spans="3:18">
      <c r="C101" s="4"/>
      <c r="E101" s="4"/>
      <c r="F101" s="4"/>
      <c r="G101" s="4"/>
      <c r="J101" s="2"/>
      <c r="K101" s="2"/>
      <c r="L101" s="2"/>
      <c r="M101" s="2"/>
      <c r="N101" s="2"/>
      <c r="O101" s="2"/>
      <c r="P101" s="2"/>
      <c r="Q101" s="2"/>
    </row>
    <row r="102" spans="3:18">
      <c r="C102" s="4"/>
      <c r="E102" s="4"/>
      <c r="F102" s="6"/>
      <c r="G102" s="4"/>
      <c r="J102" s="2"/>
      <c r="K102" s="2"/>
      <c r="L102" s="2"/>
      <c r="M102" s="2"/>
      <c r="N102" s="2"/>
      <c r="O102" s="2"/>
      <c r="P102" s="2"/>
      <c r="Q102" s="2"/>
    </row>
    <row r="103" spans="3:18">
      <c r="C103" s="4"/>
      <c r="E103" s="4"/>
      <c r="F103" s="6"/>
      <c r="G103" s="4"/>
      <c r="J103" s="2"/>
      <c r="K103" s="2"/>
      <c r="L103" s="2"/>
      <c r="M103" s="2"/>
      <c r="N103" s="2"/>
      <c r="O103" s="2"/>
      <c r="P103" s="2"/>
      <c r="Q103" s="2"/>
    </row>
    <row r="104" spans="3:18">
      <c r="C104" s="4"/>
      <c r="E104" s="4"/>
      <c r="F104" s="6"/>
      <c r="G104" s="6"/>
      <c r="J104" s="2"/>
      <c r="K104" s="2"/>
      <c r="L104" s="2"/>
      <c r="M104" s="2"/>
      <c r="N104" s="2"/>
      <c r="O104" s="2"/>
      <c r="P104" s="2"/>
      <c r="Q104" s="2"/>
    </row>
    <row r="107" spans="3:18">
      <c r="J107" s="7"/>
    </row>
  </sheetData>
  <mergeCells count="18">
    <mergeCell ref="Y19:AC22"/>
    <mergeCell ref="A16:D16"/>
    <mergeCell ref="Y29:AC32"/>
    <mergeCell ref="B25:D25"/>
    <mergeCell ref="B24:G24"/>
    <mergeCell ref="A32:C32"/>
    <mergeCell ref="E25:G25"/>
    <mergeCell ref="A23:I23"/>
    <mergeCell ref="L23:Q36"/>
    <mergeCell ref="F9:H17"/>
    <mergeCell ref="H40:M47"/>
    <mergeCell ref="A91:G91"/>
    <mergeCell ref="A9:D9"/>
    <mergeCell ref="E11:E12"/>
    <mergeCell ref="E33:H37"/>
    <mergeCell ref="A39:F39"/>
    <mergeCell ref="A49:F49"/>
    <mergeCell ref="I57:M69"/>
  </mergeCells>
  <phoneticPr fontId="11" type="noConversion"/>
  <hyperlinks>
    <hyperlink ref="K6" r:id="rId1" xr:uid="{DC2D03FD-B65E-4E4D-A1B5-A9ECD346A15A}"/>
  </hyperlinks>
  <pageMargins left="0.7" right="0.7" top="0.75" bottom="0.75" header="0.3" footer="0.3"/>
  <pageSetup paperSize="9" orientation="portrait" horizontalDpi="0" verticalDpi="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6F0DF-10D5-2D46-AF1B-1D2EA779311F}">
  <dimension ref="A1:N15"/>
  <sheetViews>
    <sheetView zoomScale="186" workbookViewId="0">
      <selection activeCell="G12" sqref="G12"/>
    </sheetView>
  </sheetViews>
  <sheetFormatPr baseColWidth="10" defaultRowHeight="16"/>
  <cols>
    <col min="1" max="1" width="24.1640625" customWidth="1"/>
    <col min="2" max="2" width="22.5" customWidth="1"/>
  </cols>
  <sheetData>
    <row r="1" spans="1:14">
      <c r="A1" s="172"/>
      <c r="B1" s="253" t="s">
        <v>97</v>
      </c>
      <c r="C1" s="253" t="s">
        <v>98</v>
      </c>
      <c r="D1" s="253" t="s">
        <v>99</v>
      </c>
      <c r="E1" s="253" t="s">
        <v>100</v>
      </c>
      <c r="F1" s="253" t="s">
        <v>101</v>
      </c>
      <c r="G1" s="253" t="s">
        <v>102</v>
      </c>
      <c r="H1" s="174" t="s">
        <v>199</v>
      </c>
    </row>
    <row r="2" spans="1:14">
      <c r="A2" s="175" t="s">
        <v>103</v>
      </c>
      <c r="B2" s="4">
        <v>0</v>
      </c>
      <c r="C2" s="4">
        <v>1.2E-2</v>
      </c>
      <c r="D2" s="4">
        <v>0.2</v>
      </c>
      <c r="E2" s="4">
        <v>1</v>
      </c>
      <c r="F2" s="4">
        <v>3.4</v>
      </c>
      <c r="G2" s="4">
        <v>8.1999999999999993</v>
      </c>
      <c r="H2" s="176" t="s">
        <v>200</v>
      </c>
    </row>
    <row r="3" spans="1:14" ht="35" thickBot="1">
      <c r="A3" s="178" t="s">
        <v>110</v>
      </c>
      <c r="B3" s="179">
        <v>0</v>
      </c>
      <c r="C3" s="179">
        <f>C2*30</f>
        <v>0.36</v>
      </c>
      <c r="D3" s="179">
        <f t="shared" ref="D3:G3" si="0">D2*30</f>
        <v>6</v>
      </c>
      <c r="E3" s="179">
        <f t="shared" si="0"/>
        <v>30</v>
      </c>
      <c r="F3" s="179">
        <f t="shared" si="0"/>
        <v>102</v>
      </c>
      <c r="G3" s="179">
        <f t="shared" si="0"/>
        <v>245.99999999999997</v>
      </c>
      <c r="H3" s="180" t="s">
        <v>200</v>
      </c>
    </row>
    <row r="4" spans="1:14" ht="17" thickBot="1"/>
    <row r="5" spans="1:14">
      <c r="A5" s="172"/>
      <c r="B5" s="174" t="s">
        <v>805</v>
      </c>
      <c r="C5" s="4"/>
      <c r="D5" s="4"/>
      <c r="E5" s="4"/>
      <c r="F5" s="4"/>
      <c r="G5" s="4"/>
    </row>
    <row r="6" spans="1:14">
      <c r="A6" s="175" t="s">
        <v>804</v>
      </c>
      <c r="B6" s="176">
        <v>0.316</v>
      </c>
      <c r="C6" s="4"/>
      <c r="D6" s="4"/>
      <c r="E6" s="4"/>
      <c r="F6" s="4"/>
      <c r="G6" s="4"/>
    </row>
    <row r="7" spans="1:14" ht="17" thickBot="1">
      <c r="A7" s="187" t="s">
        <v>806</v>
      </c>
      <c r="B7" s="180">
        <v>0.33600000000000002</v>
      </c>
      <c r="C7" s="4"/>
      <c r="D7" s="4"/>
      <c r="E7" s="4"/>
      <c r="F7" s="4"/>
      <c r="G7" s="4"/>
    </row>
    <row r="8" spans="1:14">
      <c r="A8" s="4"/>
      <c r="B8" s="4"/>
      <c r="C8" s="4"/>
      <c r="D8" s="4"/>
      <c r="E8" s="4"/>
      <c r="F8" s="4"/>
      <c r="G8" s="4"/>
    </row>
    <row r="9" spans="1:14">
      <c r="A9" s="59"/>
      <c r="B9" s="4"/>
      <c r="C9" s="4"/>
      <c r="D9" s="4"/>
      <c r="E9" s="4"/>
      <c r="F9" s="4"/>
      <c r="G9" s="4"/>
    </row>
    <row r="10" spans="1:14">
      <c r="A10" s="4"/>
      <c r="B10" s="4"/>
      <c r="C10" s="4"/>
      <c r="D10" s="4"/>
      <c r="E10" s="4"/>
      <c r="F10" s="4"/>
      <c r="G10" s="4"/>
    </row>
    <row r="11" spans="1:14">
      <c r="A11" s="132" t="s">
        <v>109</v>
      </c>
      <c r="B11" s="130" t="s">
        <v>97</v>
      </c>
      <c r="C11" s="130" t="s">
        <v>98</v>
      </c>
      <c r="D11" s="130" t="s">
        <v>99</v>
      </c>
      <c r="E11" s="130" t="s">
        <v>100</v>
      </c>
      <c r="F11" s="130" t="s">
        <v>101</v>
      </c>
      <c r="G11" s="131" t="s">
        <v>102</v>
      </c>
      <c r="I11" s="272"/>
      <c r="J11" s="273"/>
      <c r="K11" s="273"/>
      <c r="L11" s="273"/>
      <c r="M11" s="273"/>
      <c r="N11" s="273"/>
    </row>
    <row r="12" spans="1:14">
      <c r="A12" s="108" t="s">
        <v>59</v>
      </c>
      <c r="B12" s="109">
        <v>0</v>
      </c>
      <c r="C12" s="109">
        <f>$B6*C3</f>
        <v>0.11376</v>
      </c>
      <c r="D12" s="109">
        <f t="shared" ref="D12" si="1">$B6*D3</f>
        <v>1.8959999999999999</v>
      </c>
      <c r="E12" s="109">
        <f>$B6*E3</f>
        <v>9.48</v>
      </c>
      <c r="F12" s="109">
        <f>100*$B6+(F3-100)*$B7</f>
        <v>32.271999999999998</v>
      </c>
      <c r="G12" s="109">
        <f>100*$B6+(G3-100)*$B7</f>
        <v>80.655999999999992</v>
      </c>
      <c r="I12" s="273"/>
      <c r="J12" s="273"/>
      <c r="K12" s="273"/>
      <c r="L12" s="273"/>
      <c r="M12" s="273"/>
      <c r="N12" s="273"/>
    </row>
    <row r="13" spans="1:14">
      <c r="A13" s="4"/>
      <c r="B13" s="4"/>
      <c r="C13" s="4"/>
      <c r="D13" s="4"/>
      <c r="E13" s="4"/>
      <c r="F13" s="4"/>
      <c r="G13" s="4"/>
      <c r="I13" s="273"/>
      <c r="J13" s="273"/>
      <c r="K13" s="273"/>
      <c r="L13" s="273"/>
      <c r="M13" s="273"/>
      <c r="N13" s="273"/>
    </row>
    <row r="14" spans="1:14">
      <c r="I14" s="273"/>
      <c r="J14" s="273"/>
      <c r="K14" s="273"/>
      <c r="L14" s="273"/>
      <c r="M14" s="273"/>
      <c r="N14" s="273"/>
    </row>
    <row r="15" spans="1:14">
      <c r="I15" s="273"/>
      <c r="J15" s="273"/>
      <c r="K15" s="273"/>
      <c r="L15" s="273"/>
      <c r="M15" s="273"/>
      <c r="N15" s="273"/>
    </row>
  </sheetData>
  <pageMargins left="0.7" right="0.7" top="0.75" bottom="0.75" header="0.3" footer="0.3"/>
  <pageSetup paperSize="9" orientation="portrait" horizontalDpi="0" verticalDpi="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65CD5-6676-7C4E-9C27-434CC25923B7}">
  <dimension ref="A1:N12"/>
  <sheetViews>
    <sheetView zoomScale="150" workbookViewId="0">
      <selection activeCell="I22" sqref="I22"/>
    </sheetView>
  </sheetViews>
  <sheetFormatPr baseColWidth="10" defaultRowHeight="16"/>
  <cols>
    <col min="1" max="1" width="20" customWidth="1"/>
  </cols>
  <sheetData>
    <row r="1" spans="1:14">
      <c r="A1" s="172"/>
      <c r="B1" s="253" t="s">
        <v>97</v>
      </c>
      <c r="C1" s="253" t="s">
        <v>98</v>
      </c>
      <c r="D1" s="253" t="s">
        <v>99</v>
      </c>
      <c r="E1" s="253" t="s">
        <v>100</v>
      </c>
      <c r="F1" s="253" t="s">
        <v>101</v>
      </c>
      <c r="G1" s="253" t="s">
        <v>102</v>
      </c>
      <c r="H1" s="174" t="s">
        <v>199</v>
      </c>
    </row>
    <row r="2" spans="1:14">
      <c r="A2" s="175" t="s">
        <v>103</v>
      </c>
      <c r="B2" s="4">
        <v>0</v>
      </c>
      <c r="C2" s="4">
        <v>1.2E-2</v>
      </c>
      <c r="D2" s="4">
        <v>0.2</v>
      </c>
      <c r="E2" s="4">
        <v>1</v>
      </c>
      <c r="F2" s="4">
        <v>3.4</v>
      </c>
      <c r="G2" s="4">
        <v>8.1999999999999993</v>
      </c>
      <c r="H2" s="176" t="s">
        <v>200</v>
      </c>
    </row>
    <row r="3" spans="1:14" ht="35" thickBot="1">
      <c r="A3" s="178" t="s">
        <v>110</v>
      </c>
      <c r="B3" s="179">
        <v>0</v>
      </c>
      <c r="C3" s="179">
        <f>C2*30</f>
        <v>0.36</v>
      </c>
      <c r="D3" s="179">
        <f t="shared" ref="D3:G3" si="0">D2*30</f>
        <v>6</v>
      </c>
      <c r="E3" s="179">
        <f t="shared" si="0"/>
        <v>30</v>
      </c>
      <c r="F3" s="179">
        <f t="shared" si="0"/>
        <v>102</v>
      </c>
      <c r="G3" s="179">
        <f t="shared" si="0"/>
        <v>245.99999999999997</v>
      </c>
      <c r="H3" s="180" t="s">
        <v>200</v>
      </c>
    </row>
    <row r="4" spans="1:14" ht="17" thickBot="1"/>
    <row r="5" spans="1:14" ht="17" thickBot="1">
      <c r="A5" s="263" t="s">
        <v>286</v>
      </c>
      <c r="B5" s="264">
        <v>2.3E-2</v>
      </c>
      <c r="C5" s="265" t="s">
        <v>283</v>
      </c>
      <c r="D5" s="4"/>
      <c r="E5" s="4"/>
      <c r="G5" s="4"/>
      <c r="H5" s="27" t="s">
        <v>808</v>
      </c>
      <c r="I5" s="28"/>
      <c r="J5" s="26"/>
    </row>
    <row r="6" spans="1:14">
      <c r="A6" s="59"/>
      <c r="B6" s="4"/>
      <c r="C6" s="4"/>
      <c r="D6" s="4"/>
      <c r="E6" s="4"/>
      <c r="F6" s="4"/>
      <c r="G6" s="4"/>
    </row>
    <row r="7" spans="1:14" ht="17" thickBot="1">
      <c r="A7" s="4"/>
      <c r="B7" s="4"/>
      <c r="C7" s="4"/>
      <c r="D7" s="4"/>
      <c r="E7" s="4"/>
      <c r="F7" s="4"/>
      <c r="G7" s="4"/>
    </row>
    <row r="8" spans="1:14">
      <c r="A8" s="195" t="s">
        <v>109</v>
      </c>
      <c r="B8" s="239" t="s">
        <v>97</v>
      </c>
      <c r="C8" s="239" t="s">
        <v>98</v>
      </c>
      <c r="D8" s="239" t="s">
        <v>99</v>
      </c>
      <c r="E8" s="239" t="s">
        <v>100</v>
      </c>
      <c r="F8" s="239" t="s">
        <v>101</v>
      </c>
      <c r="G8" s="240" t="s">
        <v>102</v>
      </c>
      <c r="I8" s="501" t="s">
        <v>1134</v>
      </c>
      <c r="J8" s="502"/>
      <c r="K8" s="502"/>
      <c r="L8" s="502"/>
      <c r="M8" s="502"/>
      <c r="N8" s="502"/>
    </row>
    <row r="9" spans="1:14" ht="17" thickBot="1">
      <c r="A9" s="198" t="s">
        <v>59</v>
      </c>
      <c r="B9" s="199">
        <v>0</v>
      </c>
      <c r="C9" s="199">
        <f>$B5*C3</f>
        <v>8.2799999999999992E-3</v>
      </c>
      <c r="D9" s="199">
        <f t="shared" ref="D9:G9" si="1">$B5*D3</f>
        <v>0.13800000000000001</v>
      </c>
      <c r="E9" s="199">
        <f t="shared" si="1"/>
        <v>0.69</v>
      </c>
      <c r="F9" s="199">
        <f t="shared" si="1"/>
        <v>2.3460000000000001</v>
      </c>
      <c r="G9" s="200">
        <f t="shared" si="1"/>
        <v>5.6579999999999995</v>
      </c>
      <c r="I9" s="502"/>
      <c r="J9" s="502"/>
      <c r="K9" s="502"/>
      <c r="L9" s="502"/>
      <c r="M9" s="502"/>
      <c r="N9" s="502"/>
    </row>
    <row r="10" spans="1:14">
      <c r="A10" s="4"/>
      <c r="B10" s="4"/>
      <c r="C10" s="4"/>
      <c r="D10" s="4"/>
      <c r="E10" s="4"/>
      <c r="F10" s="4"/>
      <c r="G10" s="4"/>
      <c r="I10" s="502"/>
      <c r="J10" s="502"/>
      <c r="K10" s="502"/>
      <c r="L10" s="502"/>
      <c r="M10" s="502"/>
      <c r="N10" s="502"/>
    </row>
    <row r="11" spans="1:14">
      <c r="I11" s="502"/>
      <c r="J11" s="502"/>
      <c r="K11" s="502"/>
      <c r="L11" s="502"/>
      <c r="M11" s="502"/>
      <c r="N11" s="502"/>
    </row>
    <row r="12" spans="1:14">
      <c r="I12" s="502"/>
      <c r="J12" s="502"/>
      <c r="K12" s="502"/>
      <c r="L12" s="502"/>
      <c r="M12" s="502"/>
      <c r="N12" s="502"/>
    </row>
  </sheetData>
  <mergeCells count="1">
    <mergeCell ref="I8:N12"/>
  </mergeCells>
  <pageMargins left="0.7" right="0.7" top="0.75" bottom="0.75" header="0.3" footer="0.3"/>
  <pageSetup paperSize="9" orientation="portrait" horizontalDpi="0" verticalDpi="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D5EDB-02CB-9648-AFBD-2C75DC000EC7}">
  <dimension ref="A1:P46"/>
  <sheetViews>
    <sheetView topLeftCell="A8" zoomScale="110" workbookViewId="0">
      <selection activeCell="G47" sqref="G47:G48"/>
    </sheetView>
  </sheetViews>
  <sheetFormatPr baseColWidth="10" defaultRowHeight="16"/>
  <cols>
    <col min="1" max="1" width="26.5" customWidth="1"/>
    <col min="2" max="2" width="15.33203125" customWidth="1"/>
    <col min="3" max="3" width="13.83203125" customWidth="1"/>
    <col min="4" max="4" width="14.1640625" customWidth="1"/>
    <col min="5" max="5" width="13.5" customWidth="1"/>
    <col min="6" max="6" width="14.5" customWidth="1"/>
    <col min="8" max="8" width="47.33203125" customWidth="1"/>
    <col min="9" max="9" width="11.6640625" customWidth="1"/>
  </cols>
  <sheetData>
    <row r="1" spans="1:16">
      <c r="A1" s="172"/>
      <c r="B1" s="253" t="s">
        <v>97</v>
      </c>
      <c r="C1" s="253" t="s">
        <v>98</v>
      </c>
      <c r="D1" s="253" t="s">
        <v>99</v>
      </c>
      <c r="E1" s="253" t="s">
        <v>100</v>
      </c>
      <c r="F1" s="253" t="s">
        <v>101</v>
      </c>
      <c r="G1" s="253" t="s">
        <v>102</v>
      </c>
      <c r="H1" s="174" t="s">
        <v>199</v>
      </c>
    </row>
    <row r="2" spans="1:16">
      <c r="A2" s="175" t="s">
        <v>103</v>
      </c>
      <c r="B2" s="4">
        <v>0</v>
      </c>
      <c r="C2" s="4">
        <v>1.2E-2</v>
      </c>
      <c r="D2" s="4">
        <v>0.2</v>
      </c>
      <c r="E2" s="4">
        <v>1</v>
      </c>
      <c r="F2" s="4">
        <v>3.4</v>
      </c>
      <c r="G2" s="4">
        <v>8.1999999999999993</v>
      </c>
      <c r="H2" s="176" t="s">
        <v>200</v>
      </c>
    </row>
    <row r="3" spans="1:16" ht="35" thickBot="1">
      <c r="A3" s="177" t="s">
        <v>110</v>
      </c>
      <c r="B3" s="4">
        <v>0</v>
      </c>
      <c r="C3" s="4">
        <f>C2*30</f>
        <v>0.36</v>
      </c>
      <c r="D3" s="4">
        <f t="shared" ref="D3:G3" si="0">D2*30</f>
        <v>6</v>
      </c>
      <c r="E3" s="4">
        <f t="shared" si="0"/>
        <v>30</v>
      </c>
      <c r="F3" s="4">
        <f t="shared" si="0"/>
        <v>102</v>
      </c>
      <c r="G3" s="4">
        <f t="shared" si="0"/>
        <v>245.99999999999997</v>
      </c>
      <c r="H3" s="176" t="s">
        <v>200</v>
      </c>
    </row>
    <row r="4" spans="1:16" ht="17">
      <c r="A4" s="177" t="s">
        <v>1079</v>
      </c>
      <c r="B4" s="4">
        <v>0</v>
      </c>
      <c r="C4" s="4">
        <v>0.05</v>
      </c>
      <c r="D4" s="4">
        <v>0.2</v>
      </c>
      <c r="E4" s="4">
        <v>0.8</v>
      </c>
      <c r="F4" s="4">
        <v>2</v>
      </c>
      <c r="G4" s="4">
        <v>14</v>
      </c>
      <c r="H4" s="176" t="s">
        <v>201</v>
      </c>
      <c r="K4" s="157" t="s">
        <v>587</v>
      </c>
      <c r="L4" s="158"/>
      <c r="M4" s="158"/>
      <c r="N4" s="158"/>
      <c r="O4" s="158"/>
      <c r="P4" s="159"/>
    </row>
    <row r="5" spans="1:16">
      <c r="A5" s="224" t="s">
        <v>581</v>
      </c>
      <c r="B5" s="1">
        <v>0</v>
      </c>
      <c r="C5" s="1">
        <f>0.05/0.95</f>
        <v>5.2631578947368425E-2</v>
      </c>
      <c r="D5" s="1">
        <f>0.2/0.95</f>
        <v>0.2105263157894737</v>
      </c>
      <c r="E5" s="1">
        <f>0.8/0.95</f>
        <v>0.8421052631578948</v>
      </c>
      <c r="F5" s="1">
        <f>2/0.95</f>
        <v>2.1052631578947367</v>
      </c>
      <c r="G5" s="1">
        <f>14/0.95</f>
        <v>14.736842105263159</v>
      </c>
      <c r="H5" s="176" t="s">
        <v>300</v>
      </c>
      <c r="K5" s="160" t="s">
        <v>588</v>
      </c>
      <c r="P5" s="161"/>
    </row>
    <row r="6" spans="1:16" ht="17" thickBot="1">
      <c r="A6" s="181" t="s">
        <v>1088</v>
      </c>
      <c r="B6" s="182">
        <v>0</v>
      </c>
      <c r="C6" s="182">
        <f>50/(230*0.95)</f>
        <v>0.2288329519450801</v>
      </c>
      <c r="D6" s="182">
        <f>200/(230*0.95)</f>
        <v>0.91533180778032042</v>
      </c>
      <c r="E6" s="182">
        <f>800/(230*0.95)</f>
        <v>3.6613272311212817</v>
      </c>
      <c r="F6" s="182">
        <f>2000/(230*0.95)</f>
        <v>9.1533180778032044</v>
      </c>
      <c r="G6" s="182">
        <f>14000/(230*0.95)</f>
        <v>64.073226544622429</v>
      </c>
      <c r="H6" s="180" t="s">
        <v>217</v>
      </c>
      <c r="K6" s="162" t="s">
        <v>585</v>
      </c>
      <c r="L6" s="163"/>
      <c r="M6" s="163"/>
      <c r="N6" s="163"/>
      <c r="O6" s="163"/>
      <c r="P6" s="164"/>
    </row>
    <row r="7" spans="1:16">
      <c r="A7" s="1"/>
      <c r="B7" s="1"/>
      <c r="C7" s="1"/>
      <c r="D7" s="1"/>
      <c r="E7" s="1"/>
      <c r="F7" s="1"/>
      <c r="G7" s="1"/>
      <c r="H7" s="4"/>
    </row>
    <row r="9" spans="1:16">
      <c r="A9" s="517" t="s">
        <v>494</v>
      </c>
      <c r="B9" s="518"/>
      <c r="C9" s="518"/>
      <c r="D9" s="519"/>
      <c r="H9" s="90" t="s">
        <v>498</v>
      </c>
      <c r="I9" s="16"/>
      <c r="K9" s="93" t="s">
        <v>506</v>
      </c>
      <c r="L9" s="15"/>
      <c r="M9" s="16"/>
    </row>
    <row r="10" spans="1:16">
      <c r="A10" s="19"/>
      <c r="B10" t="s">
        <v>490</v>
      </c>
      <c r="D10" s="20"/>
      <c r="H10" s="71" t="s">
        <v>499</v>
      </c>
      <c r="I10" s="75" t="s">
        <v>500</v>
      </c>
      <c r="K10" s="19"/>
      <c r="M10" s="20"/>
    </row>
    <row r="11" spans="1:16">
      <c r="A11" s="19"/>
      <c r="B11" t="s">
        <v>491</v>
      </c>
      <c r="C11" t="s">
        <v>493</v>
      </c>
      <c r="D11" s="20" t="s">
        <v>529</v>
      </c>
      <c r="H11" s="19" t="s">
        <v>501</v>
      </c>
      <c r="I11" s="20">
        <v>350</v>
      </c>
      <c r="K11" s="19" t="s">
        <v>507</v>
      </c>
      <c r="M11" s="20"/>
    </row>
    <row r="12" spans="1:16">
      <c r="A12" s="22" t="s">
        <v>78</v>
      </c>
      <c r="B12" s="36">
        <v>1.67</v>
      </c>
      <c r="C12" s="36">
        <v>2.4500000000000002</v>
      </c>
      <c r="D12" s="24">
        <v>3.84</v>
      </c>
      <c r="H12" s="19" t="s">
        <v>502</v>
      </c>
      <c r="I12" s="20"/>
      <c r="K12" s="19" t="s">
        <v>508</v>
      </c>
      <c r="M12" s="20"/>
    </row>
    <row r="13" spans="1:16">
      <c r="A13" s="517" t="s">
        <v>495</v>
      </c>
      <c r="B13" s="518"/>
      <c r="C13" s="518"/>
      <c r="D13" s="519"/>
      <c r="H13" s="19" t="s">
        <v>503</v>
      </c>
      <c r="I13" s="20">
        <v>358.33</v>
      </c>
      <c r="K13" s="22" t="s">
        <v>509</v>
      </c>
      <c r="L13" s="36"/>
      <c r="M13" s="24"/>
    </row>
    <row r="14" spans="1:16">
      <c r="A14" s="19"/>
      <c r="B14" s="72" t="s">
        <v>496</v>
      </c>
      <c r="C14" s="72" t="s">
        <v>497</v>
      </c>
      <c r="D14" s="20"/>
      <c r="H14" s="19" t="s">
        <v>504</v>
      </c>
      <c r="I14" s="20">
        <v>266.19</v>
      </c>
    </row>
    <row r="15" spans="1:16">
      <c r="A15" s="91" t="s">
        <v>78</v>
      </c>
      <c r="B15" s="36">
        <v>2.75</v>
      </c>
      <c r="C15" s="36">
        <v>3.35</v>
      </c>
      <c r="D15" s="24"/>
      <c r="H15" s="22" t="s">
        <v>505</v>
      </c>
      <c r="I15" s="24">
        <v>573.33000000000004</v>
      </c>
    </row>
    <row r="17" spans="1:12">
      <c r="H17" s="92" t="s">
        <v>510</v>
      </c>
      <c r="I17" s="28">
        <v>50</v>
      </c>
      <c r="J17" s="26" t="s">
        <v>530</v>
      </c>
    </row>
    <row r="18" spans="1:12">
      <c r="A18" s="93" t="s">
        <v>516</v>
      </c>
      <c r="B18" s="15"/>
      <c r="C18" s="16"/>
    </row>
    <row r="19" spans="1:12">
      <c r="A19" s="71" t="s">
        <v>517</v>
      </c>
      <c r="B19" s="74" t="s">
        <v>518</v>
      </c>
      <c r="C19" s="75"/>
      <c r="H19" s="93" t="s">
        <v>511</v>
      </c>
      <c r="I19" s="15"/>
      <c r="J19" s="16"/>
      <c r="L19" s="25" t="s">
        <v>214</v>
      </c>
    </row>
    <row r="20" spans="1:12">
      <c r="A20" s="19"/>
      <c r="B20" s="74" t="s">
        <v>496</v>
      </c>
      <c r="C20" s="75" t="s">
        <v>497</v>
      </c>
      <c r="H20" s="71" t="s">
        <v>512</v>
      </c>
      <c r="I20" s="74" t="s">
        <v>500</v>
      </c>
      <c r="J20" s="20"/>
    </row>
    <row r="21" spans="1:12">
      <c r="A21" s="94" t="s">
        <v>525</v>
      </c>
      <c r="B21">
        <v>6</v>
      </c>
      <c r="C21" s="20">
        <v>48</v>
      </c>
      <c r="H21" s="19" t="s">
        <v>513</v>
      </c>
      <c r="I21">
        <v>15</v>
      </c>
      <c r="J21" s="20">
        <f>I21/12</f>
        <v>1.25</v>
      </c>
    </row>
    <row r="22" spans="1:12">
      <c r="A22" s="19" t="s">
        <v>519</v>
      </c>
      <c r="B22">
        <v>17</v>
      </c>
      <c r="C22" s="20">
        <v>52</v>
      </c>
      <c r="H22" s="19" t="s">
        <v>514</v>
      </c>
      <c r="I22">
        <v>25</v>
      </c>
      <c r="J22" s="20">
        <f>I22/12</f>
        <v>2.0833333333333335</v>
      </c>
    </row>
    <row r="23" spans="1:12">
      <c r="A23" s="19" t="s">
        <v>520</v>
      </c>
      <c r="B23" s="473" t="s">
        <v>522</v>
      </c>
      <c r="C23" s="20">
        <v>58</v>
      </c>
      <c r="H23" s="22" t="s">
        <v>515</v>
      </c>
      <c r="I23" s="36">
        <v>45</v>
      </c>
      <c r="J23" s="24">
        <f t="shared" ref="J23" si="1">I23/12</f>
        <v>3.75</v>
      </c>
    </row>
    <row r="24" spans="1:12">
      <c r="A24" s="19" t="s">
        <v>521</v>
      </c>
      <c r="B24" s="473"/>
      <c r="C24" s="20">
        <v>64</v>
      </c>
    </row>
    <row r="25" spans="1:12">
      <c r="A25" s="22" t="s">
        <v>523</v>
      </c>
      <c r="B25" s="549"/>
      <c r="C25" s="24">
        <v>70</v>
      </c>
    </row>
    <row r="26" spans="1:12" ht="17" thickBot="1"/>
    <row r="27" spans="1:12">
      <c r="A27" s="235" t="s">
        <v>109</v>
      </c>
      <c r="B27" s="414" t="s">
        <v>517</v>
      </c>
      <c r="C27" s="253" t="s">
        <v>527</v>
      </c>
      <c r="D27" s="236" t="s">
        <v>97</v>
      </c>
      <c r="E27" s="236" t="s">
        <v>98</v>
      </c>
      <c r="F27" s="236" t="s">
        <v>99</v>
      </c>
      <c r="G27" s="236" t="s">
        <v>100</v>
      </c>
      <c r="H27" s="236" t="s">
        <v>101</v>
      </c>
      <c r="I27" s="237" t="s">
        <v>102</v>
      </c>
    </row>
    <row r="28" spans="1:12">
      <c r="A28" s="584" t="s">
        <v>526</v>
      </c>
      <c r="B28" s="412" t="s">
        <v>525</v>
      </c>
      <c r="C28" s="473" t="s">
        <v>528</v>
      </c>
      <c r="D28" s="1">
        <v>0</v>
      </c>
      <c r="E28" s="4">
        <f>$B21+$B12*C3+$I17</f>
        <v>56.601199999999999</v>
      </c>
      <c r="F28" s="4">
        <f>$B21+$B12*D3+$I17</f>
        <v>66.02</v>
      </c>
      <c r="G28" s="4">
        <f>$B21+$B12*E3+$I17</f>
        <v>106.1</v>
      </c>
      <c r="H28" s="4">
        <f>$B21+$B12*100+(F3-100)*$C12+$I17</f>
        <v>227.9</v>
      </c>
      <c r="I28" s="176" t="s">
        <v>58</v>
      </c>
    </row>
    <row r="29" spans="1:12">
      <c r="A29" s="584"/>
      <c r="B29" s="38" t="s">
        <v>519</v>
      </c>
      <c r="C29" s="473"/>
      <c r="D29" s="1">
        <v>0</v>
      </c>
      <c r="E29" s="4" t="s">
        <v>58</v>
      </c>
      <c r="F29" s="4" t="s">
        <v>58</v>
      </c>
      <c r="G29" s="4" t="s">
        <v>58</v>
      </c>
      <c r="H29" s="4" t="s">
        <v>58</v>
      </c>
      <c r="I29" s="176">
        <f>B22+$B12*100+(G3-100)*C12+I17</f>
        <v>591.69999999999993</v>
      </c>
    </row>
    <row r="30" spans="1:12">
      <c r="A30" s="584"/>
      <c r="B30" s="38" t="s">
        <v>520</v>
      </c>
      <c r="C30" s="473"/>
      <c r="D30" s="1">
        <v>0</v>
      </c>
      <c r="E30" s="578" t="s">
        <v>1090</v>
      </c>
      <c r="F30" s="578"/>
      <c r="G30" s="578"/>
      <c r="H30" s="578"/>
      <c r="I30" s="579"/>
    </row>
    <row r="31" spans="1:12">
      <c r="A31" s="584"/>
      <c r="B31" s="38" t="s">
        <v>521</v>
      </c>
      <c r="C31" s="473"/>
      <c r="D31" s="1">
        <v>0</v>
      </c>
      <c r="E31" s="578"/>
      <c r="F31" s="578"/>
      <c r="G31" s="578"/>
      <c r="H31" s="578"/>
      <c r="I31" s="579"/>
    </row>
    <row r="32" spans="1:12">
      <c r="A32" s="585"/>
      <c r="B32" s="103" t="s">
        <v>523</v>
      </c>
      <c r="C32" s="549"/>
      <c r="D32" s="101">
        <v>0</v>
      </c>
      <c r="E32" s="582"/>
      <c r="F32" s="582"/>
      <c r="G32" s="582"/>
      <c r="H32" s="582"/>
      <c r="I32" s="583"/>
    </row>
    <row r="33" spans="1:15">
      <c r="A33" s="586" t="s">
        <v>524</v>
      </c>
      <c r="B33" s="413" t="s">
        <v>525</v>
      </c>
      <c r="C33" s="473" t="s">
        <v>528</v>
      </c>
      <c r="D33" s="34">
        <v>0</v>
      </c>
      <c r="E33" s="49">
        <f>$B15*C3+$B21+$I17</f>
        <v>56.99</v>
      </c>
      <c r="F33" s="49">
        <f t="shared" ref="F33" si="2">$B15*D3+$B21+$I17</f>
        <v>72.5</v>
      </c>
      <c r="G33" s="49">
        <f>$B15*E3+$B21+$I17</f>
        <v>138.5</v>
      </c>
      <c r="H33" s="49">
        <f>$B15*F3+$B21+$I17</f>
        <v>336.5</v>
      </c>
      <c r="I33" s="176" t="s">
        <v>58</v>
      </c>
      <c r="L33" s="4" t="s">
        <v>268</v>
      </c>
      <c r="O33" t="s">
        <v>531</v>
      </c>
    </row>
    <row r="34" spans="1:15">
      <c r="A34" s="584"/>
      <c r="B34" s="38" t="s">
        <v>519</v>
      </c>
      <c r="C34" s="473"/>
      <c r="D34" s="1">
        <v>0</v>
      </c>
      <c r="E34" s="4" t="s">
        <v>58</v>
      </c>
      <c r="F34" s="4" t="s">
        <v>58</v>
      </c>
      <c r="G34" s="4" t="s">
        <v>58</v>
      </c>
      <c r="H34" s="4" t="s">
        <v>58</v>
      </c>
      <c r="I34" s="176">
        <f>B15*G3+B22+I17</f>
        <v>743.49999999999989</v>
      </c>
    </row>
    <row r="35" spans="1:15">
      <c r="A35" s="584"/>
      <c r="B35" s="38" t="s">
        <v>520</v>
      </c>
      <c r="C35" s="473"/>
      <c r="D35" s="1">
        <v>0</v>
      </c>
      <c r="E35" s="578" t="s">
        <v>1090</v>
      </c>
      <c r="F35" s="578"/>
      <c r="G35" s="578"/>
      <c r="H35" s="578"/>
      <c r="I35" s="579"/>
    </row>
    <row r="36" spans="1:15">
      <c r="A36" s="584"/>
      <c r="B36" s="38" t="s">
        <v>521</v>
      </c>
      <c r="C36" s="473"/>
      <c r="D36" s="1">
        <v>0</v>
      </c>
      <c r="E36" s="578"/>
      <c r="F36" s="578"/>
      <c r="G36" s="578"/>
      <c r="H36" s="578"/>
      <c r="I36" s="579"/>
    </row>
    <row r="37" spans="1:15" ht="17" thickBot="1">
      <c r="A37" s="587"/>
      <c r="B37" s="415" t="s">
        <v>523</v>
      </c>
      <c r="C37" s="475"/>
      <c r="D37" s="182">
        <v>0</v>
      </c>
      <c r="E37" s="580"/>
      <c r="F37" s="580"/>
      <c r="G37" s="580"/>
      <c r="H37" s="580"/>
      <c r="I37" s="581"/>
    </row>
    <row r="39" spans="1:15">
      <c r="A39" s="129" t="s">
        <v>537</v>
      </c>
      <c r="B39" s="130" t="s">
        <v>97</v>
      </c>
      <c r="C39" s="130" t="s">
        <v>98</v>
      </c>
      <c r="D39" s="130" t="s">
        <v>99</v>
      </c>
      <c r="E39" s="130" t="s">
        <v>100</v>
      </c>
      <c r="F39" s="130" t="s">
        <v>101</v>
      </c>
      <c r="G39" s="131" t="s">
        <v>102</v>
      </c>
      <c r="I39" s="451" t="s">
        <v>1089</v>
      </c>
      <c r="J39" s="451"/>
      <c r="K39" s="451"/>
      <c r="L39" s="451"/>
      <c r="M39" s="451"/>
      <c r="N39" s="451"/>
      <c r="O39" s="451"/>
    </row>
    <row r="40" spans="1:15">
      <c r="A40" s="108" t="s">
        <v>78</v>
      </c>
      <c r="B40" s="109">
        <v>0</v>
      </c>
      <c r="C40" s="109">
        <f>AVERAGE(E28,E33)</f>
        <v>56.7956</v>
      </c>
      <c r="D40" s="109">
        <f>AVERAGE(F28,F33)</f>
        <v>69.259999999999991</v>
      </c>
      <c r="E40" s="109">
        <f>AVERAGE(G28,G33)</f>
        <v>122.3</v>
      </c>
      <c r="F40" s="109">
        <f>AVERAGE(H28,H33)</f>
        <v>282.2</v>
      </c>
      <c r="G40" s="110">
        <f>AVERAGE(I29,I34)</f>
        <v>667.59999999999991</v>
      </c>
      <c r="I40" s="451"/>
      <c r="J40" s="451"/>
      <c r="K40" s="451"/>
      <c r="L40" s="451"/>
      <c r="M40" s="451"/>
      <c r="N40" s="451"/>
      <c r="O40" s="451"/>
    </row>
    <row r="41" spans="1:15">
      <c r="I41" s="451"/>
      <c r="J41" s="451"/>
      <c r="K41" s="451"/>
      <c r="L41" s="451"/>
      <c r="M41" s="451"/>
      <c r="N41" s="451"/>
      <c r="O41" s="451"/>
    </row>
    <row r="42" spans="1:15">
      <c r="I42" s="451"/>
      <c r="J42" s="451"/>
      <c r="K42" s="451"/>
      <c r="L42" s="451"/>
      <c r="M42" s="451"/>
      <c r="N42" s="451"/>
      <c r="O42" s="451"/>
    </row>
    <row r="43" spans="1:15">
      <c r="I43" s="451"/>
      <c r="J43" s="451"/>
      <c r="K43" s="451"/>
      <c r="L43" s="451"/>
      <c r="M43" s="451"/>
      <c r="N43" s="451"/>
      <c r="O43" s="451"/>
    </row>
    <row r="44" spans="1:15">
      <c r="I44" s="451"/>
      <c r="J44" s="451"/>
      <c r="K44" s="451"/>
      <c r="L44" s="451"/>
      <c r="M44" s="451"/>
      <c r="N44" s="451"/>
      <c r="O44" s="451"/>
    </row>
    <row r="45" spans="1:15">
      <c r="I45" s="451"/>
      <c r="J45" s="451"/>
      <c r="K45" s="451"/>
      <c r="L45" s="451"/>
      <c r="M45" s="451"/>
      <c r="N45" s="451"/>
      <c r="O45" s="451"/>
    </row>
    <row r="46" spans="1:15">
      <c r="I46" s="451"/>
      <c r="J46" s="451"/>
      <c r="K46" s="451"/>
      <c r="L46" s="451"/>
      <c r="M46" s="451"/>
      <c r="N46" s="451"/>
      <c r="O46" s="451"/>
    </row>
  </sheetData>
  <mergeCells count="10">
    <mergeCell ref="E35:I37"/>
    <mergeCell ref="E30:I32"/>
    <mergeCell ref="I39:O46"/>
    <mergeCell ref="A9:D9"/>
    <mergeCell ref="A13:D13"/>
    <mergeCell ref="B23:B25"/>
    <mergeCell ref="A28:A32"/>
    <mergeCell ref="A33:A37"/>
    <mergeCell ref="C28:C32"/>
    <mergeCell ref="C33:C37"/>
  </mergeCells>
  <hyperlinks>
    <hyperlink ref="K6" r:id="rId1" xr:uid="{74DE50E9-6134-D143-9B20-9B6711C5F161}"/>
  </hyperlinks>
  <pageMargins left="0.7" right="0.7" top="0.75" bottom="0.75" header="0.3" footer="0.3"/>
  <pageSetup paperSize="9" orientation="portrait" horizontalDpi="0" verticalDpi="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03F0E-DE7D-924F-ACFE-6BAD8FBB9DF7}">
  <dimension ref="A1:J10"/>
  <sheetViews>
    <sheetView zoomScale="119" workbookViewId="0">
      <selection activeCell="E10" sqref="E10"/>
    </sheetView>
  </sheetViews>
  <sheetFormatPr baseColWidth="10" defaultRowHeight="16"/>
  <cols>
    <col min="1" max="1" width="13.6640625" customWidth="1"/>
    <col min="3" max="3" width="12.33203125" customWidth="1"/>
  </cols>
  <sheetData>
    <row r="1" spans="1:10">
      <c r="A1" s="172"/>
      <c r="B1" s="253" t="s">
        <v>97</v>
      </c>
      <c r="C1" s="253" t="s">
        <v>98</v>
      </c>
      <c r="D1" s="253" t="s">
        <v>99</v>
      </c>
      <c r="E1" s="253" t="s">
        <v>100</v>
      </c>
      <c r="F1" s="253" t="s">
        <v>101</v>
      </c>
      <c r="G1" s="253" t="s">
        <v>102</v>
      </c>
      <c r="H1" s="174" t="s">
        <v>199</v>
      </c>
    </row>
    <row r="2" spans="1:10">
      <c r="A2" s="175" t="s">
        <v>103</v>
      </c>
      <c r="B2" s="4">
        <v>0</v>
      </c>
      <c r="C2" s="4">
        <v>1.2E-2</v>
      </c>
      <c r="D2" s="4">
        <v>0.2</v>
      </c>
      <c r="E2" s="4">
        <v>1</v>
      </c>
      <c r="F2" s="4">
        <v>3.4</v>
      </c>
      <c r="G2" s="4">
        <v>8.1999999999999993</v>
      </c>
      <c r="H2" s="176" t="s">
        <v>200</v>
      </c>
    </row>
    <row r="3" spans="1:10" ht="69" thickBot="1">
      <c r="A3" s="178" t="s">
        <v>110</v>
      </c>
      <c r="B3" s="179">
        <v>0</v>
      </c>
      <c r="C3" s="179">
        <f>C2*30</f>
        <v>0.36</v>
      </c>
      <c r="D3" s="179">
        <f t="shared" ref="D3:G3" si="0">D2*30</f>
        <v>6</v>
      </c>
      <c r="E3" s="179">
        <f t="shared" si="0"/>
        <v>30</v>
      </c>
      <c r="F3" s="179">
        <f t="shared" si="0"/>
        <v>102</v>
      </c>
      <c r="G3" s="179">
        <f t="shared" si="0"/>
        <v>245.99999999999997</v>
      </c>
      <c r="H3" s="180" t="s">
        <v>200</v>
      </c>
    </row>
    <row r="4" spans="1:10" ht="17" thickBot="1"/>
    <row r="5" spans="1:10">
      <c r="A5" s="464" t="s">
        <v>251</v>
      </c>
      <c r="B5" s="448"/>
      <c r="C5" s="448"/>
      <c r="D5" s="449"/>
      <c r="F5" s="25" t="s">
        <v>222</v>
      </c>
    </row>
    <row r="6" spans="1:10" ht="17" thickBot="1">
      <c r="A6" s="251" t="s">
        <v>252</v>
      </c>
      <c r="B6" s="163">
        <v>100</v>
      </c>
      <c r="C6" s="163" t="s">
        <v>253</v>
      </c>
      <c r="D6" s="164">
        <v>350</v>
      </c>
    </row>
    <row r="7" spans="1:10">
      <c r="F7" s="29" t="s">
        <v>86</v>
      </c>
      <c r="G7" s="30"/>
      <c r="H7" s="30"/>
      <c r="I7" s="30"/>
      <c r="J7" s="31"/>
    </row>
    <row r="9" spans="1:10">
      <c r="A9" s="144" t="s">
        <v>109</v>
      </c>
      <c r="B9" s="142" t="s">
        <v>97</v>
      </c>
      <c r="C9" s="142" t="s">
        <v>98</v>
      </c>
      <c r="D9" s="142" t="s">
        <v>99</v>
      </c>
      <c r="E9" s="142" t="s">
        <v>100</v>
      </c>
      <c r="F9" s="142" t="s">
        <v>101</v>
      </c>
      <c r="G9" s="143" t="s">
        <v>102</v>
      </c>
    </row>
    <row r="10" spans="1:10">
      <c r="A10" s="133" t="s">
        <v>60</v>
      </c>
      <c r="B10" s="134">
        <v>0</v>
      </c>
      <c r="C10" s="134">
        <f>C3*B6*(1+0.18+0.01+0.03)</f>
        <v>43.92</v>
      </c>
      <c r="D10" s="134">
        <f>D3*B6*(1+0.18+0.01+0.03)</f>
        <v>732</v>
      </c>
      <c r="E10" s="134">
        <f>E3*B6*(1+0.18+0.01+0.03)</f>
        <v>3660</v>
      </c>
      <c r="F10" s="134">
        <f>(100*B6+(F3-100)*D6)*(1+0.18+0.01+0.03)</f>
        <v>13054</v>
      </c>
      <c r="G10" s="135">
        <f>(100*B6+(G3-100)*D6)*(1+0.18+0.01+0.03)</f>
        <v>74541.999999999985</v>
      </c>
    </row>
  </sheetData>
  <mergeCells count="1">
    <mergeCell ref="A5:D5"/>
  </mergeCells>
  <pageMargins left="0.7" right="0.7" top="0.75" bottom="0.75" header="0.3" footer="0.3"/>
  <pageSetup paperSize="9" orientation="portrait" horizontalDpi="0" verticalDpi="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E25C8-39F5-CA4E-86A9-2D70E109D3EA}">
  <dimension ref="A1:M25"/>
  <sheetViews>
    <sheetView topLeftCell="A2" zoomScale="137" workbookViewId="0">
      <selection activeCell="H14" sqref="H14"/>
    </sheetView>
  </sheetViews>
  <sheetFormatPr baseColWidth="10" defaultRowHeight="16"/>
  <cols>
    <col min="1" max="1" width="29.1640625" style="4" customWidth="1"/>
    <col min="2" max="2" width="11.1640625" style="4" customWidth="1"/>
    <col min="3" max="3" width="22.6640625" style="4" customWidth="1"/>
    <col min="4" max="4" width="17.83203125" style="4" customWidth="1"/>
    <col min="5" max="5" width="26.1640625" style="4" customWidth="1"/>
    <col min="6" max="8" width="10.83203125" style="4"/>
  </cols>
  <sheetData>
    <row r="1" spans="1:8">
      <c r="A1" s="227"/>
      <c r="B1" s="347" t="s">
        <v>97</v>
      </c>
      <c r="C1" s="347" t="s">
        <v>98</v>
      </c>
      <c r="D1" s="347" t="s">
        <v>99</v>
      </c>
      <c r="E1" s="347" t="s">
        <v>100</v>
      </c>
      <c r="F1" s="347" t="s">
        <v>101</v>
      </c>
      <c r="G1" s="347" t="s">
        <v>102</v>
      </c>
      <c r="H1" s="229" t="s">
        <v>199</v>
      </c>
    </row>
    <row r="2" spans="1:8">
      <c r="A2" s="230" t="s">
        <v>103</v>
      </c>
      <c r="B2" s="60">
        <v>0</v>
      </c>
      <c r="C2" s="60">
        <v>1.2E-2</v>
      </c>
      <c r="D2" s="60">
        <v>0.2</v>
      </c>
      <c r="E2" s="60">
        <v>1</v>
      </c>
      <c r="F2" s="60">
        <v>3.4</v>
      </c>
      <c r="G2" s="60">
        <v>8.1999999999999993</v>
      </c>
      <c r="H2" s="231" t="s">
        <v>200</v>
      </c>
    </row>
    <row r="3" spans="1:8" ht="34">
      <c r="A3" s="232" t="s">
        <v>110</v>
      </c>
      <c r="B3" s="60">
        <v>0</v>
      </c>
      <c r="C3" s="60">
        <f>C2*30</f>
        <v>0.36</v>
      </c>
      <c r="D3" s="60">
        <f t="shared" ref="D3:G3" si="0">D2*30</f>
        <v>6</v>
      </c>
      <c r="E3" s="60">
        <f t="shared" si="0"/>
        <v>30</v>
      </c>
      <c r="F3" s="60">
        <f t="shared" si="0"/>
        <v>102</v>
      </c>
      <c r="G3" s="60">
        <f t="shared" si="0"/>
        <v>245.99999999999997</v>
      </c>
      <c r="H3" s="231" t="s">
        <v>200</v>
      </c>
    </row>
    <row r="4" spans="1:8" ht="17">
      <c r="A4" s="232" t="s">
        <v>1079</v>
      </c>
      <c r="B4" s="60">
        <v>0</v>
      </c>
      <c r="C4" s="60">
        <v>0.05</v>
      </c>
      <c r="D4" s="60">
        <v>0.2</v>
      </c>
      <c r="E4" s="60">
        <v>0.8</v>
      </c>
      <c r="F4" s="60">
        <v>2</v>
      </c>
      <c r="G4" s="60">
        <v>14</v>
      </c>
      <c r="H4" s="231" t="s">
        <v>201</v>
      </c>
    </row>
    <row r="5" spans="1:8" ht="17" thickBot="1">
      <c r="A5" s="276" t="s">
        <v>581</v>
      </c>
      <c r="B5" s="277">
        <v>0</v>
      </c>
      <c r="C5" s="277">
        <f>0.05/0.95</f>
        <v>5.2631578947368425E-2</v>
      </c>
      <c r="D5" s="277">
        <f>0.2/0.95</f>
        <v>0.2105263157894737</v>
      </c>
      <c r="E5" s="277">
        <f>0.8/0.95</f>
        <v>0.8421052631578948</v>
      </c>
      <c r="F5" s="277">
        <f>2/0.95</f>
        <v>2.1052631578947367</v>
      </c>
      <c r="G5" s="277">
        <f>14/0.95</f>
        <v>14.736842105263159</v>
      </c>
      <c r="H5" s="234" t="s">
        <v>300</v>
      </c>
    </row>
    <row r="6" spans="1:8" ht="17" thickBot="1"/>
    <row r="7" spans="1:8">
      <c r="A7" s="588" t="s">
        <v>825</v>
      </c>
      <c r="B7" s="589"/>
      <c r="C7" s="589"/>
      <c r="D7" s="589"/>
      <c r="E7" s="590"/>
    </row>
    <row r="8" spans="1:8" ht="28" customHeight="1">
      <c r="A8" s="230" t="s">
        <v>826</v>
      </c>
      <c r="B8" s="60"/>
      <c r="C8" s="67" t="s">
        <v>837</v>
      </c>
      <c r="D8" s="60" t="s">
        <v>838</v>
      </c>
      <c r="E8" s="279" t="s">
        <v>839</v>
      </c>
    </row>
    <row r="9" spans="1:8">
      <c r="A9" s="230" t="s">
        <v>822</v>
      </c>
      <c r="B9" s="60" t="s">
        <v>823</v>
      </c>
      <c r="C9" s="60" t="s">
        <v>824</v>
      </c>
      <c r="D9" s="60" t="s">
        <v>824</v>
      </c>
      <c r="E9" s="231" t="s">
        <v>824</v>
      </c>
    </row>
    <row r="10" spans="1:8">
      <c r="A10" s="230" t="s">
        <v>827</v>
      </c>
      <c r="B10" s="60"/>
      <c r="C10" s="60">
        <v>250</v>
      </c>
      <c r="D10" s="60">
        <v>300</v>
      </c>
      <c r="E10" s="231">
        <v>600</v>
      </c>
    </row>
    <row r="11" spans="1:8" ht="35" thickBot="1">
      <c r="A11" s="230" t="s">
        <v>828</v>
      </c>
      <c r="B11" s="67" t="s">
        <v>829</v>
      </c>
      <c r="C11" s="60">
        <v>63</v>
      </c>
      <c r="D11" s="514" t="s">
        <v>1092</v>
      </c>
      <c r="E11" s="516"/>
    </row>
    <row r="12" spans="1:8" ht="35" thickBot="1">
      <c r="A12" s="230"/>
      <c r="B12" s="67" t="s">
        <v>830</v>
      </c>
      <c r="C12" s="60">
        <v>84</v>
      </c>
      <c r="D12" s="60">
        <v>84</v>
      </c>
      <c r="E12" s="231">
        <v>84</v>
      </c>
      <c r="H12" s="278" t="s">
        <v>222</v>
      </c>
    </row>
    <row r="13" spans="1:8" ht="34">
      <c r="A13" s="230"/>
      <c r="B13" s="67" t="s">
        <v>831</v>
      </c>
      <c r="C13" s="60">
        <v>114</v>
      </c>
      <c r="D13" s="60">
        <v>114</v>
      </c>
      <c r="E13" s="231">
        <v>114</v>
      </c>
    </row>
    <row r="14" spans="1:8" ht="51">
      <c r="A14" s="230"/>
      <c r="B14" s="67" t="s">
        <v>832</v>
      </c>
      <c r="C14" s="60">
        <v>120</v>
      </c>
      <c r="D14" s="60">
        <v>120</v>
      </c>
      <c r="E14" s="231">
        <v>120</v>
      </c>
    </row>
    <row r="15" spans="1:8">
      <c r="A15" s="230" t="s">
        <v>833</v>
      </c>
      <c r="B15" s="60" t="s">
        <v>834</v>
      </c>
      <c r="C15" s="60">
        <v>500</v>
      </c>
      <c r="D15" s="60">
        <v>500</v>
      </c>
      <c r="E15" s="231">
        <v>500</v>
      </c>
    </row>
    <row r="16" spans="1:8" ht="51">
      <c r="A16" s="230"/>
      <c r="B16" s="67" t="s">
        <v>835</v>
      </c>
      <c r="C16" s="60">
        <v>500</v>
      </c>
      <c r="D16" s="60">
        <v>500</v>
      </c>
      <c r="E16" s="231">
        <v>500</v>
      </c>
    </row>
    <row r="17" spans="1:13" ht="17" thickBot="1">
      <c r="A17" s="274" t="s">
        <v>836</v>
      </c>
      <c r="B17" s="233"/>
      <c r="C17" s="591">
        <v>5</v>
      </c>
      <c r="D17" s="591"/>
      <c r="E17" s="592"/>
    </row>
    <row r="18" spans="1:13" ht="17" thickBot="1"/>
    <row r="19" spans="1:13">
      <c r="A19" s="235" t="s">
        <v>109</v>
      </c>
      <c r="B19" s="236" t="s">
        <v>97</v>
      </c>
      <c r="C19" s="236" t="s">
        <v>98</v>
      </c>
      <c r="D19" s="236" t="s">
        <v>99</v>
      </c>
      <c r="E19" s="236" t="s">
        <v>100</v>
      </c>
      <c r="F19" s="236" t="s">
        <v>101</v>
      </c>
      <c r="G19" s="237" t="s">
        <v>102</v>
      </c>
      <c r="I19" s="501" t="s">
        <v>840</v>
      </c>
      <c r="J19" s="501"/>
      <c r="K19" s="501"/>
      <c r="L19" s="501"/>
      <c r="M19" s="501"/>
    </row>
    <row r="20" spans="1:13">
      <c r="A20" s="175" t="s">
        <v>1091</v>
      </c>
      <c r="B20" s="4">
        <f>E12*B3</f>
        <v>0</v>
      </c>
      <c r="C20" s="4">
        <f>($C10*C5+$C11*C3+$C15+$C16+$C17*C3)*1.18</f>
        <v>1224.4127157894736</v>
      </c>
      <c r="D20" s="4">
        <f>($C10*D5+$C11*D3+$C15+$C16+$C17*D3)*1.18</f>
        <v>1723.5452631578946</v>
      </c>
      <c r="E20" s="4">
        <f>($C10*E5+$C11*E3+$C15+$C16+$C17*E3)*1.18</f>
        <v>3835.621052631579</v>
      </c>
      <c r="F20" s="4">
        <f>(40*C11+C10*F5+(F3-40)*C12+C15+C16+C17*F3)*1.18</f>
        <v>11521.892631578945</v>
      </c>
      <c r="G20" s="176" t="s">
        <v>58</v>
      </c>
      <c r="I20" s="501"/>
      <c r="J20" s="501"/>
      <c r="K20" s="501"/>
      <c r="L20" s="501"/>
      <c r="M20" s="501"/>
    </row>
    <row r="21" spans="1:13">
      <c r="A21" s="175" t="s">
        <v>838</v>
      </c>
      <c r="B21" s="4">
        <v>0</v>
      </c>
      <c r="C21" s="4" t="s">
        <v>58</v>
      </c>
      <c r="D21" s="4" t="s">
        <v>58</v>
      </c>
      <c r="E21" s="4" t="s">
        <v>58</v>
      </c>
      <c r="F21" s="4" t="s">
        <v>58</v>
      </c>
      <c r="G21" s="176" t="s">
        <v>58</v>
      </c>
      <c r="I21" s="501"/>
      <c r="J21" s="501"/>
      <c r="K21" s="501"/>
      <c r="L21" s="501"/>
      <c r="M21" s="501"/>
    </row>
    <row r="22" spans="1:13" ht="17" thickBot="1">
      <c r="A22" s="187" t="s">
        <v>839</v>
      </c>
      <c r="B22" s="179">
        <v>0</v>
      </c>
      <c r="C22" s="179" t="s">
        <v>58</v>
      </c>
      <c r="D22" s="179" t="s">
        <v>58</v>
      </c>
      <c r="E22" s="179" t="s">
        <v>58</v>
      </c>
      <c r="F22" s="179" t="s">
        <v>58</v>
      </c>
      <c r="G22" s="180">
        <f>(200*E12+E13*(G3-200)+E15+E16+E10*G5+C17*G3)*1.18</f>
        <v>39077.004210526313</v>
      </c>
      <c r="I22" s="501"/>
      <c r="J22" s="501"/>
      <c r="K22" s="501"/>
      <c r="L22" s="501"/>
      <c r="M22" s="501"/>
    </row>
    <row r="23" spans="1:13" ht="17" thickBot="1">
      <c r="A23" s="98"/>
      <c r="B23" s="99"/>
      <c r="C23" s="99"/>
      <c r="D23" s="99"/>
      <c r="I23" s="501"/>
      <c r="J23" s="501"/>
      <c r="K23" s="501"/>
      <c r="L23" s="501"/>
      <c r="M23" s="501"/>
    </row>
    <row r="24" spans="1:13">
      <c r="A24" s="271" t="s">
        <v>109</v>
      </c>
      <c r="B24" s="239" t="s">
        <v>97</v>
      </c>
      <c r="C24" s="239" t="s">
        <v>98</v>
      </c>
      <c r="D24" s="239" t="s">
        <v>99</v>
      </c>
      <c r="E24" s="239" t="s">
        <v>100</v>
      </c>
      <c r="F24" s="239" t="s">
        <v>101</v>
      </c>
      <c r="G24" s="240" t="s">
        <v>102</v>
      </c>
      <c r="I24" s="501"/>
      <c r="J24" s="501"/>
      <c r="K24" s="501"/>
      <c r="L24" s="501"/>
      <c r="M24" s="501"/>
    </row>
    <row r="25" spans="1:13" ht="17" thickBot="1">
      <c r="A25" s="198" t="s">
        <v>78</v>
      </c>
      <c r="B25" s="199">
        <v>0</v>
      </c>
      <c r="C25" s="199">
        <v>1224.4127157894736</v>
      </c>
      <c r="D25" s="199">
        <v>1723.5452631578946</v>
      </c>
      <c r="E25" s="199">
        <v>3835.621052631579</v>
      </c>
      <c r="F25" s="199">
        <v>11521.892631578945</v>
      </c>
      <c r="G25" s="200">
        <f>AVERAGE(G21:G22)</f>
        <v>39077.004210526313</v>
      </c>
      <c r="I25" s="501"/>
      <c r="J25" s="501"/>
      <c r="K25" s="501"/>
      <c r="L25" s="501"/>
      <c r="M25" s="501"/>
    </row>
  </sheetData>
  <mergeCells count="4">
    <mergeCell ref="I19:M25"/>
    <mergeCell ref="A7:E7"/>
    <mergeCell ref="C17:E17"/>
    <mergeCell ref="D11:E11"/>
  </mergeCells>
  <pageMargins left="0.7" right="0.7" top="0.75" bottom="0.75" header="0.3" footer="0.3"/>
  <pageSetup paperSize="9" orientation="portrait" horizontalDpi="0" verticalDpi="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E80FC-C9F7-154D-91CB-0F52AE347032}">
  <dimension ref="A1:Q9"/>
  <sheetViews>
    <sheetView zoomScale="185" workbookViewId="0">
      <selection activeCell="E9" sqref="E9"/>
    </sheetView>
  </sheetViews>
  <sheetFormatPr baseColWidth="10" defaultRowHeight="16"/>
  <cols>
    <col min="1" max="1" width="19.5" customWidth="1"/>
  </cols>
  <sheetData>
    <row r="1" spans="1:17">
      <c r="A1" s="172"/>
      <c r="B1" s="173" t="s">
        <v>97</v>
      </c>
      <c r="C1" s="173" t="s">
        <v>98</v>
      </c>
      <c r="D1" s="173" t="s">
        <v>99</v>
      </c>
      <c r="E1" s="173" t="s">
        <v>100</v>
      </c>
      <c r="F1" s="173" t="s">
        <v>101</v>
      </c>
      <c r="G1" s="173" t="s">
        <v>102</v>
      </c>
      <c r="H1" s="174" t="s">
        <v>199</v>
      </c>
    </row>
    <row r="2" spans="1:17">
      <c r="A2" s="175" t="s">
        <v>103</v>
      </c>
      <c r="B2" s="4">
        <v>0</v>
      </c>
      <c r="C2" s="4">
        <v>1.2E-2</v>
      </c>
      <c r="D2" s="4">
        <v>0.2</v>
      </c>
      <c r="E2" s="4">
        <v>1</v>
      </c>
      <c r="F2" s="4">
        <v>3.4</v>
      </c>
      <c r="G2" s="4">
        <v>8.1999999999999993</v>
      </c>
      <c r="H2" s="176" t="s">
        <v>200</v>
      </c>
    </row>
    <row r="3" spans="1:17" ht="35" thickBot="1">
      <c r="A3" s="178" t="s">
        <v>110</v>
      </c>
      <c r="B3" s="179">
        <v>0</v>
      </c>
      <c r="C3" s="179">
        <f>C2*30</f>
        <v>0.36</v>
      </c>
      <c r="D3" s="179">
        <f t="shared" ref="D3:G3" si="0">D2*30</f>
        <v>6</v>
      </c>
      <c r="E3" s="179">
        <f t="shared" si="0"/>
        <v>30</v>
      </c>
      <c r="F3" s="179">
        <f t="shared" si="0"/>
        <v>102</v>
      </c>
      <c r="G3" s="179">
        <f t="shared" si="0"/>
        <v>245.99999999999997</v>
      </c>
      <c r="H3" s="180" t="s">
        <v>200</v>
      </c>
    </row>
    <row r="4" spans="1:17" ht="17" thickBot="1"/>
    <row r="5" spans="1:17" ht="17" thickBot="1">
      <c r="A5" s="464" t="s">
        <v>254</v>
      </c>
      <c r="B5" s="448"/>
      <c r="C5" s="448"/>
      <c r="D5" s="448"/>
      <c r="E5" s="448"/>
      <c r="F5" s="448"/>
      <c r="G5" s="448"/>
      <c r="H5" s="449"/>
    </row>
    <row r="6" spans="1:17" ht="18" thickBot="1">
      <c r="A6" s="244" t="s">
        <v>255</v>
      </c>
      <c r="B6" s="163">
        <v>250</v>
      </c>
      <c r="C6" s="163" t="s">
        <v>256</v>
      </c>
      <c r="D6" s="163">
        <v>796.4</v>
      </c>
      <c r="E6" s="163" t="s">
        <v>257</v>
      </c>
      <c r="F6" s="163">
        <v>412</v>
      </c>
      <c r="G6" s="163" t="s">
        <v>258</v>
      </c>
      <c r="H6" s="164">
        <v>796.4</v>
      </c>
      <c r="J6" s="267" t="s">
        <v>842</v>
      </c>
      <c r="K6" s="268"/>
      <c r="L6" s="268"/>
      <c r="M6" s="268"/>
      <c r="N6" s="268"/>
      <c r="O6" s="268"/>
      <c r="P6" s="268"/>
      <c r="Q6" s="269"/>
    </row>
    <row r="8" spans="1:17">
      <c r="A8" s="132" t="s">
        <v>109</v>
      </c>
      <c r="B8" s="130" t="s">
        <v>97</v>
      </c>
      <c r="C8" s="130" t="s">
        <v>98</v>
      </c>
      <c r="D8" s="130" t="s">
        <v>99</v>
      </c>
      <c r="E8" s="130" t="s">
        <v>100</v>
      </c>
      <c r="F8" s="130" t="s">
        <v>101</v>
      </c>
      <c r="G8" s="131" t="s">
        <v>102</v>
      </c>
    </row>
    <row r="9" spans="1:17" ht="17">
      <c r="A9" s="145" t="s">
        <v>59</v>
      </c>
      <c r="B9" s="109">
        <v>0</v>
      </c>
      <c r="C9" s="109">
        <f>B6*C3*1.18</f>
        <v>106.19999999999999</v>
      </c>
      <c r="D9" s="109">
        <f>D3*B6*1.18</f>
        <v>1770</v>
      </c>
      <c r="E9" s="109">
        <f>(15*B6+(E3-15)*D6)*1.18</f>
        <v>18521.28</v>
      </c>
      <c r="F9" s="109">
        <f>(15*B6+(80-15)*D6+(F3-80)*F6)*1.18</f>
        <v>76204.399999999994</v>
      </c>
      <c r="G9" s="110">
        <f>(15*B6+(80-15)*D6+(150-80)*F6+(G3-150)*H6)*1.18</f>
        <v>189756.27199999994</v>
      </c>
      <c r="I9" s="25" t="s">
        <v>222</v>
      </c>
    </row>
  </sheetData>
  <mergeCells count="1">
    <mergeCell ref="A5:H5"/>
  </mergeCell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72976-C914-6548-AA12-8B8B7860BBD2}">
  <dimension ref="A1:R29"/>
  <sheetViews>
    <sheetView topLeftCell="A2" zoomScale="175" workbookViewId="0">
      <selection activeCell="E22" sqref="E22"/>
    </sheetView>
  </sheetViews>
  <sheetFormatPr baseColWidth="10" defaultRowHeight="16"/>
  <cols>
    <col min="1" max="1" width="23.1640625" style="4" customWidth="1"/>
    <col min="2" max="2" width="10.83203125" style="4"/>
    <col min="3" max="3" width="15.1640625" style="4" customWidth="1"/>
    <col min="4" max="4" width="10.83203125" style="4"/>
    <col min="5" max="5" width="14.6640625" style="4" customWidth="1"/>
    <col min="6" max="8" width="10.83203125" style="4"/>
  </cols>
  <sheetData>
    <row r="1" spans="1:18">
      <c r="A1" s="172"/>
      <c r="B1" s="173" t="s">
        <v>97</v>
      </c>
      <c r="C1" s="173" t="s">
        <v>98</v>
      </c>
      <c r="D1" s="173" t="s">
        <v>99</v>
      </c>
      <c r="E1" s="173" t="s">
        <v>100</v>
      </c>
      <c r="F1" s="173" t="s">
        <v>101</v>
      </c>
      <c r="G1" s="173" t="s">
        <v>102</v>
      </c>
      <c r="H1" s="174" t="s">
        <v>199</v>
      </c>
    </row>
    <row r="2" spans="1:18">
      <c r="A2" s="175" t="s">
        <v>1111</v>
      </c>
      <c r="B2" s="4">
        <v>0</v>
      </c>
      <c r="C2" s="4">
        <v>1.2E-2</v>
      </c>
      <c r="D2" s="4">
        <v>0.2</v>
      </c>
      <c r="E2" s="4">
        <v>1</v>
      </c>
      <c r="F2" s="4">
        <v>3.4</v>
      </c>
      <c r="G2" s="4">
        <v>8.1999999999999993</v>
      </c>
      <c r="H2" s="176" t="s">
        <v>200</v>
      </c>
    </row>
    <row r="3" spans="1:18" ht="34">
      <c r="A3" s="177" t="s">
        <v>110</v>
      </c>
      <c r="B3" s="4">
        <v>0</v>
      </c>
      <c r="C3" s="4">
        <f>C2*30</f>
        <v>0.36</v>
      </c>
      <c r="D3" s="4">
        <f t="shared" ref="D3:G3" si="0">D2*30</f>
        <v>6</v>
      </c>
      <c r="E3" s="4">
        <f t="shared" si="0"/>
        <v>30</v>
      </c>
      <c r="F3" s="4">
        <f t="shared" si="0"/>
        <v>102</v>
      </c>
      <c r="G3" s="4">
        <f t="shared" si="0"/>
        <v>245.99999999999997</v>
      </c>
      <c r="H3" s="176" t="s">
        <v>200</v>
      </c>
    </row>
    <row r="4" spans="1:18" ht="17">
      <c r="A4" s="177" t="s">
        <v>297</v>
      </c>
      <c r="B4" s="4">
        <v>0</v>
      </c>
      <c r="C4" s="4" t="s">
        <v>304</v>
      </c>
      <c r="D4" s="4" t="s">
        <v>303</v>
      </c>
      <c r="E4" s="4" t="s">
        <v>302</v>
      </c>
      <c r="F4" s="4" t="s">
        <v>301</v>
      </c>
      <c r="G4" s="4" t="s">
        <v>1032</v>
      </c>
      <c r="H4" s="176" t="s">
        <v>201</v>
      </c>
    </row>
    <row r="5" spans="1:18" ht="18" thickBot="1">
      <c r="A5" s="178" t="s">
        <v>1026</v>
      </c>
      <c r="B5" s="179">
        <v>0</v>
      </c>
      <c r="C5" s="182">
        <v>5.2631578947368397E-2</v>
      </c>
      <c r="D5" s="179">
        <v>0.2105263157894737</v>
      </c>
      <c r="E5" s="179">
        <v>0.8421052631578948</v>
      </c>
      <c r="F5" s="179">
        <v>2.1052631578947367</v>
      </c>
      <c r="G5" s="179">
        <f>14/0.95</f>
        <v>14.736842105263159</v>
      </c>
      <c r="H5" s="180" t="s">
        <v>300</v>
      </c>
    </row>
    <row r="6" spans="1:18" ht="17" thickBot="1">
      <c r="A6" s="1"/>
      <c r="B6" s="1"/>
      <c r="C6" s="1"/>
      <c r="D6" s="1"/>
      <c r="E6" s="1"/>
      <c r="F6" s="1"/>
      <c r="G6" s="1"/>
    </row>
    <row r="7" spans="1:18">
      <c r="A7" s="464" t="s">
        <v>613</v>
      </c>
      <c r="B7" s="448"/>
      <c r="C7" s="448"/>
      <c r="D7" s="448"/>
      <c r="E7" s="449"/>
      <c r="F7" s="1"/>
      <c r="G7" s="1"/>
    </row>
    <row r="8" spans="1:18" ht="18" customHeight="1">
      <c r="A8" s="175" t="s">
        <v>614</v>
      </c>
      <c r="B8" s="4">
        <v>88</v>
      </c>
      <c r="C8" s="6" t="s">
        <v>615</v>
      </c>
      <c r="D8" s="4">
        <v>500</v>
      </c>
      <c r="E8" s="176" t="s">
        <v>616</v>
      </c>
      <c r="H8" s="2"/>
      <c r="I8" s="2"/>
      <c r="J8" s="2"/>
      <c r="K8" s="2"/>
      <c r="L8" s="2"/>
      <c r="M8" s="2"/>
      <c r="N8" s="2"/>
      <c r="O8" s="2"/>
      <c r="P8" s="2"/>
      <c r="Q8" s="2"/>
      <c r="R8" s="2"/>
    </row>
    <row r="9" spans="1:18" ht="18" customHeight="1">
      <c r="A9" s="175" t="s">
        <v>618</v>
      </c>
      <c r="B9" s="4">
        <v>125</v>
      </c>
      <c r="C9" s="6" t="s">
        <v>615</v>
      </c>
      <c r="D9" s="4">
        <v>500</v>
      </c>
      <c r="E9" s="176" t="s">
        <v>616</v>
      </c>
      <c r="H9" s="2"/>
      <c r="I9" s="2"/>
      <c r="J9" s="2"/>
      <c r="K9" s="2"/>
      <c r="L9" s="2"/>
      <c r="M9" s="2"/>
      <c r="N9" s="2"/>
      <c r="O9" s="2"/>
      <c r="P9" s="2"/>
      <c r="Q9" s="2"/>
      <c r="R9" s="2"/>
    </row>
    <row r="10" spans="1:18" ht="18" customHeight="1" thickBot="1">
      <c r="A10" s="187" t="s">
        <v>619</v>
      </c>
      <c r="B10" s="179">
        <v>148</v>
      </c>
      <c r="C10" s="188" t="s">
        <v>615</v>
      </c>
      <c r="D10" s="179">
        <v>500</v>
      </c>
      <c r="E10" s="180" t="s">
        <v>616</v>
      </c>
      <c r="H10" s="2"/>
      <c r="I10" s="2"/>
      <c r="J10" s="2"/>
      <c r="K10" s="2"/>
      <c r="L10" s="2"/>
      <c r="M10" s="2"/>
      <c r="N10" s="2"/>
      <c r="O10" s="2"/>
      <c r="P10" s="2"/>
      <c r="Q10" s="2"/>
      <c r="R10" s="2"/>
    </row>
    <row r="11" spans="1:18">
      <c r="A11" s="461" t="s">
        <v>622</v>
      </c>
      <c r="B11" s="462"/>
      <c r="C11" s="462"/>
      <c r="D11" s="462"/>
      <c r="E11" s="463"/>
      <c r="H11" s="2"/>
      <c r="I11" s="2"/>
      <c r="J11" s="2"/>
      <c r="K11" s="2"/>
      <c r="L11" s="2"/>
      <c r="M11" s="2"/>
      <c r="N11" s="2"/>
      <c r="O11" s="2"/>
      <c r="P11" s="2"/>
      <c r="Q11" s="2"/>
      <c r="R11" s="2"/>
    </row>
    <row r="12" spans="1:18" ht="18" thickBot="1">
      <c r="A12" s="187" t="s">
        <v>620</v>
      </c>
      <c r="B12" s="179">
        <v>125</v>
      </c>
      <c r="C12" s="188" t="s">
        <v>621</v>
      </c>
      <c r="D12" s="179">
        <v>500</v>
      </c>
      <c r="E12" s="180" t="s">
        <v>616</v>
      </c>
      <c r="H12" s="2"/>
      <c r="I12" s="2"/>
      <c r="J12" s="2"/>
      <c r="K12" s="2"/>
      <c r="L12" s="2"/>
      <c r="M12" s="2"/>
      <c r="N12" s="2"/>
      <c r="O12" s="2"/>
      <c r="P12" s="2"/>
      <c r="Q12" s="2"/>
      <c r="R12" s="2"/>
    </row>
    <row r="13" spans="1:18" ht="16" customHeight="1" thickBot="1"/>
    <row r="14" spans="1:18">
      <c r="A14" s="172" t="s">
        <v>109</v>
      </c>
      <c r="B14" s="173" t="s">
        <v>97</v>
      </c>
      <c r="C14" s="173" t="s">
        <v>98</v>
      </c>
      <c r="D14" s="173" t="s">
        <v>99</v>
      </c>
      <c r="E14" s="173" t="s">
        <v>100</v>
      </c>
      <c r="F14" s="173" t="s">
        <v>101</v>
      </c>
      <c r="G14" s="174" t="s">
        <v>102</v>
      </c>
    </row>
    <row r="15" spans="1:18">
      <c r="A15" s="175" t="s">
        <v>449</v>
      </c>
      <c r="B15" s="4">
        <v>0</v>
      </c>
      <c r="C15" s="4">
        <f>C3*B8+D8*C5</f>
        <v>57.995789473684198</v>
      </c>
      <c r="D15" s="4">
        <f>B8*D3+D8*D5</f>
        <v>633.26315789473688</v>
      </c>
      <c r="E15" s="4" t="s">
        <v>58</v>
      </c>
      <c r="F15" s="4" t="s">
        <v>58</v>
      </c>
      <c r="G15" s="176" t="s">
        <v>58</v>
      </c>
    </row>
    <row r="16" spans="1:18">
      <c r="A16" s="175" t="s">
        <v>617</v>
      </c>
      <c r="B16" s="4">
        <v>0</v>
      </c>
      <c r="C16" s="4" t="s">
        <v>58</v>
      </c>
      <c r="D16" s="4" t="s">
        <v>58</v>
      </c>
      <c r="E16" s="4">
        <f>($B9*E3+$D9*E5)*1.18</f>
        <v>4921.8421052631575</v>
      </c>
      <c r="F16" s="4">
        <f>($B9*F3+$D9*F5)*1.18</f>
        <v>16287.105263157893</v>
      </c>
      <c r="G16" s="176">
        <f>($B9*G3+$D9*G5)*1.18</f>
        <v>44979.736842105252</v>
      </c>
    </row>
    <row r="17" spans="1:17" ht="17" thickBot="1">
      <c r="A17" s="187" t="s">
        <v>623</v>
      </c>
      <c r="B17" s="179">
        <v>0</v>
      </c>
      <c r="C17" s="179" t="s">
        <v>58</v>
      </c>
      <c r="D17" s="179" t="s">
        <v>58</v>
      </c>
      <c r="E17" s="179" t="s">
        <v>58</v>
      </c>
      <c r="F17" s="179" t="s">
        <v>58</v>
      </c>
      <c r="G17" s="180" t="s">
        <v>58</v>
      </c>
    </row>
    <row r="21" spans="1:17">
      <c r="A21" s="105" t="s">
        <v>535</v>
      </c>
      <c r="B21" s="106" t="s">
        <v>97</v>
      </c>
      <c r="C21" s="106" t="s">
        <v>98</v>
      </c>
      <c r="D21" s="106" t="s">
        <v>99</v>
      </c>
      <c r="E21" s="106" t="s">
        <v>100</v>
      </c>
      <c r="F21" s="106" t="s">
        <v>101</v>
      </c>
      <c r="G21" s="107" t="s">
        <v>102</v>
      </c>
    </row>
    <row r="22" spans="1:17" ht="17" thickBot="1">
      <c r="A22" s="108" t="s">
        <v>536</v>
      </c>
      <c r="B22" s="109">
        <v>0</v>
      </c>
      <c r="C22" s="109">
        <f>AVERAGE(C15)</f>
        <v>57.995789473684198</v>
      </c>
      <c r="D22" s="109">
        <f>AVERAGE(D15)</f>
        <v>633.26315789473688</v>
      </c>
      <c r="E22" s="109">
        <f>AVERAGE(E16)</f>
        <v>4921.8421052631575</v>
      </c>
      <c r="F22" s="109">
        <f>AVERAGE(F16)</f>
        <v>16287.105263157893</v>
      </c>
      <c r="G22" s="110">
        <f>AVERAGE(G16)</f>
        <v>44979.736842105252</v>
      </c>
    </row>
    <row r="23" spans="1:17" ht="16" customHeight="1" thickBot="1">
      <c r="J23" s="191" t="s">
        <v>626</v>
      </c>
      <c r="K23" s="192"/>
      <c r="L23" s="192"/>
      <c r="M23" s="193"/>
      <c r="N23" s="2"/>
      <c r="O23" s="2"/>
      <c r="P23" s="2"/>
      <c r="Q23" s="2"/>
    </row>
    <row r="24" spans="1:17">
      <c r="J24" s="2"/>
      <c r="K24" s="2"/>
      <c r="L24" s="2"/>
      <c r="M24" s="2"/>
      <c r="N24" s="2"/>
      <c r="O24" s="2"/>
      <c r="P24" s="2"/>
      <c r="Q24" s="2"/>
    </row>
    <row r="25" spans="1:17">
      <c r="J25" s="2"/>
      <c r="K25" s="2"/>
      <c r="L25" s="2"/>
      <c r="M25" s="2"/>
      <c r="N25" s="2"/>
      <c r="O25" s="2"/>
      <c r="P25" s="2"/>
      <c r="Q25" s="2"/>
    </row>
    <row r="26" spans="1:17">
      <c r="J26" s="2"/>
      <c r="K26" s="2"/>
      <c r="L26" s="2"/>
      <c r="M26" s="2"/>
      <c r="N26" s="2"/>
      <c r="O26" s="2"/>
      <c r="P26" s="2"/>
      <c r="Q26" s="2"/>
    </row>
    <row r="27" spans="1:17">
      <c r="J27" s="11"/>
      <c r="K27" s="11"/>
      <c r="L27" s="11"/>
      <c r="M27" s="11"/>
      <c r="N27" s="11"/>
      <c r="O27" s="11"/>
      <c r="P27" s="11"/>
      <c r="Q27" s="11"/>
    </row>
    <row r="28" spans="1:17">
      <c r="J28" s="11"/>
      <c r="K28" s="11"/>
      <c r="L28" s="11"/>
      <c r="M28" s="11"/>
      <c r="N28" s="11"/>
      <c r="O28" s="11"/>
      <c r="P28" s="11"/>
      <c r="Q28" s="11"/>
    </row>
    <row r="29" spans="1:17">
      <c r="J29" s="11"/>
      <c r="K29" s="11"/>
      <c r="L29" s="11"/>
      <c r="M29" s="11"/>
      <c r="N29" s="11"/>
      <c r="O29" s="11"/>
      <c r="P29" s="11"/>
      <c r="Q29" s="11"/>
    </row>
  </sheetData>
  <mergeCells count="2">
    <mergeCell ref="A11:E11"/>
    <mergeCell ref="A7:E7"/>
  </mergeCells>
  <pageMargins left="0.7" right="0.7" top="0.75" bottom="0.75" header="0.3" footer="0.3"/>
  <pageSetup paperSize="9" orientation="portrait" horizontalDpi="0" verticalDpi="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43009-132F-E448-B353-6688CEDC97D0}">
  <dimension ref="A1:N18"/>
  <sheetViews>
    <sheetView zoomScale="150" workbookViewId="0">
      <selection activeCell="G17" sqref="G17"/>
    </sheetView>
  </sheetViews>
  <sheetFormatPr baseColWidth="10" defaultRowHeight="16"/>
  <cols>
    <col min="1" max="1" width="17.1640625" customWidth="1"/>
    <col min="3" max="3" width="16" customWidth="1"/>
    <col min="5" max="5" width="16" customWidth="1"/>
    <col min="7" max="7" width="13.6640625" customWidth="1"/>
  </cols>
  <sheetData>
    <row r="1" spans="1:14">
      <c r="A1" s="172"/>
      <c r="B1" s="173" t="s">
        <v>97</v>
      </c>
      <c r="C1" s="173" t="s">
        <v>98</v>
      </c>
      <c r="D1" s="173" t="s">
        <v>99</v>
      </c>
      <c r="E1" s="173" t="s">
        <v>100</v>
      </c>
      <c r="F1" s="173" t="s">
        <v>101</v>
      </c>
      <c r="G1" s="173" t="s">
        <v>102</v>
      </c>
      <c r="H1" s="174" t="s">
        <v>199</v>
      </c>
    </row>
    <row r="2" spans="1:14">
      <c r="A2" s="175" t="s">
        <v>103</v>
      </c>
      <c r="B2" s="4">
        <v>0</v>
      </c>
      <c r="C2" s="4">
        <v>1.2E-2</v>
      </c>
      <c r="D2" s="4">
        <v>0.2</v>
      </c>
      <c r="E2" s="4">
        <v>1</v>
      </c>
      <c r="F2" s="4">
        <v>3.4</v>
      </c>
      <c r="G2" s="4">
        <v>8.1999999999999993</v>
      </c>
      <c r="H2" s="176" t="s">
        <v>200</v>
      </c>
    </row>
    <row r="3" spans="1:14" ht="35" thickBot="1">
      <c r="A3" s="178" t="s">
        <v>110</v>
      </c>
      <c r="B3" s="179">
        <v>0</v>
      </c>
      <c r="C3" s="179">
        <f>C2*30</f>
        <v>0.36</v>
      </c>
      <c r="D3" s="179">
        <f t="shared" ref="D3:G3" si="0">D2*30</f>
        <v>6</v>
      </c>
      <c r="E3" s="179">
        <f t="shared" si="0"/>
        <v>30</v>
      </c>
      <c r="F3" s="179">
        <f t="shared" si="0"/>
        <v>102</v>
      </c>
      <c r="G3" s="179">
        <f t="shared" si="0"/>
        <v>245.99999999999997</v>
      </c>
      <c r="H3" s="180" t="s">
        <v>200</v>
      </c>
    </row>
    <row r="4" spans="1:14" ht="17" thickBot="1"/>
    <row r="5" spans="1:14">
      <c r="A5" s="464" t="s">
        <v>259</v>
      </c>
      <c r="B5" s="448"/>
      <c r="C5" s="448"/>
      <c r="D5" s="448"/>
      <c r="E5" s="448"/>
      <c r="F5" s="448"/>
      <c r="G5" s="448"/>
      <c r="H5" s="449"/>
    </row>
    <row r="6" spans="1:14" ht="17" thickBot="1">
      <c r="A6" s="251" t="s">
        <v>260</v>
      </c>
      <c r="B6" s="163">
        <v>0.44</v>
      </c>
      <c r="C6" s="163" t="s">
        <v>261</v>
      </c>
      <c r="D6" s="163">
        <v>1.05</v>
      </c>
      <c r="E6" s="163" t="s">
        <v>262</v>
      </c>
      <c r="F6" s="163">
        <v>1.69</v>
      </c>
      <c r="G6" s="163" t="s">
        <v>263</v>
      </c>
      <c r="H6" s="164">
        <v>2.44</v>
      </c>
    </row>
    <row r="8" spans="1:14">
      <c r="A8" s="27" t="s">
        <v>88</v>
      </c>
      <c r="B8" s="26"/>
      <c r="D8" s="25" t="s">
        <v>153</v>
      </c>
    </row>
    <row r="9" spans="1:14" ht="17" thickBot="1">
      <c r="A9" s="6"/>
    </row>
    <row r="10" spans="1:14">
      <c r="A10" s="235" t="s">
        <v>109</v>
      </c>
      <c r="B10" s="236" t="s">
        <v>97</v>
      </c>
      <c r="C10" s="236" t="s">
        <v>98</v>
      </c>
      <c r="D10" s="236" t="s">
        <v>99</v>
      </c>
      <c r="E10" s="236" t="s">
        <v>100</v>
      </c>
      <c r="F10" s="236" t="s">
        <v>101</v>
      </c>
      <c r="G10" s="237" t="s">
        <v>102</v>
      </c>
    </row>
    <row r="11" spans="1:14" ht="17">
      <c r="A11" s="416" t="s">
        <v>264</v>
      </c>
      <c r="B11" s="46">
        <v>0</v>
      </c>
      <c r="C11" s="46">
        <f>C3*B6*(1+0.16+0.03)</f>
        <v>0.18849599999999997</v>
      </c>
      <c r="D11" s="46">
        <f>D3*B6*(1+0.16+0.03)</f>
        <v>3.1415999999999999</v>
      </c>
      <c r="E11" s="46">
        <f>E3*B6*(1+0.16+0.03)</f>
        <v>15.707999999999998</v>
      </c>
      <c r="F11" s="1" t="s">
        <v>58</v>
      </c>
      <c r="G11" s="252" t="s">
        <v>58</v>
      </c>
    </row>
    <row r="12" spans="1:14">
      <c r="A12" s="224" t="s">
        <v>265</v>
      </c>
      <c r="B12" s="1" t="s">
        <v>58</v>
      </c>
      <c r="C12" s="1" t="s">
        <v>58</v>
      </c>
      <c r="D12" s="1" t="s">
        <v>58</v>
      </c>
      <c r="E12" s="1" t="s">
        <v>58</v>
      </c>
      <c r="F12" s="1">
        <f>(100*B6+(F3-100)*D6)*(1+0.16+0.03)</f>
        <v>54.859000000000002</v>
      </c>
      <c r="G12" s="252">
        <f>(100*B6+(G3-100)*D6)*(1+0.16+0.03)</f>
        <v>234.78699999999998</v>
      </c>
      <c r="I12" s="451" t="s">
        <v>546</v>
      </c>
      <c r="J12" s="547"/>
      <c r="K12" s="547"/>
      <c r="L12" s="547"/>
      <c r="M12" s="547"/>
      <c r="N12" s="547"/>
    </row>
    <row r="13" spans="1:14">
      <c r="A13" s="224" t="s">
        <v>266</v>
      </c>
      <c r="B13" s="1" t="s">
        <v>58</v>
      </c>
      <c r="C13" s="1" t="s">
        <v>58</v>
      </c>
      <c r="D13" s="1" t="s">
        <v>58</v>
      </c>
      <c r="E13" s="1" t="s">
        <v>58</v>
      </c>
      <c r="F13" s="1" t="s">
        <v>58</v>
      </c>
      <c r="G13" s="417" t="s">
        <v>58</v>
      </c>
      <c r="I13" s="547"/>
      <c r="J13" s="547"/>
      <c r="K13" s="547"/>
      <c r="L13" s="547"/>
      <c r="M13" s="547"/>
      <c r="N13" s="547"/>
    </row>
    <row r="14" spans="1:14" ht="17" thickBot="1">
      <c r="A14" s="181" t="s">
        <v>267</v>
      </c>
      <c r="B14" s="182" t="s">
        <v>58</v>
      </c>
      <c r="C14" s="339" t="s">
        <v>58</v>
      </c>
      <c r="D14" s="339" t="s">
        <v>58</v>
      </c>
      <c r="E14" s="339" t="s">
        <v>58</v>
      </c>
      <c r="F14" s="339" t="s">
        <v>58</v>
      </c>
      <c r="G14" s="340" t="s">
        <v>58</v>
      </c>
      <c r="I14" s="547"/>
      <c r="J14" s="547"/>
      <c r="K14" s="547"/>
      <c r="L14" s="547"/>
      <c r="M14" s="547"/>
      <c r="N14" s="547"/>
    </row>
    <row r="15" spans="1:14">
      <c r="I15" s="547"/>
      <c r="J15" s="547"/>
      <c r="K15" s="547"/>
      <c r="L15" s="547"/>
      <c r="M15" s="547"/>
      <c r="N15" s="547"/>
    </row>
    <row r="16" spans="1:14">
      <c r="A16" s="129" t="s">
        <v>537</v>
      </c>
      <c r="B16" s="130" t="s">
        <v>97</v>
      </c>
      <c r="C16" s="130" t="s">
        <v>98</v>
      </c>
      <c r="D16" s="130" t="s">
        <v>99</v>
      </c>
      <c r="E16" s="130" t="s">
        <v>100</v>
      </c>
      <c r="F16" s="130" t="s">
        <v>101</v>
      </c>
      <c r="G16" s="131" t="s">
        <v>102</v>
      </c>
      <c r="I16" s="547"/>
      <c r="J16" s="547"/>
      <c r="K16" s="547"/>
      <c r="L16" s="547"/>
      <c r="M16" s="547"/>
      <c r="N16" s="547"/>
    </row>
    <row r="17" spans="1:14">
      <c r="A17" s="108" t="s">
        <v>78</v>
      </c>
      <c r="B17" s="109">
        <v>0</v>
      </c>
      <c r="C17" s="109">
        <v>0.188496</v>
      </c>
      <c r="D17" s="109">
        <v>3.1415999999999999</v>
      </c>
      <c r="E17" s="109">
        <v>15.707999999999998</v>
      </c>
      <c r="F17" s="109">
        <v>54.859000000000002</v>
      </c>
      <c r="G17" s="110">
        <v>234.78699999999998</v>
      </c>
      <c r="I17" s="547"/>
      <c r="J17" s="547"/>
      <c r="K17" s="547"/>
      <c r="L17" s="547"/>
      <c r="M17" s="547"/>
      <c r="N17" s="547"/>
    </row>
    <row r="18" spans="1:14">
      <c r="I18" s="547"/>
      <c r="J18" s="547"/>
      <c r="K18" s="547"/>
      <c r="L18" s="547"/>
      <c r="M18" s="547"/>
      <c r="N18" s="547"/>
    </row>
  </sheetData>
  <mergeCells count="2">
    <mergeCell ref="A5:H5"/>
    <mergeCell ref="I12:N18"/>
  </mergeCells>
  <pageMargins left="0.7" right="0.7" top="0.75" bottom="0.75" header="0.3" footer="0.3"/>
  <pageSetup paperSize="9" orientation="portrait" horizontalDpi="0" verticalDpi="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9C3D0-5931-B045-937B-45539A29DF3F}">
  <dimension ref="A1:Q34"/>
  <sheetViews>
    <sheetView zoomScale="125" zoomScaleNormal="142" workbookViewId="0">
      <selection activeCell="E11" sqref="E11"/>
    </sheetView>
  </sheetViews>
  <sheetFormatPr baseColWidth="10" defaultRowHeight="16"/>
  <cols>
    <col min="1" max="1" width="20" customWidth="1"/>
    <col min="3" max="3" width="13.83203125" customWidth="1"/>
    <col min="5" max="5" width="12" customWidth="1"/>
    <col min="11" max="11" width="18.5" customWidth="1"/>
  </cols>
  <sheetData>
    <row r="1" spans="1:17">
      <c r="A1" s="172"/>
      <c r="B1" s="253" t="s">
        <v>97</v>
      </c>
      <c r="C1" s="253" t="s">
        <v>98</v>
      </c>
      <c r="D1" s="253" t="s">
        <v>99</v>
      </c>
      <c r="E1" s="253" t="s">
        <v>100</v>
      </c>
      <c r="F1" s="253" t="s">
        <v>101</v>
      </c>
      <c r="G1" s="253" t="s">
        <v>102</v>
      </c>
      <c r="H1" s="174" t="s">
        <v>199</v>
      </c>
    </row>
    <row r="2" spans="1:17">
      <c r="A2" s="175" t="s">
        <v>103</v>
      </c>
      <c r="B2" s="4">
        <v>0</v>
      </c>
      <c r="C2" s="4">
        <v>1.2E-2</v>
      </c>
      <c r="D2" s="4">
        <v>0.2</v>
      </c>
      <c r="E2" s="4">
        <v>1</v>
      </c>
      <c r="F2" s="4">
        <v>3.4</v>
      </c>
      <c r="G2" s="4">
        <v>8.1999999999999993</v>
      </c>
      <c r="H2" s="176" t="s">
        <v>200</v>
      </c>
    </row>
    <row r="3" spans="1:17" ht="35" thickBot="1">
      <c r="A3" s="178" t="s">
        <v>110</v>
      </c>
      <c r="B3" s="179">
        <v>0</v>
      </c>
      <c r="C3" s="179">
        <f>C2*30</f>
        <v>0.36</v>
      </c>
      <c r="D3" s="179">
        <f t="shared" ref="D3:G3" si="0">D2*30</f>
        <v>6</v>
      </c>
      <c r="E3" s="179">
        <f t="shared" si="0"/>
        <v>30</v>
      </c>
      <c r="F3" s="179">
        <f t="shared" si="0"/>
        <v>102</v>
      </c>
      <c r="G3" s="179">
        <f t="shared" si="0"/>
        <v>245.99999999999997</v>
      </c>
      <c r="H3" s="180" t="s">
        <v>200</v>
      </c>
    </row>
    <row r="4" spans="1:17" ht="17" thickBot="1"/>
    <row r="5" spans="1:17">
      <c r="A5" s="503" t="s">
        <v>269</v>
      </c>
      <c r="B5" s="558"/>
      <c r="C5" s="558"/>
      <c r="D5" s="558"/>
      <c r="E5" s="558"/>
      <c r="F5" s="558"/>
      <c r="G5" s="558"/>
      <c r="H5" s="558"/>
      <c r="I5" s="558"/>
      <c r="J5" s="558"/>
      <c r="K5" s="558"/>
      <c r="L5" s="504"/>
    </row>
    <row r="6" spans="1:17">
      <c r="A6" s="524" t="s">
        <v>846</v>
      </c>
      <c r="B6" s="473"/>
      <c r="C6" s="473"/>
      <c r="D6" s="473"/>
      <c r="E6" s="473"/>
      <c r="F6" s="473"/>
      <c r="G6" s="473"/>
      <c r="H6" s="473"/>
      <c r="I6" s="473"/>
      <c r="J6" s="473"/>
      <c r="K6" s="473"/>
      <c r="L6" s="474"/>
    </row>
    <row r="7" spans="1:17" ht="18" thickBot="1">
      <c r="A7" s="178" t="s">
        <v>270</v>
      </c>
      <c r="B7" s="179">
        <v>2.2399</v>
      </c>
      <c r="C7" s="179" t="s">
        <v>560</v>
      </c>
      <c r="D7" s="179">
        <v>2.5198999999999998</v>
      </c>
      <c r="E7" s="179" t="s">
        <v>561</v>
      </c>
      <c r="F7" s="179">
        <v>4.4798</v>
      </c>
      <c r="G7" s="179" t="s">
        <v>562</v>
      </c>
      <c r="H7" s="163">
        <v>6.4397000000000002</v>
      </c>
      <c r="I7" s="179" t="s">
        <v>563</v>
      </c>
      <c r="J7" s="163">
        <v>6.9996</v>
      </c>
      <c r="K7" s="163" t="s">
        <v>564</v>
      </c>
      <c r="L7" s="164">
        <v>7.2796000000000003</v>
      </c>
    </row>
    <row r="8" spans="1:17">
      <c r="A8" s="473"/>
      <c r="B8" s="473"/>
      <c r="C8" s="473"/>
      <c r="D8" s="473"/>
      <c r="E8" s="473"/>
      <c r="F8" s="473"/>
    </row>
    <row r="9" spans="1:17" ht="17" thickBot="1">
      <c r="A9" s="2"/>
      <c r="B9" s="2"/>
      <c r="C9" s="2"/>
      <c r="D9" s="2"/>
      <c r="E9" s="2"/>
      <c r="F9" s="2"/>
    </row>
    <row r="10" spans="1:17">
      <c r="A10" s="271" t="s">
        <v>109</v>
      </c>
      <c r="B10" s="239" t="s">
        <v>97</v>
      </c>
      <c r="C10" s="239" t="s">
        <v>98</v>
      </c>
      <c r="D10" s="239" t="s">
        <v>99</v>
      </c>
      <c r="E10" s="239" t="s">
        <v>100</v>
      </c>
      <c r="F10" s="239" t="s">
        <v>101</v>
      </c>
      <c r="G10" s="240" t="s">
        <v>102</v>
      </c>
    </row>
    <row r="11" spans="1:17" ht="17" thickBot="1">
      <c r="A11" s="345" t="s">
        <v>78</v>
      </c>
      <c r="B11" s="199">
        <v>0</v>
      </c>
      <c r="C11" s="199">
        <f>B7*C3*1.06</f>
        <v>0.85474583999999998</v>
      </c>
      <c r="D11" s="199">
        <f>B7*D3*1.06</f>
        <v>14.245763999999999</v>
      </c>
      <c r="E11" s="199">
        <f>B7*E3*1.06</f>
        <v>71.228820000000013</v>
      </c>
      <c r="F11" s="199">
        <f>(B7*50+50*D7+2*F7)*1.06</f>
        <v>261.76657600000004</v>
      </c>
      <c r="G11" s="200">
        <f>(B7*50+50*D7+100*F7+46*H7)*1.06</f>
        <v>1041.1279720000002</v>
      </c>
    </row>
    <row r="12" spans="1:17">
      <c r="A12" s="6"/>
      <c r="B12" s="6"/>
      <c r="C12" s="4"/>
      <c r="D12" s="6"/>
      <c r="E12" s="4"/>
      <c r="F12" s="6"/>
      <c r="G12" s="13"/>
      <c r="H12" s="13"/>
      <c r="I12" s="55" t="s">
        <v>90</v>
      </c>
      <c r="J12" s="56"/>
      <c r="K12" s="26"/>
      <c r="M12" s="593" t="s">
        <v>847</v>
      </c>
      <c r="N12" s="594"/>
      <c r="O12" s="594"/>
      <c r="P12" s="594"/>
      <c r="Q12" s="595"/>
    </row>
    <row r="13" spans="1:17">
      <c r="A13" s="2"/>
      <c r="B13" s="2"/>
      <c r="C13" s="2"/>
      <c r="D13" s="2"/>
      <c r="E13" s="2"/>
      <c r="F13" s="2"/>
      <c r="G13" s="13"/>
      <c r="H13" s="13"/>
      <c r="I13" s="13"/>
      <c r="J13" s="13"/>
      <c r="M13" s="596"/>
      <c r="N13" s="450"/>
      <c r="O13" s="450"/>
      <c r="P13" s="450"/>
      <c r="Q13" s="471"/>
    </row>
    <row r="14" spans="1:17" ht="17">
      <c r="A14" s="6"/>
      <c r="B14" s="6"/>
      <c r="C14" s="4"/>
      <c r="D14" s="6"/>
      <c r="E14" s="4"/>
      <c r="F14" s="6"/>
      <c r="G14" s="13"/>
      <c r="H14" s="13"/>
      <c r="I14" s="57" t="s">
        <v>214</v>
      </c>
      <c r="J14" s="13"/>
      <c r="M14" s="596"/>
      <c r="N14" s="450"/>
      <c r="O14" s="450"/>
      <c r="P14" s="450"/>
      <c r="Q14" s="471"/>
    </row>
    <row r="15" spans="1:17" ht="17" thickBot="1">
      <c r="A15" s="13"/>
      <c r="B15" s="13"/>
      <c r="C15" s="13"/>
      <c r="D15" s="13"/>
      <c r="E15" s="13"/>
      <c r="F15" s="13"/>
      <c r="G15" s="13"/>
      <c r="H15" s="13"/>
      <c r="I15" s="13"/>
      <c r="J15" s="13"/>
      <c r="M15" s="597"/>
      <c r="N15" s="598"/>
      <c r="O15" s="598"/>
      <c r="P15" s="598"/>
      <c r="Q15" s="472"/>
    </row>
    <row r="16" spans="1:17">
      <c r="A16" s="13"/>
      <c r="B16" s="13"/>
      <c r="C16" s="13"/>
      <c r="D16" s="13"/>
      <c r="E16" s="13"/>
      <c r="F16" s="13"/>
      <c r="G16" s="13"/>
      <c r="H16" s="13"/>
      <c r="I16" s="13"/>
      <c r="J16" s="13"/>
    </row>
    <row r="17" spans="1:16">
      <c r="A17" s="80"/>
      <c r="B17" s="80"/>
      <c r="C17" s="80"/>
      <c r="D17" s="80"/>
      <c r="E17" s="80"/>
      <c r="F17" s="80"/>
      <c r="G17" s="80"/>
      <c r="H17" s="13"/>
      <c r="I17" s="13"/>
      <c r="J17" s="13"/>
    </row>
    <row r="18" spans="1:16" ht="16" customHeight="1">
      <c r="A18" s="46"/>
      <c r="B18" s="46"/>
      <c r="C18" s="46"/>
      <c r="D18" s="46"/>
      <c r="E18" s="46"/>
      <c r="F18" s="46"/>
      <c r="G18" s="46"/>
      <c r="H18" s="13"/>
      <c r="I18" s="13"/>
      <c r="J18" s="451" t="s">
        <v>582</v>
      </c>
      <c r="K18" s="451"/>
      <c r="L18" s="451"/>
      <c r="M18" s="451"/>
      <c r="N18" s="451"/>
      <c r="O18" s="451"/>
      <c r="P18" s="451"/>
    </row>
    <row r="19" spans="1:16">
      <c r="A19" s="6"/>
      <c r="B19" s="6"/>
      <c r="C19" s="6"/>
      <c r="D19" s="6"/>
      <c r="E19" s="6"/>
      <c r="F19" s="6"/>
      <c r="G19" s="6"/>
      <c r="H19" s="13"/>
      <c r="I19" s="13"/>
      <c r="J19" s="451"/>
      <c r="K19" s="451"/>
      <c r="L19" s="451"/>
      <c r="M19" s="451"/>
      <c r="N19" s="451"/>
      <c r="O19" s="451"/>
      <c r="P19" s="451"/>
    </row>
    <row r="20" spans="1:16">
      <c r="A20" s="6"/>
      <c r="B20" s="6"/>
      <c r="C20" s="6"/>
      <c r="D20" s="6"/>
      <c r="E20" s="6"/>
      <c r="F20" s="6"/>
      <c r="G20" s="6"/>
      <c r="H20" s="13"/>
      <c r="I20" s="13"/>
      <c r="J20" s="451"/>
      <c r="K20" s="451"/>
      <c r="L20" s="451"/>
      <c r="M20" s="451"/>
      <c r="N20" s="451"/>
      <c r="O20" s="451"/>
      <c r="P20" s="451"/>
    </row>
    <row r="21" spans="1:16">
      <c r="J21" s="451"/>
      <c r="K21" s="451"/>
      <c r="L21" s="451"/>
      <c r="M21" s="451"/>
      <c r="N21" s="451"/>
      <c r="O21" s="451"/>
      <c r="P21" s="451"/>
    </row>
    <row r="22" spans="1:16">
      <c r="A22" s="156"/>
      <c r="B22" s="80"/>
      <c r="C22" s="80"/>
      <c r="D22" s="80"/>
      <c r="E22" s="80"/>
      <c r="F22" s="80"/>
      <c r="G22" s="80"/>
      <c r="J22" s="451"/>
      <c r="K22" s="451"/>
      <c r="L22" s="451"/>
      <c r="M22" s="451"/>
      <c r="N22" s="451"/>
      <c r="O22" s="451"/>
      <c r="P22" s="451"/>
    </row>
    <row r="23" spans="1:16">
      <c r="A23" s="1"/>
      <c r="B23" s="1"/>
      <c r="C23" s="1"/>
      <c r="D23" s="1"/>
      <c r="E23" s="1"/>
      <c r="F23" s="1"/>
      <c r="G23" s="1"/>
      <c r="J23" s="451"/>
      <c r="K23" s="451"/>
      <c r="L23" s="451"/>
      <c r="M23" s="451"/>
      <c r="N23" s="451"/>
      <c r="O23" s="451"/>
      <c r="P23" s="451"/>
    </row>
    <row r="24" spans="1:16">
      <c r="J24" s="13"/>
      <c r="K24" s="13"/>
      <c r="L24" s="13"/>
      <c r="M24" s="13"/>
      <c r="N24" s="13"/>
      <c r="O24" s="13"/>
      <c r="P24" s="13"/>
    </row>
    <row r="25" spans="1:16">
      <c r="J25" s="13"/>
      <c r="K25" s="13"/>
      <c r="L25" s="13"/>
      <c r="M25" s="13"/>
      <c r="N25" s="13"/>
      <c r="O25" s="13"/>
      <c r="P25" s="13"/>
    </row>
    <row r="26" spans="1:16">
      <c r="C26" s="2"/>
      <c r="D26" s="2"/>
      <c r="E26" s="2"/>
      <c r="F26" s="2"/>
      <c r="G26" s="2"/>
      <c r="J26" s="13"/>
      <c r="K26" s="13"/>
      <c r="L26" s="13"/>
      <c r="M26" s="13"/>
      <c r="N26" s="13"/>
      <c r="O26" s="13"/>
      <c r="P26" s="13"/>
    </row>
    <row r="27" spans="1:16">
      <c r="C27" s="2"/>
      <c r="D27" s="2"/>
      <c r="E27" s="2"/>
      <c r="F27" s="2" t="s">
        <v>268</v>
      </c>
      <c r="G27" s="2"/>
      <c r="J27" s="13"/>
      <c r="K27" s="13"/>
      <c r="L27" s="13"/>
      <c r="M27" s="13"/>
      <c r="N27" s="13"/>
      <c r="O27" s="13"/>
      <c r="P27" s="13"/>
    </row>
    <row r="28" spans="1:16">
      <c r="C28" s="2"/>
      <c r="D28" s="2"/>
      <c r="E28" s="2"/>
      <c r="F28" s="2"/>
      <c r="G28" s="2"/>
      <c r="J28" s="13"/>
      <c r="K28" s="13"/>
      <c r="L28" s="13"/>
      <c r="M28" s="13"/>
      <c r="N28" s="13"/>
      <c r="O28" s="13"/>
      <c r="P28" s="13"/>
    </row>
    <row r="29" spans="1:16">
      <c r="C29" s="2"/>
      <c r="D29" s="2"/>
      <c r="E29" s="2"/>
      <c r="F29" s="2"/>
      <c r="G29" s="2"/>
    </row>
    <row r="30" spans="1:16">
      <c r="C30" s="2"/>
      <c r="D30" s="2"/>
      <c r="E30" s="2"/>
      <c r="F30" s="2"/>
      <c r="G30" s="2"/>
    </row>
    <row r="31" spans="1:16">
      <c r="C31" s="2"/>
      <c r="D31" s="2"/>
      <c r="E31" s="2"/>
      <c r="F31" s="2"/>
      <c r="G31" s="2"/>
    </row>
    <row r="32" spans="1:16">
      <c r="C32" s="2"/>
      <c r="D32" s="2"/>
      <c r="E32" s="2"/>
      <c r="F32" s="2"/>
      <c r="G32" s="2"/>
    </row>
    <row r="33" spans="3:7">
      <c r="C33" s="2"/>
      <c r="D33" s="2"/>
      <c r="E33" s="2"/>
      <c r="F33" s="2"/>
      <c r="G33" s="2"/>
    </row>
    <row r="34" spans="3:7">
      <c r="C34" s="2"/>
      <c r="D34" s="2"/>
      <c r="E34" s="2"/>
      <c r="F34" s="2"/>
      <c r="G34" s="2"/>
    </row>
  </sheetData>
  <mergeCells count="5">
    <mergeCell ref="A8:F8"/>
    <mergeCell ref="A6:L6"/>
    <mergeCell ref="A5:L5"/>
    <mergeCell ref="J18:P23"/>
    <mergeCell ref="M12:Q15"/>
  </mergeCell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77D7B-229A-FD40-AC3B-FCEC1837557E}">
  <dimension ref="A1:J9"/>
  <sheetViews>
    <sheetView zoomScale="183" workbookViewId="0">
      <selection activeCell="G11" sqref="G11"/>
    </sheetView>
  </sheetViews>
  <sheetFormatPr baseColWidth="10" defaultRowHeight="16"/>
  <cols>
    <col min="1" max="6" width="10.83203125" style="4"/>
    <col min="7" max="7" width="9.6640625" style="4" customWidth="1"/>
    <col min="8" max="8" width="10.83203125" style="4"/>
    <col min="10" max="10" width="19.83203125" customWidth="1"/>
  </cols>
  <sheetData>
    <row r="1" spans="1:10">
      <c r="A1" s="172"/>
      <c r="B1" s="173" t="s">
        <v>97</v>
      </c>
      <c r="C1" s="173" t="s">
        <v>98</v>
      </c>
      <c r="D1" s="173" t="s">
        <v>99</v>
      </c>
      <c r="E1" s="173" t="s">
        <v>100</v>
      </c>
      <c r="F1" s="173" t="s">
        <v>101</v>
      </c>
      <c r="G1" s="173" t="s">
        <v>102</v>
      </c>
      <c r="H1" s="174" t="s">
        <v>199</v>
      </c>
    </row>
    <row r="2" spans="1:10">
      <c r="A2" s="175" t="s">
        <v>103</v>
      </c>
      <c r="B2" s="4">
        <v>0</v>
      </c>
      <c r="C2" s="4">
        <v>1.2E-2</v>
      </c>
      <c r="D2" s="4">
        <v>0.2</v>
      </c>
      <c r="E2" s="4">
        <v>1</v>
      </c>
      <c r="F2" s="4">
        <v>3.4</v>
      </c>
      <c r="G2" s="4">
        <v>8.1999999999999993</v>
      </c>
      <c r="H2" s="176" t="s">
        <v>200</v>
      </c>
    </row>
    <row r="3" spans="1:10" ht="69" thickBot="1">
      <c r="A3" s="178" t="s">
        <v>110</v>
      </c>
      <c r="B3" s="179">
        <v>0</v>
      </c>
      <c r="C3" s="179">
        <f>C2*30</f>
        <v>0.36</v>
      </c>
      <c r="D3" s="179">
        <f t="shared" ref="D3:G3" si="0">D2*30</f>
        <v>6</v>
      </c>
      <c r="E3" s="179">
        <f t="shared" si="0"/>
        <v>30</v>
      </c>
      <c r="F3" s="179">
        <f t="shared" si="0"/>
        <v>102</v>
      </c>
      <c r="G3" s="179">
        <f t="shared" si="0"/>
        <v>245.99999999999997</v>
      </c>
      <c r="H3" s="180" t="s">
        <v>200</v>
      </c>
    </row>
    <row r="4" spans="1:10" ht="17" thickBot="1"/>
    <row r="5" spans="1:10" ht="17">
      <c r="A5" s="348" t="s">
        <v>113</v>
      </c>
      <c r="B5" s="173"/>
      <c r="C5" s="173"/>
      <c r="D5" s="173"/>
      <c r="E5" s="173"/>
      <c r="F5" s="173"/>
      <c r="G5" s="173"/>
      <c r="H5" s="174"/>
    </row>
    <row r="6" spans="1:10" ht="61" customHeight="1" thickBot="1">
      <c r="A6" s="349" t="s">
        <v>111</v>
      </c>
      <c r="B6" s="179">
        <v>0.9839</v>
      </c>
      <c r="C6" s="350" t="s">
        <v>112</v>
      </c>
      <c r="D6" s="179">
        <v>1.3663000000000001</v>
      </c>
      <c r="E6" s="350" t="s">
        <v>55</v>
      </c>
      <c r="F6" s="188">
        <v>34.020000000000003</v>
      </c>
      <c r="G6" s="351" t="s">
        <v>631</v>
      </c>
      <c r="H6" s="352">
        <v>0.05</v>
      </c>
      <c r="J6" t="s">
        <v>134</v>
      </c>
    </row>
    <row r="7" spans="1:10">
      <c r="A7" s="6"/>
    </row>
    <row r="8" spans="1:10">
      <c r="A8" s="105" t="s">
        <v>109</v>
      </c>
      <c r="B8" s="106" t="s">
        <v>97</v>
      </c>
      <c r="C8" s="106" t="s">
        <v>98</v>
      </c>
      <c r="D8" s="106" t="s">
        <v>99</v>
      </c>
      <c r="E8" s="106" t="s">
        <v>100</v>
      </c>
      <c r="F8" s="106" t="s">
        <v>101</v>
      </c>
      <c r="G8" s="107" t="s">
        <v>102</v>
      </c>
    </row>
    <row r="9" spans="1:10">
      <c r="A9" s="108" t="s">
        <v>83</v>
      </c>
      <c r="B9" s="109">
        <v>0</v>
      </c>
      <c r="C9" s="109">
        <f>(C3*B6)+F6+H6*C3</f>
        <v>34.392204000000007</v>
      </c>
      <c r="D9" s="109">
        <f>(D3*B6)+F6+H6*D3</f>
        <v>40.223399999999998</v>
      </c>
      <c r="E9" s="109">
        <f>E3*B6+F6+H6*E3</f>
        <v>65.037000000000006</v>
      </c>
      <c r="F9" s="109">
        <f>F3*B6+H6*F3+F6</f>
        <v>139.4778</v>
      </c>
      <c r="G9" s="110">
        <f>200*B6+(G3-200)*D6+F6+H6*G3</f>
        <v>305.94979999999998</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661B5-8291-1144-92EC-886CDF9082D2}">
  <dimension ref="A1:U78"/>
  <sheetViews>
    <sheetView topLeftCell="A32" zoomScale="125" workbookViewId="0">
      <selection activeCell="E59" sqref="E59"/>
    </sheetView>
  </sheetViews>
  <sheetFormatPr baseColWidth="10" defaultRowHeight="16"/>
  <cols>
    <col min="1" max="1" width="27" customWidth="1"/>
    <col min="3" max="3" width="15.1640625" customWidth="1"/>
    <col min="4" max="4" width="16.5" customWidth="1"/>
    <col min="5" max="5" width="13.6640625" customWidth="1"/>
    <col min="6" max="6" width="13.33203125" customWidth="1"/>
    <col min="7" max="7" width="18.33203125" customWidth="1"/>
    <col min="14" max="14" width="17.1640625" customWidth="1"/>
    <col min="17" max="17" width="17" customWidth="1"/>
  </cols>
  <sheetData>
    <row r="1" spans="1:21">
      <c r="A1" s="172"/>
      <c r="B1" s="253" t="s">
        <v>97</v>
      </c>
      <c r="C1" s="253" t="s">
        <v>98</v>
      </c>
      <c r="D1" s="253" t="s">
        <v>99</v>
      </c>
      <c r="E1" s="253" t="s">
        <v>100</v>
      </c>
      <c r="F1" s="253" t="s">
        <v>101</v>
      </c>
      <c r="G1" s="253" t="s">
        <v>102</v>
      </c>
      <c r="H1" s="242" t="s">
        <v>199</v>
      </c>
    </row>
    <row r="2" spans="1:21">
      <c r="A2" s="175" t="s">
        <v>103</v>
      </c>
      <c r="B2" s="4">
        <v>0</v>
      </c>
      <c r="C2" s="4">
        <v>1.2E-2</v>
      </c>
      <c r="D2" s="4">
        <v>0.2</v>
      </c>
      <c r="E2" s="4">
        <v>1</v>
      </c>
      <c r="F2" s="4">
        <v>3.4</v>
      </c>
      <c r="G2" s="4">
        <v>8.1999999999999993</v>
      </c>
      <c r="H2" s="176" t="s">
        <v>200</v>
      </c>
    </row>
    <row r="3" spans="1:21" ht="35" thickBot="1">
      <c r="A3" s="177" t="s">
        <v>110</v>
      </c>
      <c r="B3" s="4">
        <v>0</v>
      </c>
      <c r="C3" s="4">
        <f>C2*30</f>
        <v>0.36</v>
      </c>
      <c r="D3" s="4">
        <f t="shared" ref="D3:G3" si="0">D2*30</f>
        <v>6</v>
      </c>
      <c r="E3" s="4">
        <f t="shared" si="0"/>
        <v>30</v>
      </c>
      <c r="F3" s="4">
        <f t="shared" si="0"/>
        <v>102</v>
      </c>
      <c r="G3" s="4">
        <f t="shared" si="0"/>
        <v>245.99999999999997</v>
      </c>
      <c r="H3" s="176" t="s">
        <v>200</v>
      </c>
    </row>
    <row r="4" spans="1:21" ht="17">
      <c r="A4" s="177" t="s">
        <v>297</v>
      </c>
      <c r="B4" s="4">
        <v>0</v>
      </c>
      <c r="C4" s="4" t="s">
        <v>577</v>
      </c>
      <c r="D4" s="4" t="s">
        <v>578</v>
      </c>
      <c r="E4" s="4" t="s">
        <v>579</v>
      </c>
      <c r="F4" s="4" t="s">
        <v>580</v>
      </c>
      <c r="G4" s="4" t="s">
        <v>1031</v>
      </c>
      <c r="H4" s="176" t="s">
        <v>202</v>
      </c>
      <c r="P4" s="157" t="s">
        <v>583</v>
      </c>
      <c r="Q4" s="158"/>
      <c r="R4" s="158"/>
      <c r="S4" s="158"/>
      <c r="T4" s="158"/>
      <c r="U4" s="159"/>
    </row>
    <row r="5" spans="1:21">
      <c r="A5" s="224" t="s">
        <v>1026</v>
      </c>
      <c r="B5" s="1">
        <v>0</v>
      </c>
      <c r="C5" s="1">
        <v>5.2631578947368425E-2</v>
      </c>
      <c r="D5" s="1">
        <v>0.2105263157894737</v>
      </c>
      <c r="E5" s="1">
        <v>0.8421052631578948</v>
      </c>
      <c r="F5" s="1">
        <v>2.1052631578947367</v>
      </c>
      <c r="G5" s="1">
        <v>14.736842105263159</v>
      </c>
      <c r="H5" s="176" t="s">
        <v>300</v>
      </c>
      <c r="P5" s="160" t="s">
        <v>584</v>
      </c>
      <c r="U5" s="161"/>
    </row>
    <row r="6" spans="1:21" ht="17" thickBot="1">
      <c r="A6" s="224" t="s">
        <v>1033</v>
      </c>
      <c r="B6" s="1">
        <v>0</v>
      </c>
      <c r="C6" s="4">
        <f>50/(220*0.95)</f>
        <v>0.23923444976076555</v>
      </c>
      <c r="D6" s="4">
        <f>200/(220*0.95)</f>
        <v>0.9569377990430622</v>
      </c>
      <c r="E6" s="4">
        <f>800/(220*0.95)</f>
        <v>3.8277511961722488</v>
      </c>
      <c r="F6" s="4">
        <f>2000/(220*0.95)</f>
        <v>9.5693779904306222</v>
      </c>
      <c r="G6" s="4">
        <f>14000/(220*0.95)</f>
        <v>66.985645933014354</v>
      </c>
      <c r="H6" s="176" t="s">
        <v>217</v>
      </c>
      <c r="J6">
        <f>B17*1.18/606.5697502</f>
        <v>0.19842730363707475</v>
      </c>
      <c r="K6">
        <f>H26*1.18/606.5697502</f>
        <v>0.69060483128589745</v>
      </c>
      <c r="M6">
        <f>H29*G6*1.18/606.5697502</f>
        <v>46.260610708146238</v>
      </c>
      <c r="N6">
        <f>AVERAGE(M6,J6)</f>
        <v>23.229519005891657</v>
      </c>
      <c r="P6" s="162" t="s">
        <v>585</v>
      </c>
      <c r="Q6" s="163"/>
      <c r="R6" s="163"/>
      <c r="S6" s="163"/>
      <c r="T6" s="163"/>
      <c r="U6" s="164"/>
    </row>
    <row r="7" spans="1:21" ht="17" thickBot="1">
      <c r="A7" s="181" t="s">
        <v>1069</v>
      </c>
      <c r="B7" s="179">
        <v>0</v>
      </c>
      <c r="C7" s="179">
        <f>50/(380*0.95)</f>
        <v>0.13850415512465375</v>
      </c>
      <c r="D7" s="179">
        <f>200/(380*0.95)</f>
        <v>0.554016620498615</v>
      </c>
      <c r="E7" s="179">
        <f>800/(380*0.95)</f>
        <v>2.21606648199446</v>
      </c>
      <c r="F7" s="179">
        <f>2000/(380*0.95)</f>
        <v>5.54016620498615</v>
      </c>
      <c r="G7" s="179">
        <f>14000/(380*0.95)</f>
        <v>38.78116343490305</v>
      </c>
      <c r="H7" s="180" t="s">
        <v>217</v>
      </c>
      <c r="I7" s="4"/>
      <c r="J7" s="4">
        <f>E11*1.18/606.5697502</f>
        <v>2.2021539972271436</v>
      </c>
      <c r="K7" s="4"/>
      <c r="L7" s="4"/>
      <c r="M7" s="4"/>
      <c r="N7" s="4"/>
    </row>
    <row r="8" spans="1:21">
      <c r="A8" s="4"/>
      <c r="B8" s="4"/>
      <c r="C8" s="4"/>
      <c r="D8" s="4"/>
      <c r="E8" s="4"/>
      <c r="F8" s="4"/>
      <c r="G8" s="4">
        <f>0.003/0.95</f>
        <v>3.1578947368421056E-3</v>
      </c>
      <c r="H8" s="4"/>
      <c r="I8" s="4"/>
      <c r="J8" s="4"/>
      <c r="K8" s="4"/>
      <c r="L8" s="4"/>
      <c r="M8" s="4"/>
      <c r="N8" s="4"/>
    </row>
    <row r="9" spans="1:21">
      <c r="A9" s="4"/>
      <c r="B9" s="4"/>
      <c r="C9" s="4"/>
      <c r="D9" s="4"/>
      <c r="E9" s="4"/>
      <c r="F9" s="4"/>
      <c r="G9" s="4"/>
      <c r="H9" s="4"/>
      <c r="I9" s="4"/>
      <c r="J9" s="4"/>
      <c r="K9" s="4"/>
      <c r="L9" s="4"/>
      <c r="M9" s="4"/>
      <c r="N9" s="4"/>
    </row>
    <row r="10" spans="1:21">
      <c r="A10" s="465" t="s">
        <v>314</v>
      </c>
      <c r="B10" s="466"/>
      <c r="C10" s="466"/>
      <c r="D10" s="466"/>
      <c r="E10" s="466"/>
      <c r="F10" s="466"/>
      <c r="G10" s="466"/>
      <c r="H10" s="466"/>
      <c r="I10" s="467"/>
      <c r="J10" s="465" t="s">
        <v>548</v>
      </c>
      <c r="K10" s="466"/>
      <c r="L10" s="466"/>
      <c r="M10" s="466"/>
      <c r="N10" s="467"/>
    </row>
    <row r="11" spans="1:21">
      <c r="A11" s="62" t="s">
        <v>309</v>
      </c>
      <c r="B11" s="49">
        <v>75</v>
      </c>
      <c r="C11" s="50" t="s">
        <v>310</v>
      </c>
      <c r="D11" s="33" t="s">
        <v>532</v>
      </c>
      <c r="E11" s="49">
        <v>1132</v>
      </c>
      <c r="F11" s="50" t="s">
        <v>312</v>
      </c>
      <c r="G11" s="62" t="s">
        <v>533</v>
      </c>
      <c r="H11" s="49">
        <v>0</v>
      </c>
      <c r="I11" s="50" t="s">
        <v>312</v>
      </c>
      <c r="J11" s="62" t="s">
        <v>139</v>
      </c>
      <c r="K11" s="49">
        <v>1229</v>
      </c>
      <c r="L11" s="50" t="s">
        <v>312</v>
      </c>
      <c r="M11" s="62" t="s">
        <v>138</v>
      </c>
      <c r="N11" s="50" t="s">
        <v>313</v>
      </c>
    </row>
    <row r="12" spans="1:21">
      <c r="A12" s="41" t="s">
        <v>311</v>
      </c>
      <c r="B12" s="4">
        <v>128</v>
      </c>
      <c r="C12" s="42" t="s">
        <v>310</v>
      </c>
      <c r="D12" s="41"/>
      <c r="E12" s="4"/>
      <c r="F12" s="42"/>
      <c r="G12" s="41"/>
      <c r="H12" s="4"/>
      <c r="I12" s="42"/>
      <c r="J12" s="41"/>
      <c r="K12" s="4"/>
      <c r="L12" s="42"/>
      <c r="M12" s="41"/>
      <c r="N12" s="42"/>
    </row>
    <row r="13" spans="1:21">
      <c r="A13" s="51" t="s">
        <v>247</v>
      </c>
      <c r="B13" s="52">
        <v>138</v>
      </c>
      <c r="C13" s="53" t="s">
        <v>310</v>
      </c>
      <c r="D13" s="51"/>
      <c r="E13" s="52"/>
      <c r="F13" s="53"/>
      <c r="G13" s="51"/>
      <c r="H13" s="52"/>
      <c r="I13" s="53"/>
      <c r="J13" s="51"/>
      <c r="K13" s="52"/>
      <c r="L13" s="53"/>
      <c r="M13" s="51"/>
      <c r="N13" s="53"/>
    </row>
    <row r="14" spans="1:21">
      <c r="A14" s="41"/>
      <c r="B14" s="4"/>
      <c r="C14" s="4"/>
      <c r="D14" s="4"/>
      <c r="E14" s="4"/>
      <c r="F14" s="4"/>
      <c r="G14" s="4"/>
      <c r="H14" s="4"/>
      <c r="I14" s="4"/>
      <c r="J14" s="4"/>
      <c r="K14" s="4"/>
      <c r="L14" s="4"/>
      <c r="M14" s="4"/>
      <c r="N14" s="42"/>
    </row>
    <row r="15" spans="1:21">
      <c r="A15" s="465" t="s">
        <v>329</v>
      </c>
      <c r="B15" s="466"/>
      <c r="C15" s="466"/>
      <c r="D15" s="466"/>
      <c r="E15" s="466"/>
      <c r="F15" s="466"/>
      <c r="G15" s="466"/>
      <c r="H15" s="466"/>
      <c r="I15" s="467"/>
      <c r="J15" s="465" t="s">
        <v>548</v>
      </c>
      <c r="K15" s="466"/>
      <c r="L15" s="466"/>
      <c r="M15" s="466"/>
      <c r="N15" s="467"/>
    </row>
    <row r="16" spans="1:21">
      <c r="A16" s="62" t="s">
        <v>315</v>
      </c>
      <c r="B16" s="49">
        <v>96</v>
      </c>
      <c r="C16" s="50" t="s">
        <v>310</v>
      </c>
      <c r="D16" s="33" t="s">
        <v>532</v>
      </c>
      <c r="E16" s="49">
        <v>457</v>
      </c>
      <c r="F16" s="50" t="s">
        <v>312</v>
      </c>
      <c r="G16" s="62" t="s">
        <v>533</v>
      </c>
      <c r="H16" s="49">
        <v>355</v>
      </c>
      <c r="I16" s="50" t="s">
        <v>318</v>
      </c>
      <c r="J16" s="62" t="s">
        <v>139</v>
      </c>
      <c r="K16" s="49">
        <v>1229</v>
      </c>
      <c r="L16" s="50" t="s">
        <v>312</v>
      </c>
      <c r="M16" s="62" t="s">
        <v>138</v>
      </c>
      <c r="N16" s="50" t="s">
        <v>319</v>
      </c>
      <c r="P16" s="66"/>
      <c r="Q16" s="65" t="s">
        <v>331</v>
      </c>
      <c r="R16" s="26"/>
    </row>
    <row r="17" spans="1:21">
      <c r="A17" s="41" t="s">
        <v>316</v>
      </c>
      <c r="B17" s="4">
        <v>102</v>
      </c>
      <c r="C17" s="42" t="s">
        <v>310</v>
      </c>
      <c r="D17" s="41"/>
      <c r="E17" s="4"/>
      <c r="F17" s="42"/>
      <c r="G17" s="41"/>
      <c r="H17" s="4"/>
      <c r="I17" s="42"/>
      <c r="J17" s="41"/>
      <c r="K17" s="4"/>
      <c r="L17" s="42"/>
      <c r="M17" s="41"/>
      <c r="N17" s="42"/>
    </row>
    <row r="18" spans="1:21">
      <c r="A18" s="51" t="s">
        <v>317</v>
      </c>
      <c r="B18" s="52">
        <v>109</v>
      </c>
      <c r="C18" s="53" t="s">
        <v>310</v>
      </c>
      <c r="D18" s="51"/>
      <c r="E18" s="52"/>
      <c r="F18" s="53"/>
      <c r="G18" s="51"/>
      <c r="H18" s="52"/>
      <c r="I18" s="53"/>
      <c r="J18" s="51"/>
      <c r="K18" s="52"/>
      <c r="L18" s="53"/>
      <c r="M18" s="51"/>
      <c r="N18" s="53"/>
      <c r="P18" s="27" t="s">
        <v>332</v>
      </c>
      <c r="Q18" s="28"/>
      <c r="R18" s="26"/>
    </row>
    <row r="19" spans="1:21">
      <c r="A19" s="41"/>
      <c r="B19" s="4"/>
      <c r="C19" s="4"/>
      <c r="D19" s="4"/>
      <c r="E19" s="4"/>
      <c r="F19" s="4"/>
      <c r="G19" s="4"/>
      <c r="H19" s="4"/>
      <c r="I19" s="4"/>
      <c r="J19" s="4"/>
      <c r="K19" s="4"/>
      <c r="L19" s="4"/>
      <c r="M19" s="4"/>
      <c r="N19" s="42"/>
    </row>
    <row r="20" spans="1:21">
      <c r="A20" s="465" t="s">
        <v>330</v>
      </c>
      <c r="B20" s="466"/>
      <c r="C20" s="466"/>
      <c r="D20" s="466"/>
      <c r="E20" s="466"/>
      <c r="F20" s="466"/>
      <c r="G20" s="466"/>
      <c r="H20" s="466"/>
      <c r="I20" s="467"/>
      <c r="J20" s="465" t="s">
        <v>548</v>
      </c>
      <c r="K20" s="466"/>
      <c r="L20" s="466"/>
      <c r="M20" s="466"/>
      <c r="N20" s="467"/>
    </row>
    <row r="21" spans="1:21">
      <c r="A21" s="62" t="s">
        <v>315</v>
      </c>
      <c r="B21" s="49">
        <v>96</v>
      </c>
      <c r="C21" s="50" t="s">
        <v>310</v>
      </c>
      <c r="D21" s="33" t="s">
        <v>532</v>
      </c>
      <c r="E21" s="49">
        <v>764</v>
      </c>
      <c r="F21" s="50" t="s">
        <v>312</v>
      </c>
      <c r="G21" s="62" t="s">
        <v>533</v>
      </c>
      <c r="H21" s="49">
        <v>355</v>
      </c>
      <c r="I21" s="50" t="s">
        <v>318</v>
      </c>
      <c r="J21" s="62" t="s">
        <v>139</v>
      </c>
      <c r="K21" s="49">
        <v>1229</v>
      </c>
      <c r="L21" s="50" t="s">
        <v>312</v>
      </c>
      <c r="M21" s="62" t="s">
        <v>138</v>
      </c>
      <c r="N21" s="50" t="s">
        <v>319</v>
      </c>
      <c r="P21" s="27" t="s">
        <v>534</v>
      </c>
      <c r="Q21" s="26"/>
    </row>
    <row r="22" spans="1:21">
      <c r="A22" s="41" t="s">
        <v>316</v>
      </c>
      <c r="B22" s="4">
        <v>102</v>
      </c>
      <c r="C22" s="42" t="s">
        <v>310</v>
      </c>
      <c r="D22" s="41"/>
      <c r="E22" s="4"/>
      <c r="F22" s="42"/>
      <c r="G22" s="41"/>
      <c r="H22" s="4"/>
      <c r="I22" s="42"/>
      <c r="J22" s="41"/>
      <c r="K22" s="4"/>
      <c r="L22" s="42"/>
      <c r="M22" s="41"/>
      <c r="N22" s="42"/>
    </row>
    <row r="23" spans="1:21">
      <c r="A23" s="51" t="s">
        <v>317</v>
      </c>
      <c r="B23" s="52">
        <v>109</v>
      </c>
      <c r="C23" s="53" t="s">
        <v>310</v>
      </c>
      <c r="D23" s="51"/>
      <c r="E23" s="52"/>
      <c r="F23" s="53"/>
      <c r="G23" s="51"/>
      <c r="H23" s="52"/>
      <c r="I23" s="53"/>
      <c r="J23" s="51"/>
      <c r="K23" s="52"/>
      <c r="L23" s="53"/>
      <c r="M23" s="51"/>
      <c r="N23" s="53"/>
    </row>
    <row r="24" spans="1:21">
      <c r="A24" s="41"/>
      <c r="B24" s="4"/>
      <c r="C24" s="4"/>
      <c r="D24" s="4"/>
      <c r="E24" s="4"/>
      <c r="F24" s="4"/>
      <c r="G24" s="4"/>
      <c r="H24" s="4"/>
      <c r="I24" s="4"/>
      <c r="J24" s="4"/>
      <c r="K24" s="4"/>
      <c r="L24" s="4"/>
      <c r="M24" s="4"/>
      <c r="N24" s="42"/>
    </row>
    <row r="25" spans="1:21">
      <c r="A25" s="465" t="s">
        <v>320</v>
      </c>
      <c r="B25" s="466"/>
      <c r="C25" s="466"/>
      <c r="D25" s="466"/>
      <c r="E25" s="466"/>
      <c r="F25" s="466"/>
      <c r="G25" s="466"/>
      <c r="H25" s="466"/>
      <c r="I25" s="467"/>
      <c r="J25" s="465" t="s">
        <v>548</v>
      </c>
      <c r="K25" s="466"/>
      <c r="L25" s="466"/>
      <c r="M25" s="466"/>
      <c r="N25" s="467"/>
      <c r="P25" s="25" t="s">
        <v>425</v>
      </c>
    </row>
    <row r="26" spans="1:21">
      <c r="A26" s="27" t="s">
        <v>321</v>
      </c>
      <c r="B26" s="65">
        <v>160</v>
      </c>
      <c r="C26" s="43" t="s">
        <v>310</v>
      </c>
      <c r="D26" s="39" t="s">
        <v>532</v>
      </c>
      <c r="E26" s="65">
        <v>457</v>
      </c>
      <c r="F26" s="43" t="s">
        <v>312</v>
      </c>
      <c r="G26" s="66" t="s">
        <v>533</v>
      </c>
      <c r="H26" s="65">
        <v>355</v>
      </c>
      <c r="I26" s="43" t="s">
        <v>318</v>
      </c>
      <c r="J26" s="66" t="s">
        <v>139</v>
      </c>
      <c r="K26" s="65">
        <v>1229</v>
      </c>
      <c r="L26" s="43" t="s">
        <v>312</v>
      </c>
      <c r="M26" s="66" t="s">
        <v>138</v>
      </c>
      <c r="N26" s="43" t="s">
        <v>319</v>
      </c>
    </row>
    <row r="27" spans="1:21">
      <c r="A27" s="19"/>
      <c r="B27" s="4"/>
      <c r="C27" s="4"/>
      <c r="D27" s="34"/>
      <c r="E27" s="4"/>
      <c r="F27" s="4"/>
      <c r="G27" s="49"/>
      <c r="H27" s="4"/>
      <c r="I27" s="4"/>
      <c r="J27" s="4"/>
      <c r="K27" s="4"/>
      <c r="L27" s="4"/>
      <c r="M27" s="4"/>
      <c r="N27" s="42"/>
      <c r="P27" s="152" t="s">
        <v>549</v>
      </c>
      <c r="Q27" s="153"/>
      <c r="R27" s="153"/>
      <c r="S27" s="153"/>
      <c r="T27" s="153">
        <v>2</v>
      </c>
      <c r="U27" s="154" t="s">
        <v>271</v>
      </c>
    </row>
    <row r="28" spans="1:21">
      <c r="A28" s="465" t="s">
        <v>322</v>
      </c>
      <c r="B28" s="466"/>
      <c r="C28" s="466"/>
      <c r="D28" s="466"/>
      <c r="E28" s="466"/>
      <c r="F28" s="466"/>
      <c r="G28" s="466"/>
      <c r="H28" s="466"/>
      <c r="I28" s="467"/>
      <c r="J28" s="465" t="s">
        <v>548</v>
      </c>
      <c r="K28" s="466"/>
      <c r="L28" s="466"/>
      <c r="M28" s="466"/>
      <c r="N28" s="467"/>
    </row>
    <row r="29" spans="1:21">
      <c r="A29" s="27" t="s">
        <v>321</v>
      </c>
      <c r="B29" s="65">
        <v>160</v>
      </c>
      <c r="C29" s="43" t="s">
        <v>310</v>
      </c>
      <c r="D29" s="39" t="s">
        <v>532</v>
      </c>
      <c r="E29" s="65">
        <v>764</v>
      </c>
      <c r="F29" s="43" t="s">
        <v>312</v>
      </c>
      <c r="G29" s="66" t="s">
        <v>533</v>
      </c>
      <c r="H29" s="65">
        <v>355</v>
      </c>
      <c r="I29" s="43" t="s">
        <v>318</v>
      </c>
      <c r="J29" s="66" t="s">
        <v>139</v>
      </c>
      <c r="K29" s="65">
        <v>1229</v>
      </c>
      <c r="L29" s="43" t="s">
        <v>312</v>
      </c>
      <c r="M29" s="66" t="s">
        <v>138</v>
      </c>
      <c r="N29" s="43" t="s">
        <v>319</v>
      </c>
    </row>
    <row r="30" spans="1:21">
      <c r="A30" s="19"/>
      <c r="B30" s="4"/>
      <c r="C30" s="4"/>
      <c r="D30" s="34"/>
      <c r="E30" s="4"/>
      <c r="F30" s="4"/>
      <c r="G30" s="49"/>
      <c r="H30" s="4"/>
      <c r="I30" s="4"/>
      <c r="J30" s="4"/>
      <c r="K30" s="4"/>
      <c r="L30" s="4"/>
      <c r="M30" s="4"/>
      <c r="N30" s="42"/>
      <c r="P30" s="90" t="s">
        <v>551</v>
      </c>
      <c r="Q30" s="149" t="s">
        <v>552</v>
      </c>
      <c r="R30" s="149">
        <v>1</v>
      </c>
      <c r="S30" s="147" t="s">
        <v>271</v>
      </c>
    </row>
    <row r="31" spans="1:21">
      <c r="A31" s="468" t="s">
        <v>323</v>
      </c>
      <c r="B31" s="469"/>
      <c r="C31" s="469"/>
      <c r="D31" s="469"/>
      <c r="E31" s="469"/>
      <c r="F31" s="469"/>
      <c r="G31" s="469"/>
      <c r="H31" s="469"/>
      <c r="I31" s="470"/>
      <c r="J31" s="465" t="s">
        <v>548</v>
      </c>
      <c r="K31" s="466"/>
      <c r="L31" s="466"/>
      <c r="M31" s="466"/>
      <c r="N31" s="467"/>
      <c r="P31" s="150"/>
      <c r="Q31" s="151" t="s">
        <v>553</v>
      </c>
      <c r="R31" s="151">
        <v>3</v>
      </c>
      <c r="S31" s="148" t="s">
        <v>271</v>
      </c>
    </row>
    <row r="32" spans="1:21">
      <c r="A32" s="62" t="s">
        <v>315</v>
      </c>
      <c r="B32" s="49">
        <v>96</v>
      </c>
      <c r="C32" s="50" t="s">
        <v>310</v>
      </c>
      <c r="D32" s="33" t="s">
        <v>532</v>
      </c>
      <c r="E32" s="49">
        <v>1226</v>
      </c>
      <c r="F32" s="50" t="s">
        <v>312</v>
      </c>
      <c r="G32" s="62" t="s">
        <v>533</v>
      </c>
      <c r="H32" s="49">
        <v>1061</v>
      </c>
      <c r="I32" s="50" t="s">
        <v>318</v>
      </c>
      <c r="J32" s="62" t="s">
        <v>139</v>
      </c>
      <c r="K32" s="49">
        <v>1918</v>
      </c>
      <c r="L32" s="50" t="s">
        <v>312</v>
      </c>
      <c r="M32" s="62" t="s">
        <v>138</v>
      </c>
      <c r="N32" s="50" t="s">
        <v>324</v>
      </c>
    </row>
    <row r="33" spans="1:14">
      <c r="A33" s="41" t="s">
        <v>316</v>
      </c>
      <c r="B33" s="4">
        <v>108</v>
      </c>
      <c r="C33" s="42" t="s">
        <v>310</v>
      </c>
      <c r="D33" s="41"/>
      <c r="E33" s="4"/>
      <c r="F33" s="42"/>
      <c r="G33" s="41"/>
      <c r="H33" s="4"/>
      <c r="I33" s="42"/>
      <c r="J33" s="41"/>
      <c r="K33" s="4"/>
      <c r="L33" s="42"/>
      <c r="M33" s="41"/>
      <c r="N33" s="42"/>
    </row>
    <row r="34" spans="1:14">
      <c r="A34" s="51" t="s">
        <v>317</v>
      </c>
      <c r="B34" s="52">
        <v>114</v>
      </c>
      <c r="C34" s="53" t="s">
        <v>310</v>
      </c>
      <c r="D34" s="51"/>
      <c r="E34" s="52"/>
      <c r="F34" s="53"/>
      <c r="G34" s="51"/>
      <c r="H34" s="52"/>
      <c r="I34" s="53"/>
      <c r="J34" s="51"/>
      <c r="K34" s="52"/>
      <c r="L34" s="53"/>
      <c r="M34" s="51"/>
      <c r="N34" s="53"/>
    </row>
    <row r="35" spans="1:14">
      <c r="A35" s="41"/>
      <c r="B35" s="4"/>
      <c r="C35" s="4"/>
      <c r="D35" s="4"/>
      <c r="E35" s="4"/>
      <c r="F35" s="4"/>
      <c r="G35" s="4"/>
      <c r="H35" s="4"/>
      <c r="I35" s="4"/>
      <c r="J35" s="4"/>
      <c r="K35" s="4"/>
      <c r="L35" s="4"/>
      <c r="M35" s="4"/>
      <c r="N35" s="42"/>
    </row>
    <row r="36" spans="1:14">
      <c r="A36" s="468" t="s">
        <v>325</v>
      </c>
      <c r="B36" s="469"/>
      <c r="C36" s="469"/>
      <c r="D36" s="469"/>
      <c r="E36" s="469"/>
      <c r="F36" s="469"/>
      <c r="G36" s="469"/>
      <c r="H36" s="469"/>
      <c r="I36" s="470"/>
      <c r="J36" s="465" t="s">
        <v>548</v>
      </c>
      <c r="K36" s="466"/>
      <c r="L36" s="466"/>
      <c r="M36" s="466"/>
      <c r="N36" s="467"/>
    </row>
    <row r="37" spans="1:14">
      <c r="A37" s="62" t="s">
        <v>315</v>
      </c>
      <c r="B37" s="49">
        <v>96</v>
      </c>
      <c r="C37" s="50" t="s">
        <v>310</v>
      </c>
      <c r="D37" s="33" t="s">
        <v>532</v>
      </c>
      <c r="E37" s="49">
        <v>1373</v>
      </c>
      <c r="F37" s="50" t="s">
        <v>312</v>
      </c>
      <c r="G37" s="62" t="s">
        <v>533</v>
      </c>
      <c r="H37" s="49">
        <v>1061</v>
      </c>
      <c r="I37" s="50" t="s">
        <v>318</v>
      </c>
      <c r="J37" s="62" t="s">
        <v>139</v>
      </c>
      <c r="K37" s="49">
        <v>1918</v>
      </c>
      <c r="L37" s="50" t="s">
        <v>312</v>
      </c>
      <c r="M37" s="62" t="s">
        <v>138</v>
      </c>
      <c r="N37" s="50" t="s">
        <v>324</v>
      </c>
    </row>
    <row r="38" spans="1:14">
      <c r="A38" s="41" t="s">
        <v>316</v>
      </c>
      <c r="B38" s="4">
        <v>108</v>
      </c>
      <c r="C38" s="42" t="s">
        <v>310</v>
      </c>
      <c r="D38" s="41"/>
      <c r="E38" s="4"/>
      <c r="F38" s="42"/>
      <c r="G38" s="41"/>
      <c r="H38" s="4"/>
      <c r="I38" s="42"/>
      <c r="J38" s="41"/>
      <c r="K38" s="4"/>
      <c r="L38" s="42"/>
      <c r="M38" s="41"/>
      <c r="N38" s="42"/>
    </row>
    <row r="39" spans="1:14">
      <c r="A39" s="51" t="s">
        <v>317</v>
      </c>
      <c r="B39" s="52">
        <v>114</v>
      </c>
      <c r="C39" s="53" t="s">
        <v>310</v>
      </c>
      <c r="D39" s="51"/>
      <c r="E39" s="52"/>
      <c r="F39" s="53"/>
      <c r="G39" s="51"/>
      <c r="H39" s="52"/>
      <c r="I39" s="53"/>
      <c r="J39" s="51"/>
      <c r="K39" s="52"/>
      <c r="L39" s="53"/>
      <c r="M39" s="51"/>
      <c r="N39" s="53"/>
    </row>
    <row r="40" spans="1:14">
      <c r="A40" s="41"/>
      <c r="B40" s="4"/>
      <c r="C40" s="4"/>
      <c r="D40" s="4"/>
      <c r="E40" s="4"/>
      <c r="F40" s="4"/>
      <c r="G40" s="4"/>
      <c r="H40" s="4"/>
      <c r="I40" s="4"/>
      <c r="J40" s="4"/>
      <c r="K40" s="4"/>
      <c r="L40" s="4"/>
      <c r="M40" s="4"/>
      <c r="N40" s="42"/>
    </row>
    <row r="41" spans="1:14">
      <c r="A41" s="465" t="s">
        <v>327</v>
      </c>
      <c r="B41" s="466"/>
      <c r="C41" s="466"/>
      <c r="D41" s="466"/>
      <c r="E41" s="466"/>
      <c r="F41" s="466"/>
      <c r="G41" s="466"/>
      <c r="H41" s="466"/>
      <c r="I41" s="467"/>
      <c r="J41" s="465" t="s">
        <v>548</v>
      </c>
      <c r="K41" s="466"/>
      <c r="L41" s="466"/>
      <c r="M41" s="466"/>
      <c r="N41" s="467"/>
    </row>
    <row r="42" spans="1:14">
      <c r="A42" s="27" t="s">
        <v>321</v>
      </c>
      <c r="B42" s="65">
        <v>160</v>
      </c>
      <c r="C42" s="43" t="s">
        <v>310</v>
      </c>
      <c r="D42" s="39" t="s">
        <v>532</v>
      </c>
      <c r="E42" s="65">
        <v>1226</v>
      </c>
      <c r="F42" s="43" t="s">
        <v>312</v>
      </c>
      <c r="G42" s="66" t="s">
        <v>533</v>
      </c>
      <c r="H42" s="65">
        <v>1061</v>
      </c>
      <c r="I42" s="43" t="s">
        <v>318</v>
      </c>
      <c r="J42" s="66" t="s">
        <v>139</v>
      </c>
      <c r="K42" s="65">
        <v>1918</v>
      </c>
      <c r="L42" s="43" t="s">
        <v>312</v>
      </c>
      <c r="M42" s="66" t="s">
        <v>138</v>
      </c>
      <c r="N42" s="43" t="s">
        <v>324</v>
      </c>
    </row>
    <row r="43" spans="1:14">
      <c r="A43" s="14"/>
      <c r="B43" s="49"/>
      <c r="C43" s="49"/>
      <c r="D43" s="34"/>
      <c r="E43" s="49"/>
      <c r="F43" s="49"/>
      <c r="G43" s="49"/>
      <c r="H43" s="49"/>
      <c r="I43" s="49"/>
      <c r="J43" s="49"/>
      <c r="K43" s="49"/>
      <c r="L43" s="49"/>
      <c r="M43" s="49"/>
      <c r="N43" s="50"/>
    </row>
    <row r="44" spans="1:14">
      <c r="A44" s="468" t="s">
        <v>328</v>
      </c>
      <c r="B44" s="469"/>
      <c r="C44" s="469"/>
      <c r="D44" s="469"/>
      <c r="E44" s="469"/>
      <c r="F44" s="469"/>
      <c r="G44" s="469"/>
      <c r="H44" s="469"/>
      <c r="I44" s="470"/>
      <c r="J44" s="465" t="s">
        <v>548</v>
      </c>
      <c r="K44" s="466"/>
      <c r="L44" s="466"/>
      <c r="M44" s="466"/>
      <c r="N44" s="467"/>
    </row>
    <row r="45" spans="1:14">
      <c r="A45" s="27" t="s">
        <v>321</v>
      </c>
      <c r="B45" s="65">
        <v>160</v>
      </c>
      <c r="C45" s="43" t="s">
        <v>310</v>
      </c>
      <c r="D45" s="39" t="s">
        <v>532</v>
      </c>
      <c r="E45" s="65">
        <v>1373</v>
      </c>
      <c r="F45" s="43" t="s">
        <v>312</v>
      </c>
      <c r="G45" s="66" t="s">
        <v>533</v>
      </c>
      <c r="H45" s="65">
        <v>1061</v>
      </c>
      <c r="I45" s="43" t="s">
        <v>318</v>
      </c>
      <c r="J45" s="66" t="s">
        <v>139</v>
      </c>
      <c r="K45" s="65">
        <v>1918</v>
      </c>
      <c r="L45" s="43" t="s">
        <v>312</v>
      </c>
      <c r="M45" s="66" t="s">
        <v>138</v>
      </c>
      <c r="N45" s="43" t="s">
        <v>324</v>
      </c>
    </row>
    <row r="46" spans="1:14">
      <c r="B46" s="4"/>
      <c r="C46" s="4"/>
      <c r="D46" s="4"/>
      <c r="E46" s="4"/>
      <c r="F46" s="4"/>
      <c r="G46" s="4"/>
      <c r="H46" s="4"/>
      <c r="I46" s="4"/>
      <c r="J46" s="4"/>
      <c r="K46" s="4"/>
      <c r="L46" s="4"/>
      <c r="M46" s="4"/>
      <c r="N46" s="4"/>
    </row>
    <row r="47" spans="1:14" ht="17" thickBot="1">
      <c r="A47" s="165"/>
      <c r="B47" s="165"/>
      <c r="C47" s="165"/>
      <c r="D47" s="165"/>
      <c r="E47" s="165"/>
      <c r="F47" s="165"/>
      <c r="G47" s="165"/>
      <c r="H47" s="165"/>
      <c r="I47" s="165"/>
      <c r="J47" s="165"/>
      <c r="K47" s="165"/>
      <c r="L47" s="165"/>
      <c r="M47" s="165"/>
      <c r="N47" s="165"/>
    </row>
    <row r="48" spans="1:14">
      <c r="A48" s="172" t="s">
        <v>109</v>
      </c>
      <c r="B48" s="173" t="s">
        <v>97</v>
      </c>
      <c r="C48" s="173" t="s">
        <v>98</v>
      </c>
      <c r="D48" s="173" t="s">
        <v>99</v>
      </c>
      <c r="E48" s="173" t="s">
        <v>100</v>
      </c>
      <c r="F48" s="173" t="s">
        <v>101</v>
      </c>
      <c r="G48" s="174" t="s">
        <v>102</v>
      </c>
    </row>
    <row r="49" spans="1:16">
      <c r="A49" s="175" t="s">
        <v>326</v>
      </c>
      <c r="B49" s="4">
        <v>0</v>
      </c>
      <c r="C49" s="4">
        <f>($B11*C3+$E11+C3*$T27+C3*$R30)*1.18</f>
        <v>1368.8943999999999</v>
      </c>
      <c r="D49" s="4">
        <f>($B11*D3+$E11+D3*$T27+D3*$R30)*1.18</f>
        <v>1888</v>
      </c>
      <c r="E49" s="4" t="s">
        <v>58</v>
      </c>
      <c r="F49" s="4" t="s">
        <v>58</v>
      </c>
      <c r="G49" s="176" t="s">
        <v>58</v>
      </c>
    </row>
    <row r="50" spans="1:16">
      <c r="A50" s="175" t="s">
        <v>554</v>
      </c>
      <c r="B50" s="4">
        <v>0</v>
      </c>
      <c r="C50" s="4" t="s">
        <v>58</v>
      </c>
      <c r="D50" s="4" t="s">
        <v>58</v>
      </c>
      <c r="E50" s="4">
        <f>($B16*E3+$E16+E3*$T27+E3*$R31+E6*$H16)*1.18</f>
        <v>5718.1049760765545</v>
      </c>
      <c r="F50" s="4">
        <f>($B16*F3+$E16+F3*$T27+F3*$R31+F6*$H16)*1.18</f>
        <v>16704.232440191387</v>
      </c>
      <c r="G50" s="176" t="s">
        <v>58</v>
      </c>
    </row>
    <row r="51" spans="1:16">
      <c r="A51" s="175" t="s">
        <v>555</v>
      </c>
      <c r="B51" s="4">
        <v>0</v>
      </c>
      <c r="C51" s="4" t="s">
        <v>58</v>
      </c>
      <c r="D51" s="4" t="s">
        <v>58</v>
      </c>
      <c r="E51" s="4" t="s">
        <v>58</v>
      </c>
      <c r="F51" s="4" t="s">
        <v>58</v>
      </c>
      <c r="G51" s="176">
        <f>(B21*G3+E21+G3*$T27+G3*$R31+30*H21)*1.18</f>
        <v>42786.799999999996</v>
      </c>
    </row>
    <row r="52" spans="1:16">
      <c r="A52" s="175" t="s">
        <v>556</v>
      </c>
      <c r="B52" s="4">
        <v>0</v>
      </c>
      <c r="C52" s="4" t="s">
        <v>58</v>
      </c>
      <c r="D52" s="4" t="s">
        <v>58</v>
      </c>
      <c r="E52" s="4">
        <f>($B26*E3+$E26+$H26*E6+$R31*E3+$T27*E3)*1.18</f>
        <v>7983.704976076554</v>
      </c>
      <c r="F52" s="4">
        <f>($B26*F3+$E26+$H26*F6+$R31*F3+$T27*F3)*1.18</f>
        <v>24407.272440191384</v>
      </c>
      <c r="G52" s="176" t="s">
        <v>58</v>
      </c>
    </row>
    <row r="53" spans="1:16" ht="17" thickBot="1">
      <c r="A53" s="187" t="s">
        <v>557</v>
      </c>
      <c r="B53" s="179">
        <v>0</v>
      </c>
      <c r="C53" s="179" t="s">
        <v>58</v>
      </c>
      <c r="D53" s="179" t="s">
        <v>58</v>
      </c>
      <c r="E53" s="179" t="s">
        <v>58</v>
      </c>
      <c r="F53" s="179" t="s">
        <v>58</v>
      </c>
      <c r="G53" s="180">
        <f>(B29*G3+E29+H29*30+$R31*G3+$T27*G3)*1.18</f>
        <v>61364.719999999987</v>
      </c>
    </row>
    <row r="55" spans="1:16">
      <c r="A55" s="105" t="s">
        <v>537</v>
      </c>
      <c r="B55" s="106" t="s">
        <v>97</v>
      </c>
      <c r="C55" s="106" t="s">
        <v>98</v>
      </c>
      <c r="D55" s="106" t="s">
        <v>99</v>
      </c>
      <c r="E55" s="106" t="s">
        <v>100</v>
      </c>
      <c r="F55" s="106" t="s">
        <v>101</v>
      </c>
      <c r="G55" s="107" t="s">
        <v>102</v>
      </c>
    </row>
    <row r="56" spans="1:16" ht="19" customHeight="1">
      <c r="A56" s="108" t="s">
        <v>536</v>
      </c>
      <c r="B56" s="109">
        <v>0</v>
      </c>
      <c r="C56" s="109">
        <v>1368.8943999999999</v>
      </c>
      <c r="D56" s="109">
        <v>1888</v>
      </c>
      <c r="E56" s="109">
        <f>AVERAGE(E50,E52)</f>
        <v>6850.9049760765538</v>
      </c>
      <c r="F56" s="109">
        <f>AVERAGE(F50,F52)</f>
        <v>20555.752440191383</v>
      </c>
      <c r="G56" s="110">
        <f>AVERAGE(G53,G51)</f>
        <v>52075.759999999995</v>
      </c>
      <c r="J56" s="451" t="s">
        <v>852</v>
      </c>
      <c r="K56" s="451"/>
      <c r="L56" s="451"/>
      <c r="M56" s="451"/>
      <c r="N56" s="451"/>
      <c r="O56" s="451"/>
      <c r="P56" s="451"/>
    </row>
    <row r="57" spans="1:16">
      <c r="A57" s="4"/>
      <c r="B57" s="4"/>
      <c r="C57" s="4"/>
      <c r="D57" s="4"/>
      <c r="E57" s="4"/>
      <c r="F57" s="4"/>
      <c r="G57" s="4"/>
      <c r="J57" s="451"/>
      <c r="K57" s="451"/>
      <c r="L57" s="451"/>
      <c r="M57" s="451"/>
      <c r="N57" s="451"/>
      <c r="O57" s="451"/>
      <c r="P57" s="451"/>
    </row>
    <row r="58" spans="1:16">
      <c r="J58" s="451"/>
      <c r="K58" s="451"/>
      <c r="L58" s="451"/>
      <c r="M58" s="451"/>
      <c r="N58" s="451"/>
      <c r="O58" s="451"/>
      <c r="P58" s="451"/>
    </row>
    <row r="59" spans="1:16">
      <c r="J59" s="451"/>
      <c r="K59" s="451"/>
      <c r="L59" s="451"/>
      <c r="M59" s="451"/>
      <c r="N59" s="451"/>
      <c r="O59" s="451"/>
      <c r="P59" s="451"/>
    </row>
    <row r="60" spans="1:16">
      <c r="J60" s="451"/>
      <c r="K60" s="451"/>
      <c r="L60" s="451"/>
      <c r="M60" s="451"/>
      <c r="N60" s="451"/>
      <c r="O60" s="451"/>
      <c r="P60" s="451"/>
    </row>
    <row r="61" spans="1:16">
      <c r="J61" s="451"/>
      <c r="K61" s="451"/>
      <c r="L61" s="451"/>
      <c r="M61" s="451"/>
      <c r="N61" s="451"/>
      <c r="O61" s="451"/>
      <c r="P61" s="451"/>
    </row>
    <row r="62" spans="1:16">
      <c r="J62" s="451"/>
      <c r="K62" s="451"/>
      <c r="L62" s="451"/>
      <c r="M62" s="451"/>
      <c r="N62" s="451"/>
      <c r="O62" s="451"/>
      <c r="P62" s="451"/>
    </row>
    <row r="77" spans="20:20">
      <c r="T77" t="s">
        <v>547</v>
      </c>
    </row>
    <row r="78" spans="20:20">
      <c r="T78" t="s">
        <v>547</v>
      </c>
    </row>
  </sheetData>
  <mergeCells count="19">
    <mergeCell ref="A44:I44"/>
    <mergeCell ref="J41:N41"/>
    <mergeCell ref="J44:N44"/>
    <mergeCell ref="J56:P62"/>
    <mergeCell ref="A10:I10"/>
    <mergeCell ref="J10:N10"/>
    <mergeCell ref="A15:I15"/>
    <mergeCell ref="J15:N15"/>
    <mergeCell ref="A20:I20"/>
    <mergeCell ref="A25:I25"/>
    <mergeCell ref="A28:I28"/>
    <mergeCell ref="A31:I31"/>
    <mergeCell ref="J20:N20"/>
    <mergeCell ref="J25:N25"/>
    <mergeCell ref="J28:N28"/>
    <mergeCell ref="J31:N31"/>
    <mergeCell ref="A36:I36"/>
    <mergeCell ref="J36:N36"/>
    <mergeCell ref="A41:I41"/>
  </mergeCells>
  <hyperlinks>
    <hyperlink ref="P6" r:id="rId1" xr:uid="{428BF751-B5E8-B440-B983-6BDD2A51B0FA}"/>
  </hyperlink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20921-40AD-0049-B5DE-41B389AA5805}">
  <dimension ref="A1:H12"/>
  <sheetViews>
    <sheetView zoomScale="171" workbookViewId="0">
      <selection activeCell="E12" sqref="E12"/>
    </sheetView>
  </sheetViews>
  <sheetFormatPr baseColWidth="10" defaultRowHeight="16"/>
  <cols>
    <col min="1" max="1" width="15" customWidth="1"/>
  </cols>
  <sheetData>
    <row r="1" spans="1:8">
      <c r="A1" s="172"/>
      <c r="B1" s="173" t="s">
        <v>97</v>
      </c>
      <c r="C1" s="173" t="s">
        <v>98</v>
      </c>
      <c r="D1" s="173" t="s">
        <v>99</v>
      </c>
      <c r="E1" s="173" t="s">
        <v>100</v>
      </c>
      <c r="F1" s="173" t="s">
        <v>101</v>
      </c>
      <c r="G1" s="173" t="s">
        <v>102</v>
      </c>
      <c r="H1" s="174" t="s">
        <v>199</v>
      </c>
    </row>
    <row r="2" spans="1:8">
      <c r="A2" s="175" t="s">
        <v>103</v>
      </c>
      <c r="B2" s="4">
        <v>0</v>
      </c>
      <c r="C2" s="4">
        <v>1.2E-2</v>
      </c>
      <c r="D2" s="4">
        <v>0.2</v>
      </c>
      <c r="E2" s="4">
        <v>1</v>
      </c>
      <c r="F2" s="4">
        <v>3.4</v>
      </c>
      <c r="G2" s="4">
        <v>8.1999999999999993</v>
      </c>
      <c r="H2" s="176" t="s">
        <v>1034</v>
      </c>
    </row>
    <row r="3" spans="1:8" ht="35" thickBot="1">
      <c r="A3" s="178" t="s">
        <v>110</v>
      </c>
      <c r="B3" s="179">
        <v>0</v>
      </c>
      <c r="C3" s="179">
        <f>C2*30</f>
        <v>0.36</v>
      </c>
      <c r="D3" s="179">
        <f t="shared" ref="D3:G3" si="0">D2*30</f>
        <v>6</v>
      </c>
      <c r="E3" s="179">
        <f t="shared" si="0"/>
        <v>30</v>
      </c>
      <c r="F3" s="179">
        <f t="shared" si="0"/>
        <v>102</v>
      </c>
      <c r="G3" s="179">
        <f t="shared" si="0"/>
        <v>245.99999999999997</v>
      </c>
      <c r="H3" s="180" t="s">
        <v>1034</v>
      </c>
    </row>
    <row r="5" spans="1:8" ht="17" thickBot="1"/>
    <row r="6" spans="1:8">
      <c r="A6" s="464" t="s">
        <v>78</v>
      </c>
      <c r="B6" s="448"/>
      <c r="C6" s="449"/>
    </row>
    <row r="7" spans="1:8">
      <c r="A7" s="160" t="s">
        <v>315</v>
      </c>
      <c r="B7">
        <v>82</v>
      </c>
      <c r="C7" s="161" t="s">
        <v>335</v>
      </c>
      <c r="G7" t="s">
        <v>338</v>
      </c>
    </row>
    <row r="8" spans="1:8">
      <c r="A8" s="160" t="s">
        <v>336</v>
      </c>
      <c r="B8">
        <v>290</v>
      </c>
      <c r="C8" s="161" t="s">
        <v>335</v>
      </c>
    </row>
    <row r="9" spans="1:8" ht="17" thickBot="1">
      <c r="A9" s="251" t="s">
        <v>337</v>
      </c>
      <c r="B9" s="163">
        <v>546</v>
      </c>
      <c r="C9" s="164" t="s">
        <v>335</v>
      </c>
    </row>
    <row r="11" spans="1:8">
      <c r="A11" s="105" t="s">
        <v>109</v>
      </c>
      <c r="B11" s="106" t="s">
        <v>97</v>
      </c>
      <c r="C11" s="106" t="s">
        <v>98</v>
      </c>
      <c r="D11" s="106" t="s">
        <v>99</v>
      </c>
      <c r="E11" s="106" t="s">
        <v>100</v>
      </c>
      <c r="F11" s="106" t="s">
        <v>101</v>
      </c>
      <c r="G11" s="107" t="s">
        <v>102</v>
      </c>
    </row>
    <row r="12" spans="1:8">
      <c r="A12" s="108" t="s">
        <v>83</v>
      </c>
      <c r="B12" s="109">
        <v>0</v>
      </c>
      <c r="C12" s="109">
        <f>B7*C3</f>
        <v>29.52</v>
      </c>
      <c r="D12" s="109">
        <f>D3*B7</f>
        <v>492</v>
      </c>
      <c r="E12" s="109">
        <f>E3*B7</f>
        <v>2460</v>
      </c>
      <c r="F12" s="109">
        <f>B7*50+(F3-50)*B8</f>
        <v>19180</v>
      </c>
      <c r="G12" s="110">
        <f>50*B7+(150-50)*B8+(G3-150)*B9</f>
        <v>85515.999999999985</v>
      </c>
    </row>
  </sheetData>
  <mergeCells count="1">
    <mergeCell ref="A6:C6"/>
  </mergeCell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B9B80-561D-9F4C-8ABE-B50F3F25B680}">
  <dimension ref="A1:M21"/>
  <sheetViews>
    <sheetView zoomScale="174" workbookViewId="0">
      <selection activeCell="E15" sqref="E15"/>
    </sheetView>
  </sheetViews>
  <sheetFormatPr baseColWidth="10" defaultRowHeight="16"/>
  <cols>
    <col min="1" max="1" width="22" style="4" customWidth="1"/>
    <col min="2" max="2" width="10.83203125" style="4"/>
    <col min="3" max="3" width="12.6640625" style="4" customWidth="1"/>
  </cols>
  <sheetData>
    <row r="1" spans="1:13">
      <c r="A1" s="172"/>
      <c r="B1" s="173" t="s">
        <v>97</v>
      </c>
      <c r="C1" s="173" t="s">
        <v>98</v>
      </c>
      <c r="D1" s="173" t="s">
        <v>99</v>
      </c>
      <c r="E1" s="173" t="s">
        <v>100</v>
      </c>
      <c r="F1" s="173" t="s">
        <v>101</v>
      </c>
      <c r="G1" s="173" t="s">
        <v>102</v>
      </c>
      <c r="H1" s="174" t="s">
        <v>199</v>
      </c>
    </row>
    <row r="2" spans="1:13">
      <c r="A2" s="175" t="s">
        <v>103</v>
      </c>
      <c r="B2" s="4">
        <v>0</v>
      </c>
      <c r="C2" s="4">
        <v>1.2E-2</v>
      </c>
      <c r="D2" s="4">
        <v>0.2</v>
      </c>
      <c r="E2" s="4">
        <v>1</v>
      </c>
      <c r="F2" s="4">
        <v>3.4</v>
      </c>
      <c r="G2" s="4">
        <v>8.1999999999999993</v>
      </c>
      <c r="H2" s="176" t="s">
        <v>200</v>
      </c>
    </row>
    <row r="3" spans="1:13" ht="35" thickBot="1">
      <c r="A3" s="178" t="s">
        <v>110</v>
      </c>
      <c r="B3" s="179">
        <v>0</v>
      </c>
      <c r="C3" s="179">
        <f>C2*30</f>
        <v>0.36</v>
      </c>
      <c r="D3" s="179">
        <f t="shared" ref="D3:G3" si="0">D2*30</f>
        <v>6</v>
      </c>
      <c r="E3" s="179">
        <f t="shared" si="0"/>
        <v>30</v>
      </c>
      <c r="F3" s="179">
        <f t="shared" si="0"/>
        <v>102</v>
      </c>
      <c r="G3" s="179">
        <f t="shared" si="0"/>
        <v>245.99999999999997</v>
      </c>
      <c r="H3" s="180" t="s">
        <v>200</v>
      </c>
    </row>
    <row r="4" spans="1:13" ht="17" thickBot="1"/>
    <row r="5" spans="1:13" ht="17" thickBot="1">
      <c r="A5" s="172" t="s">
        <v>641</v>
      </c>
      <c r="B5" s="173" t="s">
        <v>310</v>
      </c>
      <c r="C5" s="174" t="s">
        <v>647</v>
      </c>
    </row>
    <row r="6" spans="1:13" ht="17" thickBot="1">
      <c r="A6" s="175" t="s">
        <v>644</v>
      </c>
      <c r="B6" s="4">
        <v>68.239999999999995</v>
      </c>
      <c r="C6" s="471">
        <v>143.35</v>
      </c>
      <c r="E6" s="278" t="s">
        <v>1100</v>
      </c>
    </row>
    <row r="7" spans="1:13">
      <c r="A7" s="175" t="s">
        <v>645</v>
      </c>
      <c r="B7" s="4">
        <v>71.709999999999994</v>
      </c>
      <c r="C7" s="471"/>
    </row>
    <row r="8" spans="1:13" ht="17" thickBot="1">
      <c r="A8" s="187" t="s">
        <v>646</v>
      </c>
      <c r="B8" s="179">
        <v>79.599999999999994</v>
      </c>
      <c r="C8" s="472"/>
    </row>
    <row r="9" spans="1:13">
      <c r="F9" s="4"/>
    </row>
    <row r="10" spans="1:13" ht="17" thickBot="1"/>
    <row r="11" spans="1:13">
      <c r="A11" s="195" t="s">
        <v>109</v>
      </c>
      <c r="B11" s="196" t="s">
        <v>97</v>
      </c>
      <c r="C11" s="196" t="s">
        <v>98</v>
      </c>
      <c r="D11" s="196" t="s">
        <v>99</v>
      </c>
      <c r="E11" s="196" t="s">
        <v>100</v>
      </c>
      <c r="F11" s="196" t="s">
        <v>101</v>
      </c>
      <c r="G11" s="197" t="s">
        <v>102</v>
      </c>
    </row>
    <row r="12" spans="1:13" ht="17" thickBot="1">
      <c r="A12" s="198" t="s">
        <v>59</v>
      </c>
      <c r="B12" s="199">
        <v>0</v>
      </c>
      <c r="C12" s="199">
        <f>($B6*C3+$C6)*1.19</f>
        <v>199.82051599999997</v>
      </c>
      <c r="D12" s="199">
        <f>($B6*D3+$C6)*1.19</f>
        <v>657.82009999999991</v>
      </c>
      <c r="E12" s="199">
        <f>($B6*E3+$C6)*1.19</f>
        <v>2606.7544999999996</v>
      </c>
      <c r="F12" s="199">
        <f>(50*$B6+$B7*(100-50)+$B8*(F3-100)+$C6)*1.19</f>
        <v>8687.0594999999994</v>
      </c>
      <c r="G12" s="199">
        <f>(50*$B6+$B7*(100-50)+$B8*(G3-100)+$C6)*1.19</f>
        <v>22327.31549999999</v>
      </c>
    </row>
    <row r="14" spans="1:13" ht="17" customHeight="1">
      <c r="I14" s="451" t="s">
        <v>853</v>
      </c>
      <c r="J14" s="451"/>
      <c r="K14" s="451"/>
      <c r="L14" s="451"/>
      <c r="M14" s="451"/>
    </row>
    <row r="15" spans="1:13">
      <c r="I15" s="451"/>
      <c r="J15" s="451"/>
      <c r="K15" s="451"/>
      <c r="L15" s="451"/>
      <c r="M15" s="451"/>
    </row>
    <row r="16" spans="1:13">
      <c r="I16" s="451"/>
      <c r="J16" s="451"/>
      <c r="K16" s="451"/>
      <c r="L16" s="451"/>
      <c r="M16" s="451"/>
    </row>
    <row r="17" spans="9:13">
      <c r="I17" s="451"/>
      <c r="J17" s="451"/>
      <c r="K17" s="451"/>
      <c r="L17" s="451"/>
      <c r="M17" s="451"/>
    </row>
    <row r="18" spans="9:13">
      <c r="I18" s="451"/>
      <c r="J18" s="451"/>
      <c r="K18" s="451"/>
      <c r="L18" s="451"/>
      <c r="M18" s="451"/>
    </row>
    <row r="19" spans="9:13">
      <c r="I19" s="451"/>
      <c r="J19" s="451"/>
      <c r="K19" s="451"/>
      <c r="L19" s="451"/>
      <c r="M19" s="451"/>
    </row>
    <row r="20" spans="9:13">
      <c r="I20" s="11"/>
      <c r="J20" s="11"/>
      <c r="K20" s="11"/>
      <c r="L20" s="11"/>
      <c r="M20" s="11"/>
    </row>
    <row r="21" spans="9:13">
      <c r="I21" s="11"/>
      <c r="J21" s="11"/>
      <c r="K21" s="11"/>
      <c r="L21" s="11"/>
      <c r="M21" s="11"/>
    </row>
  </sheetData>
  <mergeCells count="2">
    <mergeCell ref="I14:M19"/>
    <mergeCell ref="C6:C8"/>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51</vt:i4>
      </vt:variant>
    </vt:vector>
  </HeadingPairs>
  <TitlesOfParts>
    <vt:vector size="51" baseType="lpstr">
      <vt:lpstr>Summary</vt:lpstr>
      <vt:lpstr>Tariff - New data</vt:lpstr>
      <vt:lpstr>Multi-tier matrix</vt:lpstr>
      <vt:lpstr>Angola</vt:lpstr>
      <vt:lpstr>Benin</vt:lpstr>
      <vt:lpstr>Botswana</vt:lpstr>
      <vt:lpstr>Burkina Faso</vt:lpstr>
      <vt:lpstr>Burundi</vt:lpstr>
      <vt:lpstr>Central African Republic</vt:lpstr>
      <vt:lpstr>Cabo Verde</vt:lpstr>
      <vt:lpstr>Cameroon</vt:lpstr>
      <vt:lpstr>Chad</vt:lpstr>
      <vt:lpstr>Comoros</vt:lpstr>
      <vt:lpstr>Cote d'Ivoire</vt:lpstr>
      <vt:lpstr>Democratic Republic of the Cong</vt:lpstr>
      <vt:lpstr>Equatorial Guinea</vt:lpstr>
      <vt:lpstr>Eritrea</vt:lpstr>
      <vt:lpstr>Eswatini</vt:lpstr>
      <vt:lpstr>Ethiopia</vt:lpstr>
      <vt:lpstr>Gabon</vt:lpstr>
      <vt:lpstr>Gambia</vt:lpstr>
      <vt:lpstr>Ghana</vt:lpstr>
      <vt:lpstr>Guinea</vt:lpstr>
      <vt:lpstr>Guinea-Bissau</vt:lpstr>
      <vt:lpstr>Kenya</vt:lpstr>
      <vt:lpstr>Lesotho</vt:lpstr>
      <vt:lpstr>Liberia</vt:lpstr>
      <vt:lpstr>Madagascar</vt:lpstr>
      <vt:lpstr>Malawi</vt:lpstr>
      <vt:lpstr>Mali</vt:lpstr>
      <vt:lpstr>Mauritania</vt:lpstr>
      <vt:lpstr>Mauritius</vt:lpstr>
      <vt:lpstr>Mozambique</vt:lpstr>
      <vt:lpstr>Namibia</vt:lpstr>
      <vt:lpstr>Niger</vt:lpstr>
      <vt:lpstr>Nigeria</vt:lpstr>
      <vt:lpstr>Republic of the Congo</vt:lpstr>
      <vt:lpstr>Rwanda</vt:lpstr>
      <vt:lpstr>Senegal</vt:lpstr>
      <vt:lpstr>Seychelles</vt:lpstr>
      <vt:lpstr>Sierra Leone</vt:lpstr>
      <vt:lpstr>Somalia</vt:lpstr>
      <vt:lpstr>South Africa</vt:lpstr>
      <vt:lpstr>South Sudan</vt:lpstr>
      <vt:lpstr>Sudan</vt:lpstr>
      <vt:lpstr>São Tomé and Príncipe</vt:lpstr>
      <vt:lpstr>Tanzania</vt:lpstr>
      <vt:lpstr>Togo</vt:lpstr>
      <vt:lpstr>Uganda</vt:lpstr>
      <vt:lpstr>Zambia</vt:lpstr>
      <vt:lpstr>Zimbabwe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 Yidan</dc:creator>
  <cp:lastModifiedBy>Kou, Yidan</cp:lastModifiedBy>
  <dcterms:created xsi:type="dcterms:W3CDTF">2024-06-03T23:17:14Z</dcterms:created>
  <dcterms:modified xsi:type="dcterms:W3CDTF">2025-02-20T09:50:41Z</dcterms:modified>
</cp:coreProperties>
</file>