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672\"/>
    </mc:Choice>
  </mc:AlternateContent>
  <xr:revisionPtr revIDLastSave="0" documentId="8_{65A20609-1EB1-4641-B611-C20F0950B444}" xr6:coauthVersionLast="47" xr6:coauthVersionMax="47" xr10:uidLastSave="{00000000-0000-0000-0000-000000000000}"/>
  <bookViews>
    <workbookView xWindow="-108" yWindow="-108" windowWidth="23256" windowHeight="12456" activeTab="1" xr2:uid="{D9D84C1D-16C1-4F3E-81F8-EA4976BDDB5D}"/>
  </bookViews>
  <sheets>
    <sheet name="Parâmetros" sheetId="2" r:id="rId1"/>
    <sheet name="Solução @cruise" sheetId="1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R27" i="1"/>
  <c r="R28" i="1"/>
  <c r="H7" i="1"/>
  <c r="Q12" i="1"/>
  <c r="Q10" i="1"/>
  <c r="L29" i="1"/>
  <c r="L27" i="1"/>
  <c r="L25" i="1"/>
  <c r="H28" i="1" l="1"/>
  <c r="K20" i="3"/>
  <c r="K21" i="3"/>
  <c r="K22" i="3"/>
  <c r="K23" i="3"/>
  <c r="K24" i="3"/>
  <c r="K25" i="3"/>
  <c r="K26" i="3"/>
  <c r="K27" i="3"/>
  <c r="K28" i="3"/>
  <c r="K19" i="3"/>
  <c r="H30" i="1"/>
  <c r="H29" i="1"/>
  <c r="K5" i="3"/>
  <c r="K6" i="3"/>
  <c r="K7" i="3"/>
  <c r="K8" i="3"/>
  <c r="K9" i="3"/>
  <c r="K10" i="3"/>
  <c r="K11" i="3"/>
  <c r="K12" i="3"/>
  <c r="K13" i="3"/>
  <c r="K4" i="3"/>
  <c r="Q6" i="1" l="1"/>
  <c r="Q8" i="1" l="1"/>
  <c r="H35" i="1"/>
  <c r="H40" i="1" s="1"/>
  <c r="H44" i="1" l="1"/>
  <c r="X24" i="1"/>
  <c r="W24" i="1"/>
  <c r="V24" i="1"/>
  <c r="X19" i="1"/>
  <c r="W19" i="1"/>
  <c r="X14" i="1"/>
  <c r="H15" i="1"/>
  <c r="W10" i="1" s="1"/>
  <c r="C17" i="1"/>
  <c r="C20" i="1"/>
  <c r="X9" i="1"/>
  <c r="W9" i="1"/>
  <c r="V9" i="1"/>
  <c r="C13" i="1"/>
  <c r="C12" i="1"/>
  <c r="X39" i="1"/>
  <c r="W39" i="1"/>
  <c r="V39" i="1"/>
  <c r="X34" i="1"/>
  <c r="W34" i="1"/>
  <c r="V34" i="1"/>
  <c r="X29" i="1"/>
  <c r="W29" i="1"/>
  <c r="V29" i="1"/>
  <c r="L20" i="1"/>
  <c r="V19" i="1"/>
  <c r="W14" i="1"/>
  <c r="V14" i="1"/>
  <c r="L22" i="1" l="1"/>
  <c r="L23" i="1" s="1"/>
  <c r="X10" i="1"/>
  <c r="C19" i="1"/>
  <c r="V10" i="1"/>
  <c r="H12" i="1" s="1"/>
  <c r="L10" i="1" l="1"/>
  <c r="L30" i="1" s="1"/>
  <c r="H13" i="1"/>
  <c r="H14" i="1" s="1"/>
  <c r="H19" i="1" s="1"/>
  <c r="H23" i="1" s="1"/>
  <c r="H18" i="1"/>
  <c r="X15" i="1" s="1"/>
  <c r="W15" i="1" s="1"/>
  <c r="H20" i="1" s="1"/>
  <c r="H24" i="1" s="1"/>
  <c r="V15" i="1" l="1"/>
  <c r="H17" i="1" s="1"/>
  <c r="W20" i="1"/>
  <c r="V20" i="1" s="1"/>
  <c r="Q11" i="1" l="1"/>
  <c r="H22" i="1"/>
  <c r="W25" i="1" l="1"/>
  <c r="X25" i="1" s="1"/>
  <c r="W35" i="1" l="1"/>
  <c r="W30" i="1"/>
  <c r="V25" i="1"/>
  <c r="Q13" i="1"/>
  <c r="X30" i="1" l="1"/>
  <c r="V30" i="1"/>
  <c r="H32" i="1" s="1"/>
  <c r="X35" i="1"/>
  <c r="H38" i="1" s="1"/>
  <c r="V35" i="1"/>
  <c r="H37" i="1" s="1"/>
  <c r="H33" i="1" l="1"/>
  <c r="H34" i="1" s="1"/>
  <c r="H39" i="1" s="1"/>
  <c r="H43" i="1" s="1"/>
  <c r="X40" i="1" s="1"/>
  <c r="W40" i="1" l="1"/>
  <c r="H45" i="1" s="1"/>
  <c r="R14" i="1" s="1"/>
  <c r="Q16" i="1" s="1"/>
  <c r="V40" i="1"/>
  <c r="H42" i="1" s="1"/>
  <c r="R30" i="1" l="1"/>
  <c r="R22" i="1"/>
  <c r="R23" i="1"/>
  <c r="R18" i="1"/>
  <c r="Q19" i="1"/>
  <c r="Q20" i="1" s="1"/>
</calcChain>
</file>

<file path=xl/sharedStrings.xml><?xml version="1.0" encoding="utf-8"?>
<sst xmlns="http://schemas.openxmlformats.org/spreadsheetml/2006/main" count="159" uniqueCount="113">
  <si>
    <t>http://www.digitaldutch.com/atmoscalc/</t>
  </si>
  <si>
    <t>Propriedades</t>
  </si>
  <si>
    <t>Dados</t>
  </si>
  <si>
    <t>Resultados</t>
  </si>
  <si>
    <t>Interpolações</t>
  </si>
  <si>
    <t>Procedimento tabelas do ar</t>
  </si>
  <si>
    <t>kJ/kg.C</t>
  </si>
  <si>
    <t>Tamb</t>
  </si>
  <si>
    <t>C</t>
  </si>
  <si>
    <t>rp comp</t>
  </si>
  <si>
    <t>m comb</t>
  </si>
  <si>
    <t>kg/s</t>
  </si>
  <si>
    <t>T [K]</t>
  </si>
  <si>
    <t>h [kJ/kg]</t>
  </si>
  <si>
    <t>pr</t>
  </si>
  <si>
    <t>K</t>
  </si>
  <si>
    <t>pamb</t>
  </si>
  <si>
    <t>kPa</t>
  </si>
  <si>
    <t>V in</t>
  </si>
  <si>
    <t>kg/h</t>
  </si>
  <si>
    <t>hamb</t>
  </si>
  <si>
    <t>kJ/kg</t>
  </si>
  <si>
    <t>m3/kg</t>
  </si>
  <si>
    <t>pramb</t>
  </si>
  <si>
    <t>Rar</t>
  </si>
  <si>
    <t>m ar in</t>
  </si>
  <si>
    <t>W comp</t>
  </si>
  <si>
    <t>kW</t>
  </si>
  <si>
    <t>p/ T1</t>
  </si>
  <si>
    <t>kW/kg</t>
  </si>
  <si>
    <t>T1</t>
  </si>
  <si>
    <t>PCI</t>
  </si>
  <si>
    <t>W expansor</t>
  </si>
  <si>
    <t>pr1</t>
  </si>
  <si>
    <t>p1</t>
  </si>
  <si>
    <t>efi comp</t>
  </si>
  <si>
    <t>V exaustão</t>
  </si>
  <si>
    <t>h1</t>
  </si>
  <si>
    <t>p/ T2s</t>
  </si>
  <si>
    <t>efi expan</t>
  </si>
  <si>
    <t>F empuxo</t>
  </si>
  <si>
    <t>N</t>
  </si>
  <si>
    <t>T2s</t>
  </si>
  <si>
    <t>pr2</t>
  </si>
  <si>
    <t>p2</t>
  </si>
  <si>
    <t>delta p</t>
  </si>
  <si>
    <t>TSFC</t>
  </si>
  <si>
    <t>kg/kN.h</t>
  </si>
  <si>
    <t>h2s</t>
  </si>
  <si>
    <t>R ar</t>
  </si>
  <si>
    <t>lb/lbf.h</t>
  </si>
  <si>
    <t>p/ T2</t>
  </si>
  <si>
    <t>T2</t>
  </si>
  <si>
    <t>v</t>
  </si>
  <si>
    <t>density</t>
  </si>
  <si>
    <t>kg/m3</t>
  </si>
  <si>
    <t>h2</t>
  </si>
  <si>
    <t>air flow</t>
  </si>
  <si>
    <t>m3/s</t>
  </si>
  <si>
    <t>p/ T4s</t>
  </si>
  <si>
    <t>T3</t>
  </si>
  <si>
    <t>Frontal A</t>
  </si>
  <si>
    <t>m2</t>
  </si>
  <si>
    <t>pr3</t>
  </si>
  <si>
    <t>p3</t>
  </si>
  <si>
    <t>Diameter</t>
  </si>
  <si>
    <t>m</t>
  </si>
  <si>
    <t>h3</t>
  </si>
  <si>
    <t>inches</t>
  </si>
  <si>
    <t>p/ T4</t>
  </si>
  <si>
    <t>T4s</t>
  </si>
  <si>
    <t>pr4s</t>
  </si>
  <si>
    <t>p4</t>
  </si>
  <si>
    <t>h4s</t>
  </si>
  <si>
    <t>p/ T5</t>
  </si>
  <si>
    <t>T4</t>
  </si>
  <si>
    <t>pr4</t>
  </si>
  <si>
    <t>h4</t>
  </si>
  <si>
    <t>T5</t>
  </si>
  <si>
    <t>pr5</t>
  </si>
  <si>
    <t>p5</t>
  </si>
  <si>
    <t>h5</t>
  </si>
  <si>
    <t>Thrust_max</t>
  </si>
  <si>
    <t>pres_ratio</t>
  </si>
  <si>
    <t>at take-off</t>
  </si>
  <si>
    <t>g/kN/s</t>
  </si>
  <si>
    <t>Thrust_cruise</t>
  </si>
  <si>
    <t>at cruise</t>
  </si>
  <si>
    <t>m_fuel</t>
  </si>
  <si>
    <t>g/s</t>
  </si>
  <si>
    <t>Engine like PW JT3C-7 (Boeing 707)</t>
  </si>
  <si>
    <t>Parameters</t>
  </si>
  <si>
    <t>Fuel specific consumption</t>
  </si>
  <si>
    <t>Fuel consumption</t>
  </si>
  <si>
    <t>T_ISO</t>
  </si>
  <si>
    <t>p_ISO</t>
  </si>
  <si>
    <t>v_ISO</t>
  </si>
  <si>
    <t xml:space="preserve"> @ cruise</t>
  </si>
  <si>
    <t>p/ T3</t>
  </si>
  <si>
    <t>Specific thrust</t>
  </si>
  <si>
    <t>Fuel spec consumption</t>
  </si>
  <si>
    <t>Desvios em relação à PW</t>
  </si>
  <si>
    <t>Fuel spec. consumption</t>
  </si>
  <si>
    <t>Thrust</t>
  </si>
  <si>
    <t>N/kg/s_air</t>
  </si>
  <si>
    <t>m_air @ ISO</t>
  </si>
  <si>
    <t>Avião a jato voando a 260m/s, a 9000 metros</t>
  </si>
  <si>
    <t>International Standard Atmosphere (ISA)</t>
  </si>
  <si>
    <t>Sea Level Static (SLS)</t>
  </si>
  <si>
    <t>Propriedades do ar a 9000 metros tomadas de</t>
  </si>
  <si>
    <t>Propulsive efficiency</t>
  </si>
  <si>
    <t>pr(T)</t>
  </si>
  <si>
    <t xml:space="preserve"> @ take-off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</si>
</sst>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1" applyAlignment="1" applyProtection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4" borderId="0" xfId="0" applyNumberFormat="1" applyFill="1"/>
    <xf numFmtId="2" fontId="0" fillId="5" borderId="0" xfId="0" applyNumberFormat="1" applyFill="1"/>
    <xf numFmtId="165" fontId="0" fillId="3" borderId="0" xfId="0" applyNumberFormat="1" applyFill="1"/>
    <xf numFmtId="3" fontId="0" fillId="5" borderId="0" xfId="0" applyNumberFormat="1" applyFill="1"/>
    <xf numFmtId="164" fontId="0" fillId="3" borderId="0" xfId="0" applyNumberFormat="1" applyFill="1"/>
    <xf numFmtId="2" fontId="0" fillId="6" borderId="0" xfId="0" applyNumberFormat="1" applyFill="1"/>
    <xf numFmtId="167" fontId="0" fillId="6" borderId="0" xfId="0" applyNumberFormat="1" applyFill="1"/>
    <xf numFmtId="165" fontId="0" fillId="0" borderId="0" xfId="0" applyNumberFormat="1"/>
    <xf numFmtId="167" fontId="0" fillId="0" borderId="0" xfId="0" applyNumberFormat="1"/>
    <xf numFmtId="167" fontId="0" fillId="3" borderId="0" xfId="0" applyNumberFormat="1" applyFill="1"/>
    <xf numFmtId="2" fontId="0" fillId="3" borderId="0" xfId="0" applyNumberFormat="1" applyFill="1"/>
    <xf numFmtId="165" fontId="0" fillId="5" borderId="0" xfId="0" applyNumberFormat="1" applyFill="1"/>
    <xf numFmtId="3" fontId="1" fillId="5" borderId="0" xfId="0" applyNumberFormat="1" applyFont="1" applyFill="1"/>
    <xf numFmtId="2" fontId="0" fillId="0" borderId="0" xfId="0" applyNumberFormat="1"/>
    <xf numFmtId="164" fontId="0" fillId="6" borderId="0" xfId="0" applyNumberFormat="1" applyFill="1"/>
    <xf numFmtId="0" fontId="1" fillId="7" borderId="0" xfId="0" applyFont="1" applyFill="1"/>
    <xf numFmtId="0" fontId="0" fillId="7" borderId="0" xfId="0" applyFill="1"/>
    <xf numFmtId="165" fontId="1" fillId="7" borderId="0" xfId="0" applyNumberFormat="1" applyFont="1" applyFill="1"/>
    <xf numFmtId="3" fontId="0" fillId="0" borderId="0" xfId="0" applyNumberFormat="1"/>
    <xf numFmtId="164" fontId="0" fillId="0" borderId="0" xfId="0" applyNumberFormat="1"/>
    <xf numFmtId="166" fontId="0" fillId="4" borderId="0" xfId="0" applyNumberFormat="1" applyFill="1"/>
    <xf numFmtId="10" fontId="0" fillId="7" borderId="0" xfId="0" applyNumberFormat="1" applyFill="1"/>
    <xf numFmtId="164" fontId="1" fillId="5" borderId="0" xfId="0" applyNumberFormat="1" applyFont="1" applyFill="1"/>
    <xf numFmtId="0" fontId="3" fillId="0" borderId="0" xfId="0" applyFont="1"/>
    <xf numFmtId="1" fontId="0" fillId="0" borderId="0" xfId="0" applyNumberFormat="1"/>
    <xf numFmtId="0" fontId="0" fillId="8" borderId="0" xfId="0" applyFill="1"/>
    <xf numFmtId="2" fontId="0" fillId="8" borderId="0" xfId="0" applyNumberFormat="1" applyFill="1"/>
    <xf numFmtId="167" fontId="0" fillId="8" borderId="0" xfId="0" applyNumberFormat="1" applyFill="1"/>
    <xf numFmtId="165" fontId="0" fillId="8" borderId="0" xfId="0" applyNumberFormat="1" applyFill="1"/>
    <xf numFmtId="10" fontId="0" fillId="0" borderId="0" xfId="0" applyNumberFormat="1"/>
    <xf numFmtId="0" fontId="0" fillId="9" borderId="0" xfId="0" applyFill="1"/>
    <xf numFmtId="0" fontId="0" fillId="0" borderId="1" xfId="0" applyBorder="1"/>
    <xf numFmtId="3" fontId="0" fillId="0" borderId="1" xfId="0" applyNumberFormat="1" applyBorder="1"/>
    <xf numFmtId="2" fontId="0" fillId="9" borderId="0" xfId="0" applyNumberFormat="1" applyFill="1"/>
    <xf numFmtId="3" fontId="0" fillId="9" borderId="0" xfId="0" applyNumberForma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5061242344712E-3"/>
                  <c:y val="0.258637357830271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Planilha1!$I$4:$I$13</c:f>
              <c:numCache>
                <c:formatCode>General</c:formatCode>
                <c:ptCount val="10"/>
                <c:pt idx="0">
                  <c:v>960</c:v>
                </c:pt>
                <c:pt idx="1">
                  <c:v>980</c:v>
                </c:pt>
                <c:pt idx="2">
                  <c:v>1000</c:v>
                </c:pt>
                <c:pt idx="3">
                  <c:v>1020</c:v>
                </c:pt>
                <c:pt idx="4">
                  <c:v>1040</c:v>
                </c:pt>
                <c:pt idx="5">
                  <c:v>1060</c:v>
                </c:pt>
                <c:pt idx="6">
                  <c:v>1080</c:v>
                </c:pt>
                <c:pt idx="7">
                  <c:v>1100</c:v>
                </c:pt>
                <c:pt idx="8">
                  <c:v>1120</c:v>
                </c:pt>
                <c:pt idx="9">
                  <c:v>1140</c:v>
                </c:pt>
              </c:numCache>
            </c:numRef>
          </c:xVal>
          <c:yVal>
            <c:numRef>
              <c:f>Planilha1!$J$4:$J$13</c:f>
              <c:numCache>
                <c:formatCode>General</c:formatCode>
                <c:ptCount val="10"/>
                <c:pt idx="0">
                  <c:v>1000.55</c:v>
                </c:pt>
                <c:pt idx="1">
                  <c:v>1023.25</c:v>
                </c:pt>
                <c:pt idx="2">
                  <c:v>1046.04</c:v>
                </c:pt>
                <c:pt idx="3">
                  <c:v>1068.8900000000001</c:v>
                </c:pt>
                <c:pt idx="4">
                  <c:v>1091.8499999999999</c:v>
                </c:pt>
                <c:pt idx="5">
                  <c:v>1114.8599999999999</c:v>
                </c:pt>
                <c:pt idx="6">
                  <c:v>1137.8900000000001</c:v>
                </c:pt>
                <c:pt idx="7">
                  <c:v>1161.07</c:v>
                </c:pt>
                <c:pt idx="8">
                  <c:v>1184.28</c:v>
                </c:pt>
                <c:pt idx="9">
                  <c:v>1207.57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E-419C-9BFF-D0FC44E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08687"/>
        <c:axId val="1334707247"/>
      </c:scatterChart>
      <c:valAx>
        <c:axId val="13347086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707247"/>
        <c:crosses val="autoZero"/>
        <c:crossBetween val="midCat"/>
      </c:valAx>
      <c:valAx>
        <c:axId val="13347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70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371609798775154E-2"/>
                  <c:y val="0.2356944444444444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Planilha1!$I$19:$I$28</c:f>
              <c:numCache>
                <c:formatCode>General</c:formatCode>
                <c:ptCount val="10"/>
                <c:pt idx="0">
                  <c:v>960</c:v>
                </c:pt>
                <c:pt idx="1">
                  <c:v>980</c:v>
                </c:pt>
                <c:pt idx="2">
                  <c:v>1000</c:v>
                </c:pt>
                <c:pt idx="3">
                  <c:v>1020</c:v>
                </c:pt>
                <c:pt idx="4">
                  <c:v>1040</c:v>
                </c:pt>
                <c:pt idx="5">
                  <c:v>1060</c:v>
                </c:pt>
                <c:pt idx="6">
                  <c:v>1080</c:v>
                </c:pt>
                <c:pt idx="7">
                  <c:v>1100</c:v>
                </c:pt>
                <c:pt idx="8">
                  <c:v>1120</c:v>
                </c:pt>
                <c:pt idx="9">
                  <c:v>1140</c:v>
                </c:pt>
              </c:numCache>
            </c:numRef>
          </c:xVal>
          <c:yVal>
            <c:numRef>
              <c:f>Planilha1!$J$19:$J$28</c:f>
              <c:numCache>
                <c:formatCode>General</c:formatCode>
                <c:ptCount val="10"/>
                <c:pt idx="0">
                  <c:v>97</c:v>
                </c:pt>
                <c:pt idx="1">
                  <c:v>105.2</c:v>
                </c:pt>
                <c:pt idx="2">
                  <c:v>114</c:v>
                </c:pt>
                <c:pt idx="3">
                  <c:v>123.4</c:v>
                </c:pt>
                <c:pt idx="4">
                  <c:v>133.30000000000001</c:v>
                </c:pt>
                <c:pt idx="5">
                  <c:v>143.9</c:v>
                </c:pt>
                <c:pt idx="6">
                  <c:v>155.19999999999999</c:v>
                </c:pt>
                <c:pt idx="7">
                  <c:v>167.1</c:v>
                </c:pt>
                <c:pt idx="8">
                  <c:v>179.7</c:v>
                </c:pt>
                <c:pt idx="9">
                  <c:v>193.1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1-404B-B248-A7D7F4E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17679"/>
        <c:axId val="1384213359"/>
      </c:scatterChart>
      <c:valAx>
        <c:axId val="138421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213359"/>
        <c:crosses val="autoZero"/>
        <c:crossBetween val="midCat"/>
      </c:valAx>
      <c:valAx>
        <c:axId val="13842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21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190500</xdr:colOff>
      <xdr:row>12</xdr:row>
      <xdr:rowOff>15240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35B255-2EA5-4786-A60B-AB43E068A74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76900" cy="2209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20</xdr:col>
      <xdr:colOff>15240</xdr:colOff>
      <xdr:row>19</xdr:row>
      <xdr:rowOff>68580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E59CB8-8A0B-40B9-B80A-7DFCBE2638C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6111240" cy="3543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0</xdr:row>
      <xdr:rowOff>179070</xdr:rowOff>
    </xdr:from>
    <xdr:to>
      <xdr:col>19</xdr:col>
      <xdr:colOff>320040</xdr:colOff>
      <xdr:row>15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A9140C-AAE1-908A-39DC-A74D21EE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16</xdr:row>
      <xdr:rowOff>34290</xdr:rowOff>
    </xdr:from>
    <xdr:to>
      <xdr:col>19</xdr:col>
      <xdr:colOff>297180</xdr:colOff>
      <xdr:row>31</xdr:row>
      <xdr:rowOff>34290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67E73D-A69E-8B9F-31F1-EDB0B5E3F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21</xdr:row>
      <xdr:rowOff>93894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1BA395D-ED47-BA11-1E36-71B8FF8EF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887007" cy="3934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gitaldutch.com/atmoscal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4917-AFF8-4BB7-9358-9DFEFF2E3C7F}">
  <dimension ref="K21:K22"/>
  <sheetViews>
    <sheetView zoomScale="120" zoomScaleNormal="120" workbookViewId="0">
      <selection activeCell="E18" sqref="E18"/>
    </sheetView>
  </sheetViews>
  <sheetFormatPr defaultRowHeight="14.4" x14ac:dyDescent="0.3"/>
  <sheetData>
    <row r="21" spans="11:11" x14ac:dyDescent="0.3">
      <c r="K21" s="31" t="s">
        <v>107</v>
      </c>
    </row>
    <row r="22" spans="11:11" x14ac:dyDescent="0.3">
      <c r="K22" s="31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EF3E-ED58-4D36-8C3D-DFC7587E7C31}">
  <dimension ref="B1:AA47"/>
  <sheetViews>
    <sheetView tabSelected="1" workbookViewId="0">
      <selection activeCell="L3" sqref="L3"/>
    </sheetView>
  </sheetViews>
  <sheetFormatPr defaultRowHeight="14.4" x14ac:dyDescent="0.3"/>
  <cols>
    <col min="2" max="2" width="12.21875" customWidth="1"/>
    <col min="5" max="5" width="10.44140625" customWidth="1"/>
    <col min="16" max="16" width="11.44140625" customWidth="1"/>
    <col min="17" max="17" width="10.6640625" customWidth="1"/>
    <col min="27" max="27" width="9.33203125" bestFit="1" customWidth="1"/>
  </cols>
  <sheetData>
    <row r="1" spans="2:27" x14ac:dyDescent="0.3">
      <c r="G1" t="s">
        <v>109</v>
      </c>
      <c r="L1" s="1" t="s">
        <v>0</v>
      </c>
    </row>
    <row r="2" spans="2:27" x14ac:dyDescent="0.3">
      <c r="B2" s="38" t="s">
        <v>90</v>
      </c>
      <c r="C2" s="38"/>
      <c r="D2" s="38"/>
    </row>
    <row r="3" spans="2:27" x14ac:dyDescent="0.3">
      <c r="B3" s="39" t="s">
        <v>91</v>
      </c>
      <c r="C3" s="39"/>
      <c r="D3" s="39"/>
      <c r="E3" s="39"/>
      <c r="G3" s="2" t="s">
        <v>106</v>
      </c>
      <c r="H3" s="2"/>
      <c r="I3" s="2"/>
      <c r="J3" s="2"/>
      <c r="K3" s="2"/>
    </row>
    <row r="4" spans="2:27" x14ac:dyDescent="0.3">
      <c r="B4" s="38" t="s">
        <v>105</v>
      </c>
      <c r="C4" s="41">
        <v>81.650000000000006</v>
      </c>
      <c r="D4" s="38" t="s">
        <v>11</v>
      </c>
      <c r="E4" s="38"/>
      <c r="G4" s="3" t="s">
        <v>1</v>
      </c>
      <c r="H4" s="3"/>
      <c r="I4" s="3"/>
      <c r="K4" s="4" t="s">
        <v>2</v>
      </c>
      <c r="L4" s="4"/>
      <c r="M4" s="4"/>
      <c r="N4" s="5"/>
      <c r="P4" s="6" t="s">
        <v>3</v>
      </c>
      <c r="Q4" s="6"/>
      <c r="R4" s="6"/>
      <c r="U4" s="7" t="s">
        <v>4</v>
      </c>
      <c r="V4" s="7"/>
      <c r="W4" s="7"/>
      <c r="X4" s="7"/>
    </row>
    <row r="5" spans="2:27" x14ac:dyDescent="0.3">
      <c r="B5" t="s">
        <v>83</v>
      </c>
      <c r="C5" s="21">
        <v>12.5</v>
      </c>
      <c r="G5" s="3" t="s">
        <v>5</v>
      </c>
      <c r="H5" s="3"/>
      <c r="I5" s="3"/>
      <c r="K5" s="4"/>
      <c r="L5" s="4"/>
      <c r="M5" s="4"/>
      <c r="N5" s="8"/>
      <c r="P5" s="6"/>
      <c r="Q5" s="6"/>
      <c r="R5" s="6"/>
      <c r="U5" s="7"/>
      <c r="V5" s="7"/>
      <c r="W5" s="7"/>
      <c r="X5" s="7"/>
    </row>
    <row r="6" spans="2:27" x14ac:dyDescent="0.3">
      <c r="B6" s="38" t="s">
        <v>82</v>
      </c>
      <c r="C6" s="42">
        <v>53500</v>
      </c>
      <c r="D6" s="38" t="s">
        <v>41</v>
      </c>
      <c r="E6" s="38" t="s">
        <v>112</v>
      </c>
      <c r="G6" s="3" t="s">
        <v>7</v>
      </c>
      <c r="H6" s="3">
        <v>-43.15</v>
      </c>
      <c r="I6" s="3" t="s">
        <v>8</v>
      </c>
      <c r="K6" s="4" t="s">
        <v>9</v>
      </c>
      <c r="L6" s="4">
        <v>12.5</v>
      </c>
      <c r="M6" s="4"/>
      <c r="N6" s="8"/>
      <c r="P6" s="6" t="s">
        <v>10</v>
      </c>
      <c r="Q6" s="30">
        <f>(L10*(H30-H24))/(L12-H30)</f>
        <v>0.4030801617469349</v>
      </c>
      <c r="R6" s="6" t="s">
        <v>11</v>
      </c>
      <c r="U6" s="7"/>
      <c r="V6" s="7" t="s">
        <v>12</v>
      </c>
      <c r="W6" s="7" t="s">
        <v>13</v>
      </c>
      <c r="X6" s="7" t="s">
        <v>14</v>
      </c>
    </row>
    <row r="7" spans="2:27" x14ac:dyDescent="0.3">
      <c r="B7" t="s">
        <v>86</v>
      </c>
      <c r="C7" s="26">
        <v>15800</v>
      </c>
      <c r="D7" t="s">
        <v>41</v>
      </c>
      <c r="G7" s="3"/>
      <c r="H7" s="18">
        <f>273.15+H6</f>
        <v>229.99999999999997</v>
      </c>
      <c r="I7" s="3" t="s">
        <v>15</v>
      </c>
      <c r="K7" s="4"/>
      <c r="L7" s="4"/>
      <c r="M7" s="4"/>
      <c r="N7" s="8"/>
      <c r="P7" s="6"/>
      <c r="Q7" s="6"/>
      <c r="R7" s="6"/>
      <c r="U7" s="7"/>
      <c r="V7" s="7">
        <v>260</v>
      </c>
      <c r="W7" s="7">
        <v>260.08999999999997</v>
      </c>
      <c r="X7" s="7">
        <v>0.84050000000000002</v>
      </c>
    </row>
    <row r="8" spans="2:27" x14ac:dyDescent="0.3">
      <c r="B8" s="39" t="s">
        <v>92</v>
      </c>
      <c r="C8" s="39"/>
      <c r="G8" s="3" t="s">
        <v>16</v>
      </c>
      <c r="H8" s="3">
        <v>31.2</v>
      </c>
      <c r="I8" s="3" t="s">
        <v>17</v>
      </c>
      <c r="K8" s="4" t="s">
        <v>18</v>
      </c>
      <c r="L8" s="4">
        <v>260</v>
      </c>
      <c r="M8" s="4"/>
      <c r="N8" s="8"/>
      <c r="P8" s="6" t="s">
        <v>10</v>
      </c>
      <c r="Q8" s="11">
        <f>Q6*3600</f>
        <v>1451.0885822889657</v>
      </c>
      <c r="R8" s="6" t="s">
        <v>19</v>
      </c>
      <c r="U8" s="7"/>
      <c r="V8" s="7">
        <v>270</v>
      </c>
      <c r="W8" s="7">
        <v>270.11</v>
      </c>
      <c r="X8" s="14">
        <v>0.95899999999999996</v>
      </c>
    </row>
    <row r="9" spans="2:27" x14ac:dyDescent="0.3">
      <c r="B9" s="38" t="s">
        <v>84</v>
      </c>
      <c r="C9" s="38">
        <v>22.2</v>
      </c>
      <c r="D9" s="38" t="s">
        <v>85</v>
      </c>
      <c r="E9" s="38"/>
      <c r="G9" s="3" t="s">
        <v>20</v>
      </c>
      <c r="H9" s="3">
        <v>230.02</v>
      </c>
      <c r="I9" s="3" t="s">
        <v>21</v>
      </c>
      <c r="K9" s="4"/>
      <c r="L9" s="4"/>
      <c r="M9" s="4"/>
      <c r="N9" s="4"/>
      <c r="P9" s="6"/>
      <c r="Q9" s="6"/>
      <c r="R9" s="6"/>
      <c r="U9" s="7"/>
      <c r="V9" s="7">
        <f>V8-V7</f>
        <v>10</v>
      </c>
      <c r="W9" s="7">
        <f>W8-W7</f>
        <v>10.020000000000039</v>
      </c>
      <c r="X9" s="7">
        <f>X8-X7</f>
        <v>0.11849999999999994</v>
      </c>
    </row>
    <row r="10" spans="2:27" x14ac:dyDescent="0.3">
      <c r="B10" t="s">
        <v>87</v>
      </c>
      <c r="C10">
        <v>25.7</v>
      </c>
      <c r="D10" t="s">
        <v>85</v>
      </c>
      <c r="G10" s="3" t="s">
        <v>23</v>
      </c>
      <c r="H10" s="3">
        <v>0.54769999999999996</v>
      </c>
      <c r="I10" s="3"/>
      <c r="K10" s="4" t="s">
        <v>25</v>
      </c>
      <c r="L10" s="5">
        <f>C4*C19/L22</f>
        <v>31.509020028135488</v>
      </c>
      <c r="M10" s="4" t="s">
        <v>11</v>
      </c>
      <c r="N10" s="8" t="s">
        <v>97</v>
      </c>
      <c r="P10" s="6" t="s">
        <v>26</v>
      </c>
      <c r="Q10" s="11">
        <f>L10*(H24-H15)</f>
        <v>10138.242572919109</v>
      </c>
      <c r="R10" s="11" t="s">
        <v>27</v>
      </c>
      <c r="U10" s="7" t="s">
        <v>28</v>
      </c>
      <c r="V10" s="13">
        <f>V9*W10/W9</f>
        <v>3.7225548902195649</v>
      </c>
      <c r="W10" s="13">
        <f>H15-W7</f>
        <v>3.7300000000000182</v>
      </c>
      <c r="X10" s="14">
        <f>W10*X9/W9</f>
        <v>4.4112275449101818E-2</v>
      </c>
    </row>
    <row r="11" spans="2:27" x14ac:dyDescent="0.3">
      <c r="B11" s="39" t="s">
        <v>93</v>
      </c>
      <c r="C11" s="39"/>
      <c r="G11" s="3"/>
      <c r="H11" s="3"/>
      <c r="I11" s="3"/>
      <c r="K11" s="4"/>
      <c r="L11" s="4"/>
      <c r="M11" s="4"/>
      <c r="N11" s="4"/>
      <c r="P11" s="6"/>
      <c r="Q11" s="9">
        <f>Q10/L10</f>
        <v>321.75683546699719</v>
      </c>
      <c r="R11" s="6" t="s">
        <v>29</v>
      </c>
      <c r="U11" s="7"/>
      <c r="V11" s="7"/>
      <c r="W11" s="7"/>
      <c r="X11" s="7"/>
    </row>
    <row r="12" spans="2:27" x14ac:dyDescent="0.3">
      <c r="B12" s="38" t="s">
        <v>88</v>
      </c>
      <c r="C12" s="42">
        <f>C9*C6/1000</f>
        <v>1187.7</v>
      </c>
      <c r="D12" s="38" t="s">
        <v>89</v>
      </c>
      <c r="E12" s="38" t="s">
        <v>112</v>
      </c>
      <c r="F12" s="15"/>
      <c r="G12" s="3" t="s">
        <v>30</v>
      </c>
      <c r="H12" s="10">
        <f>V7+V10</f>
        <v>263.72255489021956</v>
      </c>
      <c r="I12" s="3" t="s">
        <v>15</v>
      </c>
      <c r="K12" s="4" t="s">
        <v>31</v>
      </c>
      <c r="L12" s="4">
        <v>42800</v>
      </c>
      <c r="M12" s="4" t="s">
        <v>21</v>
      </c>
      <c r="N12" s="4"/>
      <c r="P12" s="6" t="s">
        <v>32</v>
      </c>
      <c r="Q12" s="11">
        <f>Q10</f>
        <v>10138.242572919109</v>
      </c>
      <c r="R12" s="11" t="s">
        <v>27</v>
      </c>
      <c r="U12" s="33"/>
      <c r="V12" s="33">
        <v>530</v>
      </c>
      <c r="W12" s="33">
        <v>533.98</v>
      </c>
      <c r="X12" s="33">
        <v>10.37</v>
      </c>
      <c r="AA12" s="16"/>
    </row>
    <row r="13" spans="2:27" x14ac:dyDescent="0.3">
      <c r="B13" s="39" t="s">
        <v>88</v>
      </c>
      <c r="C13" s="40">
        <f>C10*C7/1000</f>
        <v>406.06</v>
      </c>
      <c r="D13" s="39" t="s">
        <v>89</v>
      </c>
      <c r="E13" s="39" t="s">
        <v>97</v>
      </c>
      <c r="G13" s="3" t="s">
        <v>33</v>
      </c>
      <c r="H13" s="17">
        <f>X7+X10</f>
        <v>0.88461227544910181</v>
      </c>
      <c r="I13" s="3"/>
      <c r="K13" s="4"/>
      <c r="L13" s="4"/>
      <c r="M13" s="4"/>
      <c r="N13" s="4"/>
      <c r="P13" s="6"/>
      <c r="Q13" s="9">
        <f>Q12/(L10+Q6)</f>
        <v>317.6927407658801</v>
      </c>
      <c r="R13" s="6" t="s">
        <v>29</v>
      </c>
      <c r="U13" s="33"/>
      <c r="V13" s="33">
        <v>540</v>
      </c>
      <c r="W13" s="33">
        <v>544.35</v>
      </c>
      <c r="X13" s="34">
        <v>11.1</v>
      </c>
    </row>
    <row r="14" spans="2:27" x14ac:dyDescent="0.3">
      <c r="G14" s="3" t="s">
        <v>34</v>
      </c>
      <c r="H14" s="18">
        <f>H13/H10*H8</f>
        <v>50.392373551236041</v>
      </c>
      <c r="I14" s="3" t="s">
        <v>17</v>
      </c>
      <c r="K14" s="4" t="s">
        <v>35</v>
      </c>
      <c r="L14" s="5">
        <v>0.87</v>
      </c>
      <c r="M14" s="4"/>
      <c r="N14" s="4"/>
      <c r="P14" s="6" t="s">
        <v>36</v>
      </c>
      <c r="Q14" s="6"/>
      <c r="R14" s="19">
        <f>(2*(H40-H45)*1000)^0.5</f>
        <v>751.65327957288264</v>
      </c>
      <c r="U14" s="33"/>
      <c r="V14" s="33">
        <f>V13-V12</f>
        <v>10</v>
      </c>
      <c r="W14" s="33">
        <f>W13-W12</f>
        <v>10.370000000000005</v>
      </c>
      <c r="X14" s="34">
        <f>X13-X12</f>
        <v>0.73000000000000043</v>
      </c>
    </row>
    <row r="15" spans="2:27" x14ac:dyDescent="0.3">
      <c r="G15" s="3" t="s">
        <v>37</v>
      </c>
      <c r="H15" s="3">
        <f>H9+(L8^2)/2/1000</f>
        <v>263.82</v>
      </c>
      <c r="I15" s="3" t="s">
        <v>21</v>
      </c>
      <c r="K15" s="4"/>
      <c r="L15" s="4"/>
      <c r="M15" s="4"/>
      <c r="N15" s="4"/>
      <c r="P15" s="6"/>
      <c r="Q15" s="6"/>
      <c r="R15" s="6"/>
      <c r="U15" s="33" t="s">
        <v>38</v>
      </c>
      <c r="V15" s="34">
        <f>V14*X15/X14</f>
        <v>9.4199101796407376</v>
      </c>
      <c r="W15" s="34">
        <f>W14*X15/X14</f>
        <v>9.7684468562874471</v>
      </c>
      <c r="X15" s="35">
        <f>H18-X12</f>
        <v>0.68765344311377419</v>
      </c>
    </row>
    <row r="16" spans="2:27" x14ac:dyDescent="0.3">
      <c r="B16" s="3" t="s">
        <v>94</v>
      </c>
      <c r="C16" s="3">
        <v>15</v>
      </c>
      <c r="D16" s="3" t="s">
        <v>8</v>
      </c>
      <c r="G16" s="3"/>
      <c r="H16" s="3"/>
      <c r="I16" s="3"/>
      <c r="K16" s="4" t="s">
        <v>39</v>
      </c>
      <c r="L16" s="4">
        <v>0.87</v>
      </c>
      <c r="M16" s="4"/>
      <c r="N16" s="4"/>
      <c r="P16" s="6" t="s">
        <v>40</v>
      </c>
      <c r="Q16" s="20">
        <f>(L10+Q6)*R14-(L10*L8)</f>
        <v>15794.489558468305</v>
      </c>
      <c r="R16" s="6" t="s">
        <v>41</v>
      </c>
      <c r="U16" s="7"/>
      <c r="V16" s="7"/>
      <c r="W16" s="7"/>
      <c r="X16" s="7"/>
    </row>
    <row r="17" spans="2:24" x14ac:dyDescent="0.3">
      <c r="B17" s="3"/>
      <c r="C17" s="10">
        <f>273.15+C16</f>
        <v>288.14999999999998</v>
      </c>
      <c r="D17" s="10" t="s">
        <v>15</v>
      </c>
      <c r="G17" s="3" t="s">
        <v>42</v>
      </c>
      <c r="H17" s="18">
        <f>V12+V15</f>
        <v>539.41991017964074</v>
      </c>
      <c r="I17" s="3" t="s">
        <v>15</v>
      </c>
      <c r="K17" s="4"/>
      <c r="L17" s="4"/>
      <c r="M17" s="4"/>
      <c r="N17" s="4"/>
      <c r="P17" s="6"/>
      <c r="Q17" s="6"/>
      <c r="R17" s="11"/>
      <c r="U17" s="7"/>
      <c r="V17" s="7">
        <v>570</v>
      </c>
      <c r="W17" s="7">
        <v>575.59</v>
      </c>
      <c r="X17" s="13">
        <v>13.5</v>
      </c>
    </row>
    <row r="18" spans="2:24" x14ac:dyDescent="0.3">
      <c r="B18" s="3" t="s">
        <v>95</v>
      </c>
      <c r="C18" s="3">
        <v>101.325</v>
      </c>
      <c r="D18" s="3" t="s">
        <v>17</v>
      </c>
      <c r="G18" s="3" t="s">
        <v>43</v>
      </c>
      <c r="H18" s="17">
        <f>H13*L6</f>
        <v>11.057653443113773</v>
      </c>
      <c r="I18" s="3"/>
      <c r="K18" s="4" t="s">
        <v>45</v>
      </c>
      <c r="L18" s="28">
        <v>2.5000000000000001E-2</v>
      </c>
      <c r="M18" s="4"/>
      <c r="N18" s="4"/>
      <c r="P18" s="6"/>
      <c r="Q18" s="6"/>
      <c r="R18" s="11">
        <f>Q16*0.22481</f>
        <v>3550.75919763926</v>
      </c>
      <c r="U18" s="7"/>
      <c r="V18" s="7">
        <v>580</v>
      </c>
      <c r="W18" s="7">
        <v>586.04</v>
      </c>
      <c r="X18" s="13">
        <v>14.38</v>
      </c>
    </row>
    <row r="19" spans="2:24" x14ac:dyDescent="0.3">
      <c r="B19" s="3" t="s">
        <v>96</v>
      </c>
      <c r="C19" s="12">
        <f>C17*C20/C18</f>
        <v>0.81641969729809294</v>
      </c>
      <c r="D19" s="3" t="s">
        <v>22</v>
      </c>
      <c r="G19" s="3" t="s">
        <v>44</v>
      </c>
      <c r="H19" s="18">
        <f>L6*H14</f>
        <v>629.90466939045052</v>
      </c>
      <c r="I19" s="3" t="s">
        <v>17</v>
      </c>
      <c r="K19" s="4"/>
      <c r="L19" s="4"/>
      <c r="M19" s="4"/>
      <c r="N19" s="4"/>
      <c r="P19" s="6" t="s">
        <v>46</v>
      </c>
      <c r="Q19" s="9">
        <f>Q8/(Q16/1000)</f>
        <v>91.873091366283262</v>
      </c>
      <c r="R19" s="6" t="s">
        <v>47</v>
      </c>
      <c r="U19" s="7"/>
      <c r="V19" s="7">
        <f>V18-V17</f>
        <v>10</v>
      </c>
      <c r="W19" s="7">
        <f>W18-W17</f>
        <v>10.449999999999932</v>
      </c>
      <c r="X19" s="13">
        <f>X18-X17</f>
        <v>0.88000000000000078</v>
      </c>
    </row>
    <row r="20" spans="2:24" x14ac:dyDescent="0.3">
      <c r="B20" s="3" t="s">
        <v>24</v>
      </c>
      <c r="C20" s="12">
        <f>8.314/28.96</f>
        <v>0.28708563535911602</v>
      </c>
      <c r="D20" s="3" t="s">
        <v>6</v>
      </c>
      <c r="G20" s="3" t="s">
        <v>48</v>
      </c>
      <c r="H20" s="18">
        <f>W12+W15</f>
        <v>543.7484468562875</v>
      </c>
      <c r="I20" s="3" t="s">
        <v>21</v>
      </c>
      <c r="K20" s="4" t="s">
        <v>49</v>
      </c>
      <c r="L20" s="8">
        <f>8.314/28.97</f>
        <v>0.28698653779772182</v>
      </c>
      <c r="M20" s="4" t="s">
        <v>6</v>
      </c>
      <c r="N20" s="4"/>
      <c r="P20" s="6"/>
      <c r="Q20" s="9">
        <f>Q19/101.973</f>
        <v>0.90095507012918385</v>
      </c>
      <c r="R20" s="6" t="s">
        <v>50</v>
      </c>
      <c r="U20" s="7" t="s">
        <v>51</v>
      </c>
      <c r="V20" s="13">
        <f>V19*W20/W19</f>
        <v>9.5567803511935061</v>
      </c>
      <c r="W20" s="13">
        <f>H24-W17</f>
        <v>9.9868354669971495</v>
      </c>
      <c r="X20" s="7"/>
    </row>
    <row r="21" spans="2:24" x14ac:dyDescent="0.3">
      <c r="G21" s="3"/>
      <c r="H21" s="3"/>
      <c r="I21" s="3"/>
      <c r="K21" s="4"/>
      <c r="L21" s="4"/>
      <c r="M21" s="4"/>
      <c r="N21" s="4"/>
      <c r="U21" s="7"/>
      <c r="V21" s="7"/>
      <c r="W21" s="7"/>
      <c r="X21" s="7"/>
    </row>
    <row r="22" spans="2:24" x14ac:dyDescent="0.3">
      <c r="C22" s="27"/>
      <c r="G22" s="3" t="s">
        <v>52</v>
      </c>
      <c r="H22" s="18">
        <f>V17+V20</f>
        <v>579.55678035119354</v>
      </c>
      <c r="I22" s="3" t="s">
        <v>15</v>
      </c>
      <c r="K22" s="4" t="s">
        <v>53</v>
      </c>
      <c r="L22" s="8">
        <f>L20*H7/H8</f>
        <v>2.1156058876114106</v>
      </c>
      <c r="M22" s="4" t="s">
        <v>22</v>
      </c>
      <c r="N22" s="4"/>
      <c r="P22" s="23" t="s">
        <v>99</v>
      </c>
      <c r="Q22" s="24"/>
      <c r="R22" s="25">
        <f>Q16/L10</f>
        <v>501.26882855654861</v>
      </c>
      <c r="S22" s="24" t="s">
        <v>104</v>
      </c>
      <c r="U22" s="33"/>
      <c r="V22" s="33">
        <v>1060</v>
      </c>
      <c r="W22" s="33">
        <v>1114.8599999999999</v>
      </c>
      <c r="X22" s="34">
        <v>143.9</v>
      </c>
    </row>
    <row r="23" spans="2:24" x14ac:dyDescent="0.3">
      <c r="G23" s="3" t="s">
        <v>44</v>
      </c>
      <c r="H23" s="18">
        <f>H19</f>
        <v>629.90466939045052</v>
      </c>
      <c r="I23" s="3" t="s">
        <v>17</v>
      </c>
      <c r="K23" s="4" t="s">
        <v>54</v>
      </c>
      <c r="L23" s="8">
        <f>1/L22</f>
        <v>0.47267782995680413</v>
      </c>
      <c r="M23" s="4" t="s">
        <v>55</v>
      </c>
      <c r="N23" s="4"/>
      <c r="P23" s="23" t="s">
        <v>100</v>
      </c>
      <c r="Q23" s="24"/>
      <c r="R23" s="25">
        <f>(Q6*1000)/(Q16/1000)</f>
        <v>25.520303157300908</v>
      </c>
      <c r="S23" s="24" t="s">
        <v>85</v>
      </c>
      <c r="U23" s="33"/>
      <c r="V23" s="33">
        <v>1080</v>
      </c>
      <c r="W23" s="33">
        <v>1137.8900000000001</v>
      </c>
      <c r="X23" s="34">
        <v>155.19999999999999</v>
      </c>
    </row>
    <row r="24" spans="2:24" x14ac:dyDescent="0.3">
      <c r="C24" s="21"/>
      <c r="G24" s="3" t="s">
        <v>56</v>
      </c>
      <c r="H24" s="18">
        <f>H15+(H20-H15)/L14</f>
        <v>585.57683546699718</v>
      </c>
      <c r="I24" s="3" t="s">
        <v>21</v>
      </c>
      <c r="K24" s="4"/>
      <c r="L24" s="4"/>
      <c r="M24" s="4"/>
      <c r="N24" s="4"/>
      <c r="U24" s="33"/>
      <c r="V24" s="33">
        <f>V23-V22</f>
        <v>20</v>
      </c>
      <c r="W24" s="33">
        <f>W23-W22</f>
        <v>23.0300000000002</v>
      </c>
      <c r="X24" s="34">
        <f>X23-X22</f>
        <v>11.299999999999983</v>
      </c>
    </row>
    <row r="25" spans="2:24" x14ac:dyDescent="0.3">
      <c r="G25" s="3"/>
      <c r="H25" s="3"/>
      <c r="I25" s="3"/>
      <c r="K25" s="4" t="s">
        <v>57</v>
      </c>
      <c r="L25" s="5">
        <f>L10*L22</f>
        <v>66.660668284389288</v>
      </c>
      <c r="M25" s="4" t="s">
        <v>58</v>
      </c>
      <c r="N25" s="4"/>
      <c r="P25" s="24" t="s">
        <v>101</v>
      </c>
      <c r="Q25" s="24"/>
      <c r="R25" s="24"/>
      <c r="U25" s="33" t="s">
        <v>98</v>
      </c>
      <c r="V25" s="36">
        <f>V24*W25/W24</f>
        <v>3.4087103777681693</v>
      </c>
      <c r="W25" s="33">
        <f>H30-W22</f>
        <v>3.9251300000000811</v>
      </c>
      <c r="X25" s="34">
        <f>W25*X24/W24</f>
        <v>1.9259213634390129</v>
      </c>
    </row>
    <row r="26" spans="2:24" x14ac:dyDescent="0.3">
      <c r="K26" s="4"/>
      <c r="L26" s="4"/>
      <c r="M26" s="4"/>
      <c r="N26" s="4"/>
      <c r="P26" s="24" t="s">
        <v>93</v>
      </c>
      <c r="Q26" s="24"/>
      <c r="R26" s="29">
        <f>(Q6/(C13/1000))-1</f>
        <v>-7.3384185910089217E-3</v>
      </c>
      <c r="U26" s="7"/>
      <c r="V26" s="7"/>
      <c r="W26" s="7"/>
      <c r="X26" s="7"/>
    </row>
    <row r="27" spans="2:24" x14ac:dyDescent="0.3">
      <c r="E27" s="15"/>
      <c r="G27" s="3" t="s">
        <v>60</v>
      </c>
      <c r="H27" s="18">
        <v>1063.1500000000001</v>
      </c>
      <c r="I27" s="3" t="s">
        <v>15</v>
      </c>
      <c r="K27" s="4" t="s">
        <v>61</v>
      </c>
      <c r="L27" s="5">
        <f>L25/L8</f>
        <v>0.25638718570918956</v>
      </c>
      <c r="M27" s="4" t="s">
        <v>62</v>
      </c>
      <c r="N27" s="4"/>
      <c r="P27" s="24" t="s">
        <v>102</v>
      </c>
      <c r="Q27" s="24"/>
      <c r="R27" s="29">
        <f>(R23/C10)-1</f>
        <v>-6.9920950466572096E-3</v>
      </c>
      <c r="U27" s="7"/>
      <c r="V27" s="7">
        <v>740</v>
      </c>
      <c r="W27" s="7">
        <v>756.44</v>
      </c>
      <c r="X27" s="13">
        <v>35.5</v>
      </c>
    </row>
    <row r="28" spans="2:24" x14ac:dyDescent="0.3">
      <c r="G28" s="3" t="s">
        <v>63</v>
      </c>
      <c r="H28" s="18">
        <f>0.5327*H27-418.14182</f>
        <v>148.19818500000002</v>
      </c>
      <c r="I28" s="3"/>
      <c r="K28" s="4"/>
      <c r="L28" s="4"/>
      <c r="M28" s="4"/>
      <c r="N28" s="4"/>
      <c r="P28" s="24" t="s">
        <v>103</v>
      </c>
      <c r="Q28" s="24"/>
      <c r="R28" s="29">
        <f>Q16/C7-1</f>
        <v>-3.4876212225920522E-4</v>
      </c>
      <c r="U28" s="7"/>
      <c r="V28" s="7">
        <v>750</v>
      </c>
      <c r="W28" s="7">
        <v>767.29</v>
      </c>
      <c r="X28" s="13">
        <v>37.35</v>
      </c>
    </row>
    <row r="29" spans="2:24" x14ac:dyDescent="0.3">
      <c r="G29" s="3" t="s">
        <v>64</v>
      </c>
      <c r="H29" s="18">
        <f>H23*(1-L18)</f>
        <v>614.1570526556892</v>
      </c>
      <c r="I29" s="3" t="s">
        <v>17</v>
      </c>
      <c r="K29" s="4" t="s">
        <v>65</v>
      </c>
      <c r="L29" s="5">
        <f>(L27*4/3.1418)^0.5</f>
        <v>0.57133244236923575</v>
      </c>
      <c r="M29" s="4" t="s">
        <v>66</v>
      </c>
      <c r="N29" s="4"/>
      <c r="U29" s="7"/>
      <c r="V29" s="7">
        <f>V28-V27</f>
        <v>10</v>
      </c>
      <c r="W29" s="7">
        <f>W28-W27</f>
        <v>10.849999999999909</v>
      </c>
      <c r="X29" s="7">
        <f>X28-X27</f>
        <v>1.8500000000000014</v>
      </c>
    </row>
    <row r="30" spans="2:24" x14ac:dyDescent="0.3">
      <c r="G30" s="3" t="s">
        <v>67</v>
      </c>
      <c r="H30" s="18">
        <f>1.1502*H27-104.05</f>
        <v>1118.78513</v>
      </c>
      <c r="I30" s="3" t="s">
        <v>21</v>
      </c>
      <c r="K30" s="4"/>
      <c r="L30" s="5">
        <f>L29*39.37</f>
        <v>22.49335825607681</v>
      </c>
      <c r="M30" s="4" t="s">
        <v>68</v>
      </c>
      <c r="N30" s="4"/>
      <c r="P30" s="24" t="s">
        <v>110</v>
      </c>
      <c r="Q30" s="24"/>
      <c r="R30" s="29">
        <f>2/(1+(R14/L8))</f>
        <v>0.51401009664056307</v>
      </c>
      <c r="U30" s="7" t="s">
        <v>59</v>
      </c>
      <c r="V30" s="13">
        <f>W30*V29/W29</f>
        <v>-2.5981012404047847</v>
      </c>
      <c r="W30" s="13">
        <f>H35-W27</f>
        <v>-2.8189398458391679</v>
      </c>
      <c r="X30" s="13">
        <f>W30*X29/W29</f>
        <v>-0.48064872947488563</v>
      </c>
    </row>
    <row r="31" spans="2:24" x14ac:dyDescent="0.3">
      <c r="G31" s="3"/>
      <c r="H31" s="3"/>
      <c r="I31" s="3"/>
      <c r="K31" s="4"/>
      <c r="L31" s="4"/>
      <c r="M31" s="4"/>
      <c r="N31" s="4"/>
      <c r="U31" s="7"/>
      <c r="V31" s="7"/>
      <c r="W31" s="7"/>
      <c r="X31" s="7"/>
    </row>
    <row r="32" spans="2:24" x14ac:dyDescent="0.3">
      <c r="G32" s="3" t="s">
        <v>70</v>
      </c>
      <c r="H32" s="18">
        <f>V27+V30</f>
        <v>737.40189875959527</v>
      </c>
      <c r="I32" s="3" t="s">
        <v>15</v>
      </c>
      <c r="K32" s="21"/>
      <c r="U32" s="33"/>
      <c r="V32" s="33">
        <v>780</v>
      </c>
      <c r="W32" s="33">
        <v>800.03</v>
      </c>
      <c r="X32" s="34">
        <v>43.35</v>
      </c>
    </row>
    <row r="33" spans="7:24" x14ac:dyDescent="0.3">
      <c r="G33" s="3" t="s">
        <v>71</v>
      </c>
      <c r="H33" s="18">
        <f>X27+X30</f>
        <v>35.019351270525114</v>
      </c>
      <c r="I33" s="3"/>
      <c r="K33" s="21"/>
      <c r="O33" s="21"/>
      <c r="U33" s="33"/>
      <c r="V33" s="33">
        <v>790</v>
      </c>
      <c r="W33" s="33">
        <v>810.99</v>
      </c>
      <c r="X33" s="34">
        <v>45.55</v>
      </c>
    </row>
    <row r="34" spans="7:24" x14ac:dyDescent="0.3">
      <c r="G34" s="3" t="s">
        <v>72</v>
      </c>
      <c r="H34" s="18">
        <f>H29/(H28/H33)</f>
        <v>145.12580948423874</v>
      </c>
      <c r="I34" s="3" t="s">
        <v>17</v>
      </c>
      <c r="K34" s="27"/>
      <c r="Q34" s="32"/>
      <c r="R34" s="37"/>
      <c r="U34" s="33"/>
      <c r="V34" s="33">
        <f>V33-V32</f>
        <v>10</v>
      </c>
      <c r="W34" s="33">
        <f>W33-W32</f>
        <v>10.960000000000036</v>
      </c>
      <c r="X34" s="33">
        <f>X33-X32</f>
        <v>2.1999999999999957</v>
      </c>
    </row>
    <row r="35" spans="7:24" x14ac:dyDescent="0.3">
      <c r="G35" s="3" t="s">
        <v>73</v>
      </c>
      <c r="H35" s="18">
        <f>H30-(Q12/((L10+Q6)*L16))</f>
        <v>753.62106015416089</v>
      </c>
      <c r="I35" s="3" t="s">
        <v>21</v>
      </c>
      <c r="K35" s="21"/>
      <c r="O35" s="21"/>
      <c r="R35" s="37"/>
      <c r="U35" s="33" t="s">
        <v>69</v>
      </c>
      <c r="V35" s="34">
        <f>W35*V34/W34</f>
        <v>0.96933324281023303</v>
      </c>
      <c r="W35" s="36">
        <f>H40-W32</f>
        <v>1.062389234120019</v>
      </c>
      <c r="X35" s="34">
        <f>W35*X34/W34</f>
        <v>0.21325331341825085</v>
      </c>
    </row>
    <row r="36" spans="7:24" x14ac:dyDescent="0.3">
      <c r="G36" s="3"/>
      <c r="H36" s="3"/>
      <c r="I36" s="3"/>
      <c r="K36" s="21"/>
      <c r="Q36" s="27"/>
      <c r="R36" s="37"/>
      <c r="U36" s="7"/>
      <c r="V36" s="7"/>
      <c r="W36" s="7"/>
      <c r="X36" s="7"/>
    </row>
    <row r="37" spans="7:24" x14ac:dyDescent="0.3">
      <c r="G37" s="3" t="s">
        <v>75</v>
      </c>
      <c r="H37" s="18">
        <f>V32+V35</f>
        <v>780.96933324281019</v>
      </c>
      <c r="I37" s="3" t="s">
        <v>15</v>
      </c>
      <c r="K37" s="21"/>
      <c r="O37" s="15"/>
      <c r="U37" s="7"/>
      <c r="V37" s="7">
        <v>510</v>
      </c>
      <c r="W37" s="7">
        <v>513.32000000000005</v>
      </c>
      <c r="X37" s="7">
        <v>9.0310000000000006</v>
      </c>
    </row>
    <row r="38" spans="7:24" x14ac:dyDescent="0.3">
      <c r="G38" s="3" t="s">
        <v>76</v>
      </c>
      <c r="H38" s="18">
        <f>X32+X35</f>
        <v>43.563253313418251</v>
      </c>
      <c r="I38" s="3"/>
      <c r="K38" s="21"/>
      <c r="R38" s="37"/>
      <c r="U38" s="7"/>
      <c r="V38" s="7">
        <v>520</v>
      </c>
      <c r="W38" s="7">
        <v>523.63</v>
      </c>
      <c r="X38" s="22">
        <v>9.6839999999999993</v>
      </c>
    </row>
    <row r="39" spans="7:24" x14ac:dyDescent="0.3">
      <c r="G39" s="3" t="s">
        <v>72</v>
      </c>
      <c r="H39" s="18">
        <f>H34</f>
        <v>145.12580948423874</v>
      </c>
      <c r="I39" s="3" t="s">
        <v>17</v>
      </c>
      <c r="K39" s="27"/>
      <c r="U39" s="7"/>
      <c r="V39" s="7">
        <f>V38-V37</f>
        <v>10</v>
      </c>
      <c r="W39" s="7">
        <f>W38-W37</f>
        <v>10.309999999999945</v>
      </c>
      <c r="X39" s="7">
        <f>X38-X37</f>
        <v>0.65299999999999869</v>
      </c>
    </row>
    <row r="40" spans="7:24" x14ac:dyDescent="0.3">
      <c r="G40" s="3" t="s">
        <v>77</v>
      </c>
      <c r="H40" s="10">
        <f>H30-L16*(H30-H35)</f>
        <v>801.09238923411999</v>
      </c>
      <c r="I40" s="3" t="s">
        <v>21</v>
      </c>
      <c r="K40" s="21"/>
      <c r="U40" s="7" t="s">
        <v>74</v>
      </c>
      <c r="V40" s="13">
        <f>V39*X40/X39</f>
        <v>5.1222724420804333</v>
      </c>
      <c r="W40" s="13">
        <f>W39*X40/X39</f>
        <v>5.2810628877848984</v>
      </c>
      <c r="X40" s="13">
        <f>H43-X37</f>
        <v>0.33448439046785161</v>
      </c>
    </row>
    <row r="41" spans="7:24" x14ac:dyDescent="0.3">
      <c r="G41" s="3"/>
      <c r="H41" s="3"/>
      <c r="I41" s="3"/>
      <c r="U41" s="7"/>
      <c r="V41" s="7"/>
      <c r="W41" s="7"/>
      <c r="X41" s="7"/>
    </row>
    <row r="42" spans="7:24" x14ac:dyDescent="0.3">
      <c r="G42" s="3" t="s">
        <v>78</v>
      </c>
      <c r="H42" s="18">
        <f>V37+V40</f>
        <v>515.12227244208043</v>
      </c>
      <c r="I42" s="3" t="s">
        <v>15</v>
      </c>
      <c r="K42" s="21"/>
    </row>
    <row r="43" spans="7:24" x14ac:dyDescent="0.3">
      <c r="G43" s="3" t="s">
        <v>79</v>
      </c>
      <c r="H43" s="18">
        <f>H38/(H39/H44)</f>
        <v>9.3654843904678522</v>
      </c>
      <c r="I43" s="3"/>
      <c r="K43" s="21"/>
    </row>
    <row r="44" spans="7:24" x14ac:dyDescent="0.3">
      <c r="G44" s="3" t="s">
        <v>80</v>
      </c>
      <c r="H44" s="3">
        <f>H8</f>
        <v>31.2</v>
      </c>
      <c r="I44" s="3" t="s">
        <v>17</v>
      </c>
      <c r="K44" s="27"/>
    </row>
    <row r="45" spans="7:24" x14ac:dyDescent="0.3">
      <c r="G45" s="3" t="s">
        <v>81</v>
      </c>
      <c r="H45" s="10">
        <f>W37+W40</f>
        <v>518.60106288778491</v>
      </c>
      <c r="I45" s="3" t="s">
        <v>21</v>
      </c>
      <c r="K45" s="21"/>
    </row>
    <row r="47" spans="7:24" x14ac:dyDescent="0.3">
      <c r="H47" s="21"/>
      <c r="K47" s="21"/>
    </row>
  </sheetData>
  <hyperlinks>
    <hyperlink ref="L1" r:id="rId1" xr:uid="{FCF01399-9DF7-42F6-B794-712A6C70D8C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23B2-E693-4B30-9A6C-B6DBECFDD6AB}">
  <dimension ref="A1:K28"/>
  <sheetViews>
    <sheetView workbookViewId="0">
      <selection activeCell="K21" sqref="K21"/>
    </sheetView>
  </sheetViews>
  <sheetFormatPr defaultRowHeight="14.4" x14ac:dyDescent="0.3"/>
  <sheetData>
    <row r="1" spans="1:11" x14ac:dyDescent="0.3">
      <c r="A1" s="15"/>
    </row>
    <row r="3" spans="1:11" x14ac:dyDescent="0.3">
      <c r="I3" t="s">
        <v>12</v>
      </c>
      <c r="J3" t="s">
        <v>13</v>
      </c>
    </row>
    <row r="4" spans="1:11" x14ac:dyDescent="0.3">
      <c r="I4">
        <v>960</v>
      </c>
      <c r="J4">
        <v>1000.55</v>
      </c>
      <c r="K4" s="21">
        <f>1.1502*I4-104.05</f>
        <v>1000.1420000000001</v>
      </c>
    </row>
    <row r="5" spans="1:11" x14ac:dyDescent="0.3">
      <c r="I5">
        <v>980</v>
      </c>
      <c r="J5">
        <v>1023.25</v>
      </c>
      <c r="K5" s="21">
        <f t="shared" ref="K5:K13" si="0">1.1502*I5-104.05</f>
        <v>1023.146</v>
      </c>
    </row>
    <row r="6" spans="1:11" x14ac:dyDescent="0.3">
      <c r="I6">
        <v>1000</v>
      </c>
      <c r="J6">
        <v>1046.04</v>
      </c>
      <c r="K6" s="21">
        <f t="shared" si="0"/>
        <v>1046.1499999999999</v>
      </c>
    </row>
    <row r="7" spans="1:11" x14ac:dyDescent="0.3">
      <c r="I7">
        <v>1020</v>
      </c>
      <c r="J7">
        <v>1068.8900000000001</v>
      </c>
      <c r="K7" s="21">
        <f t="shared" si="0"/>
        <v>1069.154</v>
      </c>
    </row>
    <row r="8" spans="1:11" x14ac:dyDescent="0.3">
      <c r="I8">
        <v>1040</v>
      </c>
      <c r="J8">
        <v>1091.8499999999999</v>
      </c>
      <c r="K8" s="21">
        <f t="shared" si="0"/>
        <v>1092.1579999999999</v>
      </c>
    </row>
    <row r="9" spans="1:11" x14ac:dyDescent="0.3">
      <c r="I9">
        <v>1060</v>
      </c>
      <c r="J9">
        <v>1114.8599999999999</v>
      </c>
      <c r="K9" s="21">
        <f t="shared" si="0"/>
        <v>1115.162</v>
      </c>
    </row>
    <row r="10" spans="1:11" x14ac:dyDescent="0.3">
      <c r="I10">
        <v>1080</v>
      </c>
      <c r="J10">
        <v>1137.8900000000001</v>
      </c>
      <c r="K10" s="21">
        <f t="shared" si="0"/>
        <v>1138.1659999999999</v>
      </c>
    </row>
    <row r="11" spans="1:11" x14ac:dyDescent="0.3">
      <c r="I11">
        <v>1100</v>
      </c>
      <c r="J11">
        <v>1161.07</v>
      </c>
      <c r="K11" s="21">
        <f t="shared" si="0"/>
        <v>1161.1699999999998</v>
      </c>
    </row>
    <row r="12" spans="1:11" x14ac:dyDescent="0.3">
      <c r="I12">
        <v>1120</v>
      </c>
      <c r="J12">
        <v>1184.28</v>
      </c>
      <c r="K12" s="21">
        <f t="shared" si="0"/>
        <v>1184.174</v>
      </c>
    </row>
    <row r="13" spans="1:11" x14ac:dyDescent="0.3">
      <c r="I13">
        <v>1140</v>
      </c>
      <c r="J13">
        <v>1207.57</v>
      </c>
      <c r="K13" s="21">
        <f t="shared" si="0"/>
        <v>1207.1779999999999</v>
      </c>
    </row>
    <row r="18" spans="9:11" x14ac:dyDescent="0.3">
      <c r="I18" t="s">
        <v>12</v>
      </c>
      <c r="J18" t="s">
        <v>111</v>
      </c>
    </row>
    <row r="19" spans="9:11" x14ac:dyDescent="0.3">
      <c r="I19">
        <v>960</v>
      </c>
      <c r="J19">
        <v>97</v>
      </c>
      <c r="K19" s="21">
        <f>0.5327*I19-418.14182</f>
        <v>93.250179999999943</v>
      </c>
    </row>
    <row r="20" spans="9:11" x14ac:dyDescent="0.3">
      <c r="I20">
        <v>980</v>
      </c>
      <c r="J20">
        <v>105.2</v>
      </c>
      <c r="K20" s="21">
        <f t="shared" ref="K20:K28" si="1">0.5327*I20-418.14182</f>
        <v>103.90417999999994</v>
      </c>
    </row>
    <row r="21" spans="9:11" x14ac:dyDescent="0.3">
      <c r="I21">
        <v>1000</v>
      </c>
      <c r="J21">
        <v>114</v>
      </c>
      <c r="K21" s="21">
        <f t="shared" si="1"/>
        <v>114.55817999999994</v>
      </c>
    </row>
    <row r="22" spans="9:11" x14ac:dyDescent="0.3">
      <c r="I22">
        <v>1020</v>
      </c>
      <c r="J22">
        <v>123.4</v>
      </c>
      <c r="K22" s="21">
        <f t="shared" si="1"/>
        <v>125.21217999999993</v>
      </c>
    </row>
    <row r="23" spans="9:11" x14ac:dyDescent="0.3">
      <c r="I23">
        <v>1040</v>
      </c>
      <c r="J23">
        <v>133.30000000000001</v>
      </c>
      <c r="K23" s="21">
        <f t="shared" si="1"/>
        <v>135.86617999999993</v>
      </c>
    </row>
    <row r="24" spans="9:11" x14ac:dyDescent="0.3">
      <c r="I24">
        <v>1060</v>
      </c>
      <c r="J24">
        <v>143.9</v>
      </c>
      <c r="K24" s="21">
        <f t="shared" si="1"/>
        <v>146.52017999999993</v>
      </c>
    </row>
    <row r="25" spans="9:11" x14ac:dyDescent="0.3">
      <c r="I25">
        <v>1080</v>
      </c>
      <c r="J25">
        <v>155.19999999999999</v>
      </c>
      <c r="K25" s="21">
        <f t="shared" si="1"/>
        <v>157.17417999999992</v>
      </c>
    </row>
    <row r="26" spans="9:11" x14ac:dyDescent="0.3">
      <c r="I26">
        <v>1100</v>
      </c>
      <c r="J26">
        <v>167.1</v>
      </c>
      <c r="K26" s="21">
        <f t="shared" si="1"/>
        <v>167.82817999999992</v>
      </c>
    </row>
    <row r="27" spans="9:11" x14ac:dyDescent="0.3">
      <c r="I27">
        <v>1120</v>
      </c>
      <c r="J27">
        <v>179.7</v>
      </c>
      <c r="K27" s="21">
        <f t="shared" si="1"/>
        <v>178.48217999999991</v>
      </c>
    </row>
    <row r="28" spans="9:11" x14ac:dyDescent="0.3">
      <c r="I28">
        <v>1140</v>
      </c>
      <c r="J28">
        <v>193.1</v>
      </c>
      <c r="K28" s="21">
        <f t="shared" si="1"/>
        <v>189.13617999999991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Solução @cruise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awalter</dc:creator>
  <cp:lastModifiedBy>awalter</cp:lastModifiedBy>
  <dcterms:created xsi:type="dcterms:W3CDTF">2020-05-29T14:16:37Z</dcterms:created>
  <dcterms:modified xsi:type="dcterms:W3CDTF">2025-04-23T21:16:49Z</dcterms:modified>
</cp:coreProperties>
</file>