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1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giacomo.cangi\.conda\envs\GiacoEnv\PMD\"/>
    </mc:Choice>
  </mc:AlternateContent>
  <xr:revisionPtr revIDLastSave="0" documentId="8_{0BB42A54-2F1D-4A11-8844-0A8DE9D79560}" xr6:coauthVersionLast="47" xr6:coauthVersionMax="47" xr10:uidLastSave="{00000000-0000-0000-0000-000000000000}"/>
  <bookViews>
    <workbookView xWindow="-120" yWindow="-120" windowWidth="29040" windowHeight="15990" tabRatio="651" activeTab="1" xr2:uid="{B44462FA-72A1-4E98-962F-11FC15401C27}"/>
  </bookViews>
  <sheets>
    <sheet name="USAGE" sheetId="16" r:id="rId1"/>
    <sheet name="DASHBOARD" sheetId="17" r:id="rId2"/>
    <sheet name="RESULTS" sheetId="30" r:id="rId3"/>
    <sheet name="GENERIC" sheetId="33" r:id="rId4"/>
    <sheet name="BODY 1" sheetId="28" r:id="rId5"/>
    <sheet name="BODY 2" sheetId="19" r:id="rId6"/>
    <sheet name="BODY 3" sheetId="20" r:id="rId7"/>
    <sheet name="BODY 4" sheetId="21" r:id="rId8"/>
    <sheet name="BODY 5" sheetId="22" r:id="rId9"/>
    <sheet name="WHEELS" sheetId="23" r:id="rId10"/>
    <sheet name="OSCILLATE HC" sheetId="24" r:id="rId11"/>
    <sheet name="BASE MOTION" sheetId="29" r:id="rId12"/>
    <sheet name="SERVICE" sheetId="11" r:id="rId13"/>
  </sheets>
  <definedNames>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boom_Ixx">'BODY 5'!$G$9</definedName>
    <definedName name="boom_Iyy">'BODY 5'!$G$11</definedName>
    <definedName name="boom_Izz">'BODY 5'!$G$13</definedName>
    <definedName name="boom_mass">'BODY 5'!$G$7</definedName>
    <definedName name="boom_xg">'BODY 5'!$G$15</definedName>
    <definedName name="boom_yg">'BODY 5'!$G$17</definedName>
    <definedName name="boom_zg">'BODY 5'!$G$19</definedName>
    <definedName name="curbs_angle">'BASE MOTION'!$AF$17</definedName>
    <definedName name="curbs_height">'BASE MOTION'!$AF$7</definedName>
    <definedName name="curbs_left_number">'BASE MOTION'!$AF$21</definedName>
    <definedName name="curbs_major_base">'BASE MOTION'!$AF$9</definedName>
    <definedName name="curbs_minor_base">'BASE MOTION'!$AF$11</definedName>
    <definedName name="curbs_offset">'BASE MOTION'!$AF$15</definedName>
    <definedName name="curbs_pitch">'BASE MOTION'!$AF$13</definedName>
    <definedName name="curbs_right_number">'BASE MOTION'!$AF$19</definedName>
    <definedName name="drive_chassis_Ixx">'BODY 1'!$G$9</definedName>
    <definedName name="drive_chassis_Iyy">'BODY 1'!$G$11</definedName>
    <definedName name="drive_chassis_Izz">'BODY 1'!$G$13</definedName>
    <definedName name="drive_chassis_mass">'BODY 1'!$G$7</definedName>
    <definedName name="drive_chassis_xg">'BODY 1'!$G$15</definedName>
    <definedName name="drive_chassis_yg">'BODY 1'!$G$17</definedName>
    <definedName name="drive_chassis_zg">'BODY 1'!$G$19</definedName>
    <definedName name="from_in_to_mm">SERVICE!$A$11</definedName>
    <definedName name="from_kg_to_lb">SERVICE!$A$10</definedName>
    <definedName name="from_kgm2_to_lbin2">SERVICE!$A$12</definedName>
    <definedName name="from_m_to_in">SERVICE!$A$13</definedName>
    <definedName name="from_MPa_to_psi">SERVICE!$A$16</definedName>
    <definedName name="from_N_to_lbf">SERVICE!$A$14</definedName>
    <definedName name="from_Nm_to_lbfin">SERVICE!$A$15</definedName>
    <definedName name="front_axle_Ixx">'BODY 2'!$G$9</definedName>
    <definedName name="front_axle_Iyy">'BODY 2'!$G$11</definedName>
    <definedName name="front_axle_Izz">'BODY 2'!$G$13</definedName>
    <definedName name="front_axle_mass">'BODY 2'!$G$7</definedName>
    <definedName name="front_axle_xg">'BODY 2'!$G$15</definedName>
    <definedName name="front_axle_yg">'BODY 2'!$G$17</definedName>
    <definedName name="front_axle_zg">'BODY 2'!$G$19</definedName>
    <definedName name="machine_gap">GENERIC!$G$11</definedName>
    <definedName name="machine_k13xx">GENERIC!$G$13</definedName>
    <definedName name="machine_mass">GENERIC!$G$25</definedName>
    <definedName name="machine_RFL">GENERIC!$G$29</definedName>
    <definedName name="machine_RFR">GENERIC!$G$27</definedName>
    <definedName name="machine_RRL">GENERIC!$G$33</definedName>
    <definedName name="machine_RRR">GENERIC!$G$31</definedName>
    <definedName name="machine_wheelbase">GENERIC!$G$7</definedName>
    <definedName name="machine_wheeltrack">GENERIC!$G$9</definedName>
    <definedName name="machine_xg">GENERIC!$G$19</definedName>
    <definedName name="machine_yg">GENERIC!$G$21</definedName>
    <definedName name="machine_zg">GENERIC!$G$23</definedName>
    <definedName name="oscillate_bulk_modulus">'OSCILLATE HC'!$G$7</definedName>
    <definedName name="oscillate_c12xx">'OSCILLATE HC'!$G$61</definedName>
    <definedName name="oscillate_chi0">'OSCILLATE HC'!$G$57</definedName>
    <definedName name="oscillate_csi">'OSCILLATE HC'!$G$25</definedName>
    <definedName name="oscillate_id_barrel">'OSCILLATE HC'!$G$11</definedName>
    <definedName name="oscillate_k12xx">'OSCILLATE HC'!$G$59</definedName>
    <definedName name="oscillate_kc">'OSCILLATE HC'!$G$55</definedName>
    <definedName name="oscillate_kt">'OSCILLATE HC'!$G$53</definedName>
    <definedName name="oscillate_length_a">'OSCILLATE HC'!$G$31</definedName>
    <definedName name="oscillate_length_b">'OSCILLATE HC'!$G$33</definedName>
    <definedName name="oscillate_length_c">'OSCILLATE HC'!$G$35</definedName>
    <definedName name="oscillate_length_closed">'OSCILLATE HC'!$G$13</definedName>
    <definedName name="oscillate_length_d">'OSCILLATE HC'!$G$37</definedName>
    <definedName name="oscillate_length_initial">'OSCILLATE HC'!$G$45</definedName>
    <definedName name="oscillate_length_l1">'OSCILLATE HC'!$G$17</definedName>
    <definedName name="oscillate_length_l2">'OSCILLATE HC'!$G$19</definedName>
    <definedName name="oscillate_length_l3">'OSCILLATE HC'!$G$21</definedName>
    <definedName name="oscillate_length_l4">'OSCILLATE HC'!$G$23</definedName>
    <definedName name="oscillate_od_rod">'OSCILLATE HC'!$G$9</definedName>
    <definedName name="oscillate_section_annulus">'OSCILLATE HC'!$G$43</definedName>
    <definedName name="oscillate_section_barrel">'OSCILLATE HC'!$G$41</definedName>
    <definedName name="oscillate_section_rod">'OSCILLATE HC'!$G$39</definedName>
    <definedName name="oscillate_stroke">'OSCILLATE HC'!$G$15</definedName>
    <definedName name="oscillate_stroke_initial">'OSCILLATE HC'!$G$47</definedName>
    <definedName name="oscillate_V_10">'OSCILLATE HC'!$G$49</definedName>
    <definedName name="oscillate_V_20">'OSCILLATE HC'!$G$51</definedName>
    <definedName name="password">SERVICE!$E$14</definedName>
    <definedName name="rear_axle_Ixx">'BODY 3'!$G$9</definedName>
    <definedName name="rear_axle_Iyy">'BODY 3'!$G$11</definedName>
    <definedName name="rear_axle_Izz">'BODY 3'!$G$13</definedName>
    <definedName name="rear_axle_mass">'BODY 3'!$G$7</definedName>
    <definedName name="rear_axle_xg">'BODY 3'!$G$15</definedName>
    <definedName name="rear_axle_yg">'BODY 3'!$G$17</definedName>
    <definedName name="rear_axle_zg">'BODY 3'!$G$19</definedName>
    <definedName name="simulation_speed">'BASE MOTION'!$H$9</definedName>
    <definedName name="simulation_time_step">'BASE MOTION'!$H$7</definedName>
    <definedName name="swing_chassis_Ixx">'BODY 4'!$G$9</definedName>
    <definedName name="swing_chassis_Iyy">'BODY 4'!$G$11</definedName>
    <definedName name="swing_chassis_Izz">'BODY 4'!$G$13</definedName>
    <definedName name="swing_chassis_mass">'BODY 4'!$G$7</definedName>
    <definedName name="swing_chassis_xg">'BODY 4'!$G$15</definedName>
    <definedName name="swing_chassis_yg">'BODY 4'!$G$17</definedName>
    <definedName name="swing_chassis_zg">'BODY 4'!$G$19</definedName>
    <definedName name="wheel_ctire">WHEELS!$G$9</definedName>
    <definedName name="wheel_hhub">WHEELS!$G$13</definedName>
    <definedName name="wheel_ktire">WHEELS!$G$7</definedName>
    <definedName name="wheel_rwheel">WHEELS!$G$11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5" i="24" l="1"/>
  <c r="G53" i="24"/>
  <c r="G49" i="24"/>
  <c r="G51" i="24"/>
  <c r="G33" i="29" l="1"/>
  <c r="AI19" i="29"/>
  <c r="I13" i="23"/>
  <c r="I13" i="33"/>
  <c r="G23" i="33"/>
  <c r="I23" i="33" s="1"/>
  <c r="W26" i="17"/>
  <c r="W25" i="17"/>
  <c r="G39" i="24"/>
  <c r="W20" i="17"/>
  <c r="W19" i="17"/>
  <c r="W18" i="17"/>
  <c r="W17" i="17"/>
  <c r="W16" i="17"/>
  <c r="W15" i="17"/>
  <c r="W14" i="17"/>
  <c r="W12" i="17"/>
  <c r="W11" i="17"/>
  <c r="W10" i="17"/>
  <c r="W9" i="17"/>
  <c r="W8" i="17"/>
  <c r="W7" i="17"/>
  <c r="W6" i="17"/>
  <c r="W22" i="17"/>
  <c r="W23" i="17"/>
  <c r="W27" i="17"/>
  <c r="W28" i="17"/>
  <c r="W29" i="17"/>
  <c r="W30" i="17"/>
  <c r="W31" i="17"/>
  <c r="W32" i="17"/>
  <c r="W33" i="17"/>
  <c r="W34" i="17"/>
  <c r="H40" i="17"/>
  <c r="H39" i="17"/>
  <c r="H37" i="17"/>
  <c r="H36" i="17"/>
  <c r="H35" i="17"/>
  <c r="H34" i="17"/>
  <c r="H32" i="17"/>
  <c r="H31" i="17"/>
  <c r="H29" i="17"/>
  <c r="H28" i="17"/>
  <c r="H27" i="17"/>
  <c r="H26" i="17"/>
  <c r="H23" i="17"/>
  <c r="H24" i="17"/>
  <c r="H22" i="17"/>
  <c r="H21" i="17"/>
  <c r="H20" i="17"/>
  <c r="H19" i="17"/>
  <c r="H18" i="17"/>
  <c r="H16" i="17"/>
  <c r="J16" i="17" s="1"/>
  <c r="G25" i="33"/>
  <c r="G15" i="19"/>
  <c r="H30" i="17" s="1"/>
  <c r="G21" i="33"/>
  <c r="I21" i="33" s="1"/>
  <c r="I7" i="33"/>
  <c r="I9" i="33"/>
  <c r="I11" i="33"/>
  <c r="H10" i="17" l="1"/>
  <c r="I25" i="33"/>
  <c r="H11" i="17"/>
  <c r="J11" i="17" s="1"/>
  <c r="H9" i="17"/>
  <c r="I11" i="23"/>
  <c r="J10" i="17" l="1"/>
  <c r="J9" i="17"/>
  <c r="H7" i="17" l="1"/>
  <c r="J7" i="17" s="1"/>
  <c r="H6" i="17"/>
  <c r="J6" i="17" s="1"/>
  <c r="AF15" i="29"/>
  <c r="G32" i="29"/>
  <c r="AI17" i="29"/>
  <c r="G34" i="29" l="1"/>
  <c r="G31" i="29"/>
  <c r="G30" i="29"/>
  <c r="G29" i="29"/>
  <c r="G28" i="29"/>
  <c r="G27" i="29"/>
  <c r="BA17" i="29"/>
  <c r="BA15" i="29"/>
  <c r="BA13" i="29"/>
  <c r="BA11" i="29"/>
  <c r="BA9" i="29"/>
  <c r="BA7" i="29"/>
  <c r="AI21" i="29" l="1"/>
  <c r="AI15" i="29"/>
  <c r="AI13" i="29"/>
  <c r="AI11" i="29"/>
  <c r="AI9" i="29"/>
  <c r="AI7" i="29"/>
  <c r="G15" i="20"/>
  <c r="G45" i="24"/>
  <c r="G47" i="24" s="1" a="1"/>
  <c r="G47" i="24" s="1"/>
  <c r="I47" i="24" s="1"/>
  <c r="G33" i="24"/>
  <c r="G37" i="24" s="1"/>
  <c r="I37" i="24" s="1"/>
  <c r="G31" i="24"/>
  <c r="I31" i="24" s="1"/>
  <c r="I39" i="24"/>
  <c r="G41" i="24"/>
  <c r="I25" i="24"/>
  <c r="Y34" i="17" s="1"/>
  <c r="I23" i="24"/>
  <c r="Y33" i="17" s="1"/>
  <c r="I21" i="24"/>
  <c r="Y32" i="17" s="1"/>
  <c r="I19" i="24"/>
  <c r="Y31" i="17" s="1"/>
  <c r="I17" i="24"/>
  <c r="Y30" i="17" s="1"/>
  <c r="I15" i="24"/>
  <c r="Y29" i="17" s="1"/>
  <c r="I13" i="24"/>
  <c r="Y28" i="17" s="1"/>
  <c r="I11" i="24"/>
  <c r="Y27" i="17" s="1"/>
  <c r="I9" i="24"/>
  <c r="Y26" i="17" s="1"/>
  <c r="I7" i="24"/>
  <c r="Y25" i="17" s="1"/>
  <c r="I19" i="28"/>
  <c r="J24" i="17" s="1"/>
  <c r="I17" i="28"/>
  <c r="J23" i="17" s="1"/>
  <c r="I15" i="28"/>
  <c r="J22" i="17" s="1"/>
  <c r="I13" i="28"/>
  <c r="J21" i="17" s="1"/>
  <c r="I11" i="28"/>
  <c r="J20" i="17" s="1"/>
  <c r="I9" i="28"/>
  <c r="J19" i="17" s="1"/>
  <c r="I7" i="28"/>
  <c r="J18" i="17" s="1"/>
  <c r="I9" i="23"/>
  <c r="Y23" i="17" s="1"/>
  <c r="I7" i="23"/>
  <c r="Y22" i="17" s="1"/>
  <c r="I19" i="22"/>
  <c r="Y20" i="17" s="1"/>
  <c r="I17" i="22"/>
  <c r="Y19" i="17" s="1"/>
  <c r="I15" i="22"/>
  <c r="Y18" i="17" s="1"/>
  <c r="I13" i="22"/>
  <c r="Y17" i="17" s="1"/>
  <c r="I11" i="22"/>
  <c r="Y16" i="17" s="1"/>
  <c r="I9" i="22"/>
  <c r="Y15" i="17" s="1"/>
  <c r="I7" i="22"/>
  <c r="Y14" i="17" s="1"/>
  <c r="I19" i="21"/>
  <c r="Y12" i="17" s="1"/>
  <c r="I17" i="21"/>
  <c r="Y11" i="17" s="1"/>
  <c r="I15" i="21"/>
  <c r="Y10" i="17" s="1"/>
  <c r="I13" i="21"/>
  <c r="Y9" i="17" s="1"/>
  <c r="I11" i="21"/>
  <c r="Y8" i="17" s="1"/>
  <c r="I9" i="21"/>
  <c r="Y7" i="17" s="1"/>
  <c r="I7" i="21"/>
  <c r="Y6" i="17" s="1"/>
  <c r="I19" i="20"/>
  <c r="J40" i="17" s="1"/>
  <c r="I17" i="20"/>
  <c r="J39" i="17" s="1"/>
  <c r="I13" i="20"/>
  <c r="J37" i="17" s="1"/>
  <c r="I11" i="20"/>
  <c r="J36" i="17" s="1"/>
  <c r="I9" i="20"/>
  <c r="J35" i="17" s="1"/>
  <c r="I7" i="20"/>
  <c r="J34" i="17" s="1"/>
  <c r="I19" i="19"/>
  <c r="J32" i="17" s="1"/>
  <c r="I17" i="19"/>
  <c r="J31" i="17" s="1"/>
  <c r="I13" i="19"/>
  <c r="J29" i="17" s="1"/>
  <c r="I11" i="19"/>
  <c r="J28" i="17" s="1"/>
  <c r="I9" i="19"/>
  <c r="J27" i="17" s="1"/>
  <c r="I7" i="19"/>
  <c r="J26" i="17" s="1"/>
  <c r="G19" i="33" l="1"/>
  <c r="I19" i="33" s="1"/>
  <c r="H38" i="17"/>
  <c r="I15" i="19"/>
  <c r="J30" i="17" s="1"/>
  <c r="I15" i="20"/>
  <c r="J38" i="17" s="1"/>
  <c r="G57" i="24"/>
  <c r="I57" i="24" s="1"/>
  <c r="I45" i="24"/>
  <c r="I33" i="24"/>
  <c r="G43" i="24"/>
  <c r="G35" i="24"/>
  <c r="I35" i="24" s="1"/>
  <c r="I41" i="24"/>
  <c r="I49" i="24"/>
  <c r="H8" i="17" l="1"/>
  <c r="G33" i="33"/>
  <c r="I33" i="33" s="1"/>
  <c r="G29" i="33"/>
  <c r="I29" i="33" s="1"/>
  <c r="G27" i="33"/>
  <c r="S8" i="17" s="1"/>
  <c r="G31" i="33"/>
  <c r="I31" i="33" s="1"/>
  <c r="H13" i="17"/>
  <c r="J13" i="17" s="1"/>
  <c r="M17" i="17"/>
  <c r="H15" i="17"/>
  <c r="J15" i="17" s="1"/>
  <c r="J8" i="17"/>
  <c r="I55" i="24"/>
  <c r="I43" i="24"/>
  <c r="I51" i="24"/>
  <c r="S17" i="17" l="1"/>
  <c r="M8" i="17"/>
  <c r="H12" i="17"/>
  <c r="J12" i="17" s="1"/>
  <c r="H14" i="17"/>
  <c r="J14" i="17" s="1"/>
  <c r="I27" i="33"/>
  <c r="G59" i="24"/>
  <c r="G61" i="24" s="1"/>
  <c r="I61" i="24" s="1"/>
  <c r="I59" i="24" l="1"/>
  <c r="I53"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Cangi, Giacomo</author>
  </authors>
  <commentList>
    <comment ref="M11" authorId="0" shapeId="0" xr:uid="{CA880BC9-B04C-4CA2-A006-41CD22B7689D}">
      <text>
        <r>
          <rPr>
            <b/>
            <sz val="9"/>
            <color indexed="81"/>
            <rFont val="Tahoma"/>
            <family val="2"/>
          </rPr>
          <t>Cangi, Giacomo:</t>
        </r>
        <r>
          <rPr>
            <sz val="9"/>
            <color indexed="81"/>
            <rFont val="Tahoma"/>
            <family val="2"/>
          </rPr>
          <t xml:space="preserve">
Static front left reaction force.</t>
        </r>
      </text>
    </comment>
    <comment ref="S11" authorId="0" shapeId="0" xr:uid="{730C9B55-4FF1-4886-B053-CC980A7D8F8F}">
      <text>
        <r>
          <rPr>
            <b/>
            <sz val="9"/>
            <color indexed="81"/>
            <rFont val="Tahoma"/>
            <family val="2"/>
          </rPr>
          <t>Cangi, Giacomo:</t>
        </r>
        <r>
          <rPr>
            <sz val="9"/>
            <color indexed="81"/>
            <rFont val="Tahoma"/>
            <family val="2"/>
          </rPr>
          <t xml:space="preserve">
Static front right reaction force.</t>
        </r>
      </text>
    </comment>
    <comment ref="M20" authorId="0" shapeId="0" xr:uid="{915C6CCB-FCE1-4848-9FD8-13742D87B946}">
      <text>
        <r>
          <rPr>
            <b/>
            <sz val="9"/>
            <color indexed="81"/>
            <rFont val="Tahoma"/>
            <family val="2"/>
          </rPr>
          <t>Cangi, Giacomo:</t>
        </r>
        <r>
          <rPr>
            <sz val="9"/>
            <color indexed="81"/>
            <rFont val="Tahoma"/>
            <family val="2"/>
          </rPr>
          <t xml:space="preserve">
Static rear left reaction force.</t>
        </r>
      </text>
    </comment>
    <comment ref="S20" authorId="0" shapeId="0" xr:uid="{3441F855-0827-4D59-A93B-320DA68CBA14}">
      <text>
        <r>
          <rPr>
            <b/>
            <sz val="9"/>
            <color indexed="81"/>
            <rFont val="Tahoma"/>
            <family val="2"/>
          </rPr>
          <t>Cangi, Giacomo:</t>
        </r>
        <r>
          <rPr>
            <sz val="9"/>
            <color indexed="81"/>
            <rFont val="Tahoma"/>
            <family val="2"/>
          </rPr>
          <t xml:space="preserve">
Static rear right reaction force.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<sst xmlns="http://schemas.openxmlformats.org/spreadsheetml/2006/main" count="822" uniqueCount="268">
  <si>
    <t>USAGE</t>
  </si>
  <si>
    <t>DYNAMIC SIMULATION TOOL</t>
  </si>
  <si>
    <t>RUN SIMULATION</t>
  </si>
  <si>
    <t>RESULTS</t>
  </si>
  <si>
    <t>DASHBOARD</t>
  </si>
  <si>
    <t>THEORY REFERENCE</t>
  </si>
  <si>
    <t>SI</t>
  </si>
  <si>
    <t>IMPERIAL</t>
  </si>
  <si>
    <t>DRIVE CHASSIS</t>
  </si>
  <si>
    <t>m</t>
  </si>
  <si>
    <t>[kg]</t>
  </si>
  <si>
    <t>[lb]</t>
  </si>
  <si>
    <t>SWING CHASSIS</t>
  </si>
  <si>
    <r>
      <t>I</t>
    </r>
    <r>
      <rPr>
        <b/>
        <vertAlign val="subscript"/>
        <sz val="12"/>
        <color theme="0" tint="-4.9989318521683403E-2"/>
        <rFont val="Courier New"/>
        <family val="3"/>
      </rPr>
      <t>xx</t>
    </r>
  </si>
  <si>
    <r>
      <t>[kg∙m</t>
    </r>
    <r>
      <rPr>
        <vertAlign val="superscript"/>
        <sz val="11"/>
        <rFont val="Courier New"/>
        <family val="3"/>
      </rPr>
      <t>2</t>
    </r>
    <r>
      <rPr>
        <sz val="11"/>
        <rFont val="Courier New"/>
        <family val="3"/>
      </rPr>
      <t>]</t>
    </r>
  </si>
  <si>
    <r>
      <t>[lb∙in</t>
    </r>
    <r>
      <rPr>
        <vertAlign val="superscript"/>
        <sz val="11"/>
        <rFont val="Courier New"/>
        <family val="3"/>
      </rPr>
      <t>2</t>
    </r>
    <r>
      <rPr>
        <sz val="11"/>
        <rFont val="Courier New"/>
        <family val="3"/>
      </rPr>
      <t>]</t>
    </r>
  </si>
  <si>
    <r>
      <t>I</t>
    </r>
    <r>
      <rPr>
        <b/>
        <vertAlign val="subscript"/>
        <sz val="11"/>
        <color theme="0" tint="-4.9989318521683403E-2"/>
        <rFont val="Courier New"/>
        <family val="3"/>
      </rPr>
      <t>xx</t>
    </r>
  </si>
  <si>
    <r>
      <t>I</t>
    </r>
    <r>
      <rPr>
        <b/>
        <vertAlign val="subscript"/>
        <sz val="12"/>
        <color theme="0" tint="-4.9989318521683403E-2"/>
        <rFont val="Courier New"/>
        <family val="3"/>
      </rPr>
      <t>yy</t>
    </r>
  </si>
  <si>
    <r>
      <t>I</t>
    </r>
    <r>
      <rPr>
        <b/>
        <vertAlign val="subscript"/>
        <sz val="11"/>
        <color theme="0" tint="-4.9989318521683403E-2"/>
        <rFont val="Courier New"/>
        <family val="3"/>
      </rPr>
      <t>yy</t>
    </r>
  </si>
  <si>
    <r>
      <t>I</t>
    </r>
    <r>
      <rPr>
        <b/>
        <vertAlign val="subscript"/>
        <sz val="12"/>
        <color theme="0" tint="-4.9989318521683403E-2"/>
        <rFont val="Courier New"/>
        <family val="3"/>
      </rPr>
      <t>zz</t>
    </r>
  </si>
  <si>
    <r>
      <t>I</t>
    </r>
    <r>
      <rPr>
        <b/>
        <vertAlign val="subscript"/>
        <sz val="11"/>
        <color theme="0" tint="-4.9989318521683403E-2"/>
        <rFont val="Courier New"/>
        <family val="3"/>
      </rPr>
      <t>zz</t>
    </r>
  </si>
  <si>
    <t>x</t>
  </si>
  <si>
    <t>[m]</t>
  </si>
  <si>
    <t>[in]</t>
  </si>
  <si>
    <t>y</t>
  </si>
  <si>
    <t>z</t>
  </si>
  <si>
    <t>FRONT AXLE</t>
  </si>
  <si>
    <t>BOOM</t>
  </si>
  <si>
    <t>Drive Chassis</t>
  </si>
  <si>
    <t>Front Axle</t>
  </si>
  <si>
    <t>Rear Axle</t>
  </si>
  <si>
    <t>Swing Chassis</t>
  </si>
  <si>
    <t>Boom</t>
  </si>
  <si>
    <t>Wheels</t>
  </si>
  <si>
    <t>Oscillate HC</t>
  </si>
  <si>
    <t>REAR AXLE</t>
  </si>
  <si>
    <t>WHEELS</t>
  </si>
  <si>
    <t>[N/m]</t>
  </si>
  <si>
    <t>[lbf/in]</t>
  </si>
  <si>
    <r>
      <t>[N</t>
    </r>
    <r>
      <rPr>
        <sz val="11"/>
        <rFont val="Calibri"/>
        <family val="2"/>
      </rPr>
      <t>∙</t>
    </r>
    <r>
      <rPr>
        <sz val="11"/>
        <rFont val="Courier New"/>
        <family val="3"/>
      </rPr>
      <t>s/m]</t>
    </r>
  </si>
  <si>
    <r>
      <t>[lbf</t>
    </r>
    <r>
      <rPr>
        <sz val="11"/>
        <rFont val="Calibri"/>
        <family val="2"/>
      </rPr>
      <t>∙</t>
    </r>
    <r>
      <rPr>
        <sz val="11"/>
        <rFont val="Courier New"/>
        <family val="3"/>
      </rPr>
      <t>s/in]</t>
    </r>
  </si>
  <si>
    <t>OSCILLATE HC</t>
  </si>
  <si>
    <t>β</t>
  </si>
  <si>
    <t>[MPa]</t>
  </si>
  <si>
    <t>[psi]</t>
  </si>
  <si>
    <r>
      <t>OD</t>
    </r>
    <r>
      <rPr>
        <b/>
        <vertAlign val="subscript"/>
        <sz val="11"/>
        <color theme="0"/>
        <rFont val="Courier New"/>
        <family val="3"/>
      </rPr>
      <t>road</t>
    </r>
  </si>
  <si>
    <t>[mm]</t>
  </si>
  <si>
    <r>
      <t>ID</t>
    </r>
    <r>
      <rPr>
        <b/>
        <vertAlign val="subscript"/>
        <sz val="11"/>
        <color theme="0"/>
        <rFont val="Courier New"/>
        <family val="3"/>
      </rPr>
      <t>barr</t>
    </r>
  </si>
  <si>
    <r>
      <t>L</t>
    </r>
    <r>
      <rPr>
        <b/>
        <vertAlign val="subscript"/>
        <sz val="11"/>
        <color theme="0"/>
        <rFont val="Courier New"/>
        <family val="3"/>
      </rPr>
      <t>closed</t>
    </r>
  </si>
  <si>
    <t>Stroke</t>
  </si>
  <si>
    <r>
      <t>l</t>
    </r>
    <r>
      <rPr>
        <b/>
        <vertAlign val="subscript"/>
        <sz val="11"/>
        <color theme="0"/>
        <rFont val="Courier New"/>
        <family val="3"/>
      </rPr>
      <t>1</t>
    </r>
  </si>
  <si>
    <r>
      <t>l</t>
    </r>
    <r>
      <rPr>
        <b/>
        <vertAlign val="subscript"/>
        <sz val="11"/>
        <color theme="0"/>
        <rFont val="Courier New"/>
        <family val="3"/>
      </rPr>
      <t>2</t>
    </r>
  </si>
  <si>
    <r>
      <t>l</t>
    </r>
    <r>
      <rPr>
        <b/>
        <vertAlign val="subscript"/>
        <sz val="11"/>
        <color theme="0"/>
        <rFont val="Courier New"/>
        <family val="3"/>
      </rPr>
      <t>3</t>
    </r>
  </si>
  <si>
    <r>
      <t>l</t>
    </r>
    <r>
      <rPr>
        <b/>
        <vertAlign val="subscript"/>
        <sz val="11"/>
        <color theme="0"/>
        <rFont val="Courier New"/>
        <family val="3"/>
      </rPr>
      <t>4</t>
    </r>
  </si>
  <si>
    <t>ξ</t>
  </si>
  <si>
    <t>DRIVE CHASSIS INPUT PARAMETERS</t>
  </si>
  <si>
    <t xml:space="preserve">SI </t>
  </si>
  <si>
    <t>Mass value of the drive chassis</t>
  </si>
  <si>
    <r>
      <t>I</t>
    </r>
    <r>
      <rPr>
        <vertAlign val="subscript"/>
        <sz val="11"/>
        <color theme="1"/>
        <rFont val="Courier New"/>
        <family val="3"/>
      </rPr>
      <t>xx</t>
    </r>
  </si>
  <si>
    <r>
      <t>I</t>
    </r>
    <r>
      <rPr>
        <vertAlign val="subscript"/>
        <sz val="11"/>
        <color theme="1"/>
        <rFont val="Courier New"/>
        <family val="3"/>
      </rPr>
      <t>yy</t>
    </r>
  </si>
  <si>
    <r>
      <t>I</t>
    </r>
    <r>
      <rPr>
        <vertAlign val="subscript"/>
        <sz val="11"/>
        <color theme="1"/>
        <rFont val="Courier New"/>
        <family val="3"/>
      </rPr>
      <t>zz</t>
    </r>
  </si>
  <si>
    <t>FRONT AXLE INPUT PARAMETERS</t>
  </si>
  <si>
    <t>Mass value of the front axle</t>
  </si>
  <si>
    <t>REAR AXLE INPUT PARAMETERS</t>
  </si>
  <si>
    <t>Mass value of the rear axle</t>
  </si>
  <si>
    <t>SWING CHASSIS INPUT PARAMETERS</t>
  </si>
  <si>
    <t>Mass value of the swing chassis</t>
  </si>
  <si>
    <t>BOOM INPUT PARAMETERS</t>
  </si>
  <si>
    <t>Mass value of the boom</t>
  </si>
  <si>
    <t>WHEELS PARAMETERS</t>
  </si>
  <si>
    <t>OSCILLATE HC INPUT PARAMETERS</t>
  </si>
  <si>
    <t>Oil bulk modulus</t>
  </si>
  <si>
    <r>
      <t>OD</t>
    </r>
    <r>
      <rPr>
        <b/>
        <vertAlign val="subscript"/>
        <sz val="11"/>
        <color theme="1"/>
        <rFont val="Courier New"/>
        <family val="3"/>
      </rPr>
      <t>rod</t>
    </r>
  </si>
  <si>
    <t>External road diameter</t>
  </si>
  <si>
    <r>
      <t>ID</t>
    </r>
    <r>
      <rPr>
        <b/>
        <vertAlign val="subscript"/>
        <sz val="11"/>
        <color theme="1"/>
        <rFont val="Courier New"/>
        <family val="3"/>
      </rPr>
      <t>barr</t>
    </r>
  </si>
  <si>
    <t>Internal barrel diameter</t>
  </si>
  <si>
    <r>
      <t>L</t>
    </r>
    <r>
      <rPr>
        <b/>
        <vertAlign val="subscript"/>
        <sz val="11"/>
        <color theme="1"/>
        <rFont val="Courier New"/>
        <family val="3"/>
      </rPr>
      <t>closed</t>
    </r>
  </si>
  <si>
    <t>Retracted length of the oscillate cylinder</t>
  </si>
  <si>
    <t>S</t>
  </si>
  <si>
    <t>Stroke of the oscillate cylinder</t>
  </si>
  <si>
    <r>
      <t>l</t>
    </r>
    <r>
      <rPr>
        <b/>
        <vertAlign val="subscript"/>
        <sz val="11"/>
        <rFont val="Courier New"/>
        <family val="3"/>
      </rPr>
      <t>1</t>
    </r>
  </si>
  <si>
    <r>
      <t>l</t>
    </r>
    <r>
      <rPr>
        <b/>
        <vertAlign val="subscript"/>
        <sz val="11"/>
        <rFont val="Courier New"/>
        <family val="3"/>
      </rPr>
      <t>2</t>
    </r>
  </si>
  <si>
    <r>
      <t>l</t>
    </r>
    <r>
      <rPr>
        <b/>
        <vertAlign val="subscript"/>
        <sz val="11"/>
        <rFont val="Courier New"/>
        <family val="3"/>
      </rPr>
      <t>3</t>
    </r>
  </si>
  <si>
    <r>
      <t>l</t>
    </r>
    <r>
      <rPr>
        <b/>
        <vertAlign val="subscript"/>
        <sz val="11"/>
        <rFont val="Courier New"/>
        <family val="3"/>
      </rPr>
      <t>4</t>
    </r>
  </si>
  <si>
    <t>-</t>
  </si>
  <si>
    <t>Torsional damping factor (leave as default 1.15)</t>
  </si>
  <si>
    <r>
      <t>A</t>
    </r>
    <r>
      <rPr>
        <b/>
        <vertAlign val="subscript"/>
        <sz val="11"/>
        <rFont val="Courier New"/>
        <family val="3"/>
      </rPr>
      <t>rod</t>
    </r>
  </si>
  <si>
    <r>
      <t>[mm</t>
    </r>
    <r>
      <rPr>
        <vertAlign val="superscript"/>
        <sz val="11"/>
        <color theme="1"/>
        <rFont val="Courier New"/>
        <family val="3"/>
      </rPr>
      <t>2</t>
    </r>
    <r>
      <rPr>
        <sz val="11"/>
        <color theme="1"/>
        <rFont val="Courier New"/>
        <family val="3"/>
      </rPr>
      <t>]</t>
    </r>
  </si>
  <si>
    <r>
      <t>[in</t>
    </r>
    <r>
      <rPr>
        <vertAlign val="superscript"/>
        <sz val="11"/>
        <color theme="1"/>
        <rFont val="Calibri"/>
        <family val="2"/>
        <scheme val="minor"/>
      </rPr>
      <t>2</t>
    </r>
    <r>
      <rPr>
        <sz val="11"/>
        <color theme="1"/>
        <rFont val="Calibri"/>
        <family val="2"/>
        <scheme val="minor"/>
      </rPr>
      <t>]</t>
    </r>
  </si>
  <si>
    <t>Rod section</t>
  </si>
  <si>
    <r>
      <t>A</t>
    </r>
    <r>
      <rPr>
        <b/>
        <vertAlign val="subscript"/>
        <sz val="11"/>
        <rFont val="Courier New"/>
        <family val="3"/>
      </rPr>
      <t>barrel</t>
    </r>
  </si>
  <si>
    <t>Barrel section</t>
  </si>
  <si>
    <r>
      <t>A</t>
    </r>
    <r>
      <rPr>
        <b/>
        <vertAlign val="subscript"/>
        <sz val="11"/>
        <rFont val="Courier New"/>
        <family val="3"/>
      </rPr>
      <t>annulus</t>
    </r>
  </si>
  <si>
    <t>Annulus section</t>
  </si>
  <si>
    <r>
      <t>L</t>
    </r>
    <r>
      <rPr>
        <b/>
        <vertAlign val="subscript"/>
        <sz val="11"/>
        <rFont val="Courier New"/>
        <family val="3"/>
      </rPr>
      <t>initial</t>
    </r>
  </si>
  <si>
    <t>Initial oscillate length</t>
  </si>
  <si>
    <r>
      <t>S</t>
    </r>
    <r>
      <rPr>
        <b/>
        <vertAlign val="subscript"/>
        <sz val="11"/>
        <color theme="1"/>
        <rFont val="Courier New"/>
        <family val="3"/>
      </rPr>
      <t>initial</t>
    </r>
  </si>
  <si>
    <t>Initial oscillate stroke</t>
  </si>
  <si>
    <r>
      <t>V</t>
    </r>
    <r>
      <rPr>
        <b/>
        <vertAlign val="subscript"/>
        <sz val="11"/>
        <color theme="1"/>
        <rFont val="Courier New"/>
        <family val="3"/>
      </rPr>
      <t>10</t>
    </r>
  </si>
  <si>
    <r>
      <t>[mm</t>
    </r>
    <r>
      <rPr>
        <vertAlign val="superscript"/>
        <sz val="11"/>
        <color theme="1"/>
        <rFont val="Courier New"/>
        <family val="3"/>
      </rPr>
      <t>3</t>
    </r>
    <r>
      <rPr>
        <sz val="11"/>
        <color theme="1"/>
        <rFont val="Courier New"/>
        <family val="3"/>
      </rPr>
      <t>]</t>
    </r>
  </si>
  <si>
    <r>
      <t>[in</t>
    </r>
    <r>
      <rPr>
        <vertAlign val="superscript"/>
        <sz val="11"/>
        <color theme="1"/>
        <rFont val="Calibri"/>
        <family val="2"/>
        <scheme val="minor"/>
      </rPr>
      <t>3</t>
    </r>
    <r>
      <rPr>
        <sz val="11"/>
        <color theme="1"/>
        <rFont val="Calibri"/>
        <family val="2"/>
        <scheme val="minor"/>
      </rPr>
      <t>]</t>
    </r>
  </si>
  <si>
    <t>Remaining oil volume, piston side</t>
  </si>
  <si>
    <r>
      <t>V</t>
    </r>
    <r>
      <rPr>
        <b/>
        <vertAlign val="subscript"/>
        <sz val="11"/>
        <color theme="1"/>
        <rFont val="Courier New"/>
        <family val="3"/>
      </rPr>
      <t>20</t>
    </r>
  </si>
  <si>
    <t>Remaining oil volume, rod side</t>
  </si>
  <si>
    <r>
      <t>K</t>
    </r>
    <r>
      <rPr>
        <b/>
        <vertAlign val="subscript"/>
        <sz val="11"/>
        <rFont val="Courier New"/>
        <family val="3"/>
      </rPr>
      <t>t</t>
    </r>
  </si>
  <si>
    <t>Tensile stiffness for the oscillate cylinder</t>
  </si>
  <si>
    <r>
      <t>K</t>
    </r>
    <r>
      <rPr>
        <b/>
        <vertAlign val="subscript"/>
        <sz val="11"/>
        <rFont val="Courier New"/>
        <family val="3"/>
      </rPr>
      <t>c</t>
    </r>
  </si>
  <si>
    <t>Compression stiffsness for the oscillate cylinder</t>
  </si>
  <si>
    <t>Equivalent torsional stiffness</t>
  </si>
  <si>
    <t>Equivalent torsional damping</t>
  </si>
  <si>
    <t>CONVERSION FACTORS</t>
  </si>
  <si>
    <t>DESCRIPTION</t>
  </si>
  <si>
    <t>From [kg] to [lb]</t>
  </si>
  <si>
    <t>From [in] to [mm]</t>
  </si>
  <si>
    <r>
      <t>From [kg∙m</t>
    </r>
    <r>
      <rPr>
        <vertAlign val="superscript"/>
        <sz val="11"/>
        <color theme="1"/>
        <rFont val="Courier New"/>
        <family val="3"/>
      </rPr>
      <t>2</t>
    </r>
    <r>
      <rPr>
        <sz val="11"/>
        <color theme="1"/>
        <rFont val="Courier New"/>
        <family val="3"/>
      </rPr>
      <t>] to [lb∙in</t>
    </r>
    <r>
      <rPr>
        <vertAlign val="superscript"/>
        <sz val="11"/>
        <color theme="1"/>
        <rFont val="Courier New"/>
        <family val="3"/>
      </rPr>
      <t>2</t>
    </r>
    <r>
      <rPr>
        <sz val="11"/>
        <color theme="1"/>
        <rFont val="Courier New"/>
        <family val="3"/>
      </rPr>
      <t>]</t>
    </r>
  </si>
  <si>
    <t>From [m] to [in]</t>
  </si>
  <si>
    <t>From [N] to [lbf]</t>
  </si>
  <si>
    <t>From [N/m] to [lbf/in]</t>
  </si>
  <si>
    <t>From [MPa] to [psi]</t>
  </si>
  <si>
    <t>a</t>
  </si>
  <si>
    <t>b</t>
  </si>
  <si>
    <t>c</t>
  </si>
  <si>
    <t>d</t>
  </si>
  <si>
    <t>AO' distance</t>
  </si>
  <si>
    <t>BO' distance</t>
  </si>
  <si>
    <t>CO' distance</t>
  </si>
  <si>
    <t>DO' distance</t>
  </si>
  <si>
    <r>
      <t>K</t>
    </r>
    <r>
      <rPr>
        <b/>
        <vertAlign val="subscript"/>
        <sz val="11"/>
        <rFont val="Courier New"/>
        <family val="3"/>
      </rPr>
      <t>tors</t>
    </r>
  </si>
  <si>
    <r>
      <t>C</t>
    </r>
    <r>
      <rPr>
        <b/>
        <vertAlign val="subscript"/>
        <sz val="11"/>
        <rFont val="Courier New"/>
        <family val="3"/>
      </rPr>
      <t>tors</t>
    </r>
  </si>
  <si>
    <t>[rad]</t>
  </si>
  <si>
    <r>
      <rPr>
        <b/>
        <sz val="11"/>
        <rFont val="Mathcad UniMath Prime"/>
        <family val="3"/>
      </rPr>
      <t>χ</t>
    </r>
    <r>
      <rPr>
        <b/>
        <vertAlign val="subscript"/>
        <sz val="11"/>
        <rFont val="Courier New"/>
        <family val="3"/>
      </rPr>
      <t>0</t>
    </r>
  </si>
  <si>
    <t xml:space="preserve">Angle between the two segments: a and b </t>
  </si>
  <si>
    <t>[N∙m/rad]</t>
  </si>
  <si>
    <t>[lbf∙in/rad]</t>
  </si>
  <si>
    <r>
      <t>[N</t>
    </r>
    <r>
      <rPr>
        <sz val="11"/>
        <rFont val="Calibri"/>
        <family val="2"/>
      </rPr>
      <t>∙m∙</t>
    </r>
    <r>
      <rPr>
        <sz val="11"/>
        <rFont val="Courier New"/>
        <family val="3"/>
      </rPr>
      <t>s/rad]</t>
    </r>
  </si>
  <si>
    <r>
      <t>[lbf</t>
    </r>
    <r>
      <rPr>
        <sz val="11"/>
        <rFont val="Calibri"/>
        <family val="2"/>
      </rPr>
      <t>∙in∙</t>
    </r>
    <r>
      <rPr>
        <sz val="11"/>
        <rFont val="Courier New"/>
        <family val="3"/>
      </rPr>
      <t>s/rad]</t>
    </r>
  </si>
  <si>
    <t>Input (Base Motion)</t>
  </si>
  <si>
    <t>Barycentric moment of inertia along the X axis (see below image)</t>
  </si>
  <si>
    <t>Barycentric moment of inertia along the Y axis (see below image)</t>
  </si>
  <si>
    <t>Barycentric moment of inertia along the Z axis (see below image)</t>
  </si>
  <si>
    <t>X distance between the O' point and the CoG of the drive chassis (see reference scheme)</t>
  </si>
  <si>
    <t>Y distance between the O' point and the CoG of the drive chassis (see reference scheme)</t>
  </si>
  <si>
    <t>Z distance between the O' point and the CoG of the drive chassis (see reference scheme)</t>
  </si>
  <si>
    <t>X distance between the O' point and the CoG of the  front axle (see reference scheme)</t>
  </si>
  <si>
    <t>Y distance between the O' point and the CoG of the  front axle (see reference scheme)</t>
  </si>
  <si>
    <t>Z distance between the O' point and the CoG of the  front axle (see reference scheme)</t>
  </si>
  <si>
    <t>X distance between the O' point and the CoG of the rear axle (see reference scheme)</t>
  </si>
  <si>
    <t>Y distance between the O' point and the CoG of the rear axle (see reference scheme)</t>
  </si>
  <si>
    <t>Z distance between the O' point and the CoG of the rear axle (see reference scheme)</t>
  </si>
  <si>
    <t>X distance between the O' point and the CoG of the swing chassis (see reference frame)</t>
  </si>
  <si>
    <t>Y distance between the O' point and the CoG of the swing chassis (see reference frame)</t>
  </si>
  <si>
    <t>Z distance between the O' point and the CoG of the swing chassis (see refernce frame)</t>
  </si>
  <si>
    <t>X distance between the O' point and the CoG of the boom (see reference scheme)</t>
  </si>
  <si>
    <t>Y distance between the O' point and the CoG of the boom (see reference scheme)</t>
  </si>
  <si>
    <t>Z distance between the O' point and the CoG of the boom (see reference scheme)</t>
  </si>
  <si>
    <t>Y distance between A (or C) and O'' (see reference scheme)</t>
  </si>
  <si>
    <t>Z distance between O' and O'' (see reference scheme)</t>
  </si>
  <si>
    <t>Z distance between O' and O''' (see reference scheme)</t>
  </si>
  <si>
    <t>Y distance between B (or D) and O''' (see reference scheme)</t>
  </si>
  <si>
    <t xml:space="preserve"> </t>
  </si>
  <si>
    <t>OSCILLATE HC DERIVED PARAMETERS</t>
  </si>
  <si>
    <t>PASSWORD FOR SHEET AND WORKBOOK PROTECTION</t>
  </si>
  <si>
    <t xml:space="preserve">BASE MOTION SELECTION </t>
  </si>
  <si>
    <t>INPUT TYPE USED IN THE DYNAMIC SIMULATION</t>
  </si>
  <si>
    <t>SIDE INPUT FOR THE MODEL</t>
  </si>
  <si>
    <t>LEFT</t>
  </si>
  <si>
    <t>RIGHT</t>
  </si>
  <si>
    <t>BOTH</t>
  </si>
  <si>
    <t>Input choise</t>
  </si>
  <si>
    <t>Check/Uncheck the box to add the track at the dynamic simulation</t>
  </si>
  <si>
    <t>Check/Uncheck the box to add all the preavious track at the input</t>
  </si>
  <si>
    <t xml:space="preserve">h </t>
  </si>
  <si>
    <t>CURBS PARAMETERS SETUP</t>
  </si>
  <si>
    <r>
      <t>b</t>
    </r>
    <r>
      <rPr>
        <b/>
        <vertAlign val="subscript"/>
        <sz val="11"/>
        <color theme="1"/>
        <rFont val="Courier New"/>
        <family val="3"/>
      </rPr>
      <t>1</t>
    </r>
  </si>
  <si>
    <r>
      <t>b</t>
    </r>
    <r>
      <rPr>
        <b/>
        <vertAlign val="subscript"/>
        <sz val="11"/>
        <color theme="1"/>
        <rFont val="Courier New"/>
        <family val="3"/>
      </rPr>
      <t>2</t>
    </r>
  </si>
  <si>
    <t>INPUT PARAMETERS SETUP</t>
  </si>
  <si>
    <t>pitch</t>
  </si>
  <si>
    <t>offset</t>
  </si>
  <si>
    <t>n°</t>
  </si>
  <si>
    <t>Single curb profile height</t>
  </si>
  <si>
    <t>Single curb major base dimension</t>
  </si>
  <si>
    <t>Single curb minor base dimension</t>
  </si>
  <si>
    <t>Distance between two consecutive curbs</t>
  </si>
  <si>
    <t>Initial offset between rows of curbs</t>
  </si>
  <si>
    <t>POTHOLES PARAMETERS SETUP</t>
  </si>
  <si>
    <t xml:space="preserve">Speed value </t>
  </si>
  <si>
    <t>[m/s]</t>
  </si>
  <si>
    <t>ROUGH TERRAIN PARAMETERS SETUP</t>
  </si>
  <si>
    <t>Speed value during the simulation</t>
  </si>
  <si>
    <t>h</t>
  </si>
  <si>
    <t>CURBS PARAMETERS</t>
  </si>
  <si>
    <t>POTHOLES PARAMETERS</t>
  </si>
  <si>
    <t>DEFAULT PARAMETERS</t>
  </si>
  <si>
    <t>MultibodyDynamicTool</t>
  </si>
  <si>
    <t>α</t>
  </si>
  <si>
    <t>[deg]</t>
  </si>
  <si>
    <t>Curbs rise angle</t>
  </si>
  <si>
    <r>
      <t>w</t>
    </r>
    <r>
      <rPr>
        <b/>
        <vertAlign val="subscript"/>
        <sz val="12"/>
        <color theme="0" tint="-4.9989318521683403E-2"/>
        <rFont val="Courier New"/>
        <family val="3"/>
      </rPr>
      <t>b</t>
    </r>
  </si>
  <si>
    <r>
      <t>w</t>
    </r>
    <r>
      <rPr>
        <b/>
        <vertAlign val="subscript"/>
        <sz val="12"/>
        <color theme="0" tint="-4.9989318521683403E-2"/>
        <rFont val="Courier New"/>
        <family val="3"/>
      </rPr>
      <t>t</t>
    </r>
  </si>
  <si>
    <r>
      <t>X</t>
    </r>
    <r>
      <rPr>
        <b/>
        <vertAlign val="subscript"/>
        <sz val="12"/>
        <color theme="0" tint="-4.9989318521683403E-2"/>
        <rFont val="Courier New"/>
        <family val="3"/>
      </rPr>
      <t>gtot</t>
    </r>
  </si>
  <si>
    <r>
      <t>Y</t>
    </r>
    <r>
      <rPr>
        <b/>
        <vertAlign val="subscript"/>
        <sz val="12"/>
        <color theme="0" tint="-4.9989318521683403E-2"/>
        <rFont val="Courier New"/>
        <family val="3"/>
      </rPr>
      <t>gtot</t>
    </r>
  </si>
  <si>
    <r>
      <t>Z</t>
    </r>
    <r>
      <rPr>
        <b/>
        <vertAlign val="subscript"/>
        <sz val="12"/>
        <color theme="0" tint="-4.9989318521683403E-2"/>
        <rFont val="Courier New"/>
        <family val="3"/>
      </rPr>
      <t>gtot</t>
    </r>
  </si>
  <si>
    <t>Equivalent tire stiffness</t>
  </si>
  <si>
    <t xml:space="preserve">Equivalent tire damping </t>
  </si>
  <si>
    <r>
      <t>K</t>
    </r>
    <r>
      <rPr>
        <b/>
        <vertAlign val="subscript"/>
        <sz val="11"/>
        <rFont val="Courier New"/>
        <family val="3"/>
      </rPr>
      <t>tire</t>
    </r>
  </si>
  <si>
    <r>
      <t>C</t>
    </r>
    <r>
      <rPr>
        <b/>
        <vertAlign val="subscript"/>
        <sz val="11"/>
        <rFont val="Courier New"/>
        <family val="3"/>
      </rPr>
      <t>tire</t>
    </r>
  </si>
  <si>
    <r>
      <t>K</t>
    </r>
    <r>
      <rPr>
        <b/>
        <vertAlign val="subscript"/>
        <sz val="11"/>
        <color theme="0"/>
        <rFont val="Courier New"/>
        <family val="3"/>
      </rPr>
      <t>tire</t>
    </r>
  </si>
  <si>
    <r>
      <t>C</t>
    </r>
    <r>
      <rPr>
        <b/>
        <vertAlign val="subscript"/>
        <sz val="11"/>
        <color theme="0"/>
        <rFont val="Courier New"/>
        <family val="3"/>
      </rPr>
      <t>tire</t>
    </r>
  </si>
  <si>
    <t>OSCILLATE HYDRAULIC CYLINDERS</t>
  </si>
  <si>
    <t>[N]</t>
  </si>
  <si>
    <r>
      <t>R</t>
    </r>
    <r>
      <rPr>
        <b/>
        <vertAlign val="subscript"/>
        <sz val="11"/>
        <rFont val="Courier New"/>
        <family val="3"/>
      </rPr>
      <t>wheel</t>
    </r>
  </si>
  <si>
    <t>Wheel radius</t>
  </si>
  <si>
    <t>H</t>
  </si>
  <si>
    <t>DASHBOARD (Input data summary)</t>
  </si>
  <si>
    <t>gap</t>
  </si>
  <si>
    <t>GENERIC PARAMETERS</t>
  </si>
  <si>
    <t>Machine wheelbase</t>
  </si>
  <si>
    <t>Machine wheeltrack</t>
  </si>
  <si>
    <t>Gap between drive chassis and rear axle</t>
  </si>
  <si>
    <t>GENERIC INPUT PARAMETERS</t>
  </si>
  <si>
    <t>GENERIC DERIVED PARAMETERS</t>
  </si>
  <si>
    <r>
      <t>X</t>
    </r>
    <r>
      <rPr>
        <b/>
        <vertAlign val="subscript"/>
        <sz val="11"/>
        <rFont val="Courier New"/>
        <family val="3"/>
      </rPr>
      <t>g</t>
    </r>
  </si>
  <si>
    <r>
      <t>Y</t>
    </r>
    <r>
      <rPr>
        <b/>
        <vertAlign val="subscript"/>
        <sz val="11"/>
        <rFont val="Courier New"/>
        <family val="3"/>
      </rPr>
      <t>g</t>
    </r>
  </si>
  <si>
    <r>
      <t>Z</t>
    </r>
    <r>
      <rPr>
        <b/>
        <vertAlign val="subscript"/>
        <sz val="11"/>
        <rFont val="Courier New"/>
        <family val="3"/>
      </rPr>
      <t>g</t>
    </r>
  </si>
  <si>
    <r>
      <t>M</t>
    </r>
    <r>
      <rPr>
        <b/>
        <vertAlign val="subscript"/>
        <sz val="11"/>
        <rFont val="Courier New"/>
        <family val="3"/>
      </rPr>
      <t>tot</t>
    </r>
  </si>
  <si>
    <t>X coordinate of the global CoG</t>
  </si>
  <si>
    <t xml:space="preserve">Y coordinate of the global CoG </t>
  </si>
  <si>
    <t>Z coordinate of the global CoG</t>
  </si>
  <si>
    <t xml:space="preserve">Machine total mass </t>
  </si>
  <si>
    <t>Front right reaction force on wheel (static value)</t>
  </si>
  <si>
    <t>Front left reaction force on wheel (static value)</t>
  </si>
  <si>
    <t>Rear right reaction force on wheel (static value)</t>
  </si>
  <si>
    <r>
      <t>R</t>
    </r>
    <r>
      <rPr>
        <b/>
        <vertAlign val="subscript"/>
        <sz val="11"/>
        <rFont val="Courier New"/>
        <family val="3"/>
      </rPr>
      <t>RL</t>
    </r>
  </si>
  <si>
    <r>
      <t>R</t>
    </r>
    <r>
      <rPr>
        <b/>
        <vertAlign val="subscript"/>
        <sz val="11"/>
        <rFont val="Courier New"/>
        <family val="3"/>
      </rPr>
      <t>RR</t>
    </r>
  </si>
  <si>
    <r>
      <t>R</t>
    </r>
    <r>
      <rPr>
        <b/>
        <vertAlign val="subscript"/>
        <sz val="11"/>
        <rFont val="Courier New"/>
        <family val="3"/>
      </rPr>
      <t>FL</t>
    </r>
  </si>
  <si>
    <r>
      <t>R</t>
    </r>
    <r>
      <rPr>
        <b/>
        <vertAlign val="subscript"/>
        <sz val="11"/>
        <rFont val="Courier New"/>
        <family val="3"/>
      </rPr>
      <t>FR</t>
    </r>
  </si>
  <si>
    <t>[lbf]</t>
  </si>
  <si>
    <r>
      <t>R</t>
    </r>
    <r>
      <rPr>
        <b/>
        <vertAlign val="subscript"/>
        <sz val="11"/>
        <color theme="0"/>
        <rFont val="Courier New"/>
        <family val="3"/>
      </rPr>
      <t>FL</t>
    </r>
  </si>
  <si>
    <r>
      <t>R</t>
    </r>
    <r>
      <rPr>
        <b/>
        <vertAlign val="subscript"/>
        <sz val="11"/>
        <color theme="0"/>
        <rFont val="Courier New"/>
        <family val="3"/>
      </rPr>
      <t>RR</t>
    </r>
  </si>
  <si>
    <r>
      <t>R</t>
    </r>
    <r>
      <rPr>
        <b/>
        <vertAlign val="subscript"/>
        <sz val="11"/>
        <color theme="0"/>
        <rFont val="Courier New"/>
        <family val="3"/>
      </rPr>
      <t>RL</t>
    </r>
  </si>
  <si>
    <r>
      <t>M</t>
    </r>
    <r>
      <rPr>
        <vertAlign val="subscript"/>
        <sz val="11"/>
        <color theme="0"/>
        <rFont val="Courier New"/>
        <family val="3"/>
      </rPr>
      <t>tot</t>
    </r>
  </si>
  <si>
    <r>
      <t>R</t>
    </r>
    <r>
      <rPr>
        <vertAlign val="subscript"/>
        <sz val="11"/>
        <color theme="0"/>
        <rFont val="Courier New"/>
        <family val="3"/>
      </rPr>
      <t>FR</t>
    </r>
  </si>
  <si>
    <t>GENERIC</t>
  </si>
  <si>
    <r>
      <t>R</t>
    </r>
    <r>
      <rPr>
        <b/>
        <vertAlign val="subscript"/>
        <sz val="11"/>
        <color theme="0"/>
        <rFont val="Courier New"/>
        <family val="3"/>
      </rPr>
      <t>FL</t>
    </r>
    <r>
      <rPr>
        <b/>
        <sz val="11"/>
        <color theme="0"/>
        <rFont val="Courier New"/>
        <family val="3"/>
      </rPr>
      <t>=</t>
    </r>
  </si>
  <si>
    <r>
      <t>R</t>
    </r>
    <r>
      <rPr>
        <b/>
        <vertAlign val="subscript"/>
        <sz val="11"/>
        <color theme="0"/>
        <rFont val="Courier New"/>
        <family val="3"/>
      </rPr>
      <t>RL</t>
    </r>
    <r>
      <rPr>
        <b/>
        <sz val="11"/>
        <color theme="0"/>
        <rFont val="Courier New"/>
        <family val="3"/>
      </rPr>
      <t>=</t>
    </r>
  </si>
  <si>
    <r>
      <t>R</t>
    </r>
    <r>
      <rPr>
        <b/>
        <vertAlign val="subscript"/>
        <sz val="11"/>
        <color theme="0"/>
        <rFont val="Courier New"/>
        <family val="3"/>
      </rPr>
      <t>RR</t>
    </r>
    <r>
      <rPr>
        <b/>
        <sz val="11"/>
        <color theme="0"/>
        <rFont val="Courier New"/>
        <family val="3"/>
      </rPr>
      <t>=</t>
    </r>
  </si>
  <si>
    <t>[Nm/rad]</t>
  </si>
  <si>
    <r>
      <t>K</t>
    </r>
    <r>
      <rPr>
        <b/>
        <vertAlign val="subscript"/>
        <sz val="11"/>
        <rFont val="Courier New"/>
        <family val="3"/>
      </rPr>
      <t>13xx</t>
    </r>
  </si>
  <si>
    <t>Stiffness value of the rear contact between drive chassis and rear axle (default = 0.0)</t>
  </si>
  <si>
    <r>
      <t>w</t>
    </r>
    <r>
      <rPr>
        <b/>
        <vertAlign val="subscript"/>
        <sz val="11"/>
        <rFont val="Courier New"/>
        <family val="3"/>
      </rPr>
      <t>b</t>
    </r>
  </si>
  <si>
    <r>
      <t>w</t>
    </r>
    <r>
      <rPr>
        <b/>
        <vertAlign val="subscript"/>
        <sz val="11"/>
        <rFont val="Courier New"/>
        <family val="3"/>
      </rPr>
      <t>t</t>
    </r>
  </si>
  <si>
    <t>Generic Parameters</t>
  </si>
  <si>
    <r>
      <t>H</t>
    </r>
    <r>
      <rPr>
        <vertAlign val="subscript"/>
        <sz val="11"/>
        <color theme="1"/>
        <rFont val="Courier New"/>
        <family val="3"/>
      </rPr>
      <t>hub</t>
    </r>
  </si>
  <si>
    <t>Distance between pivot axis and hub center point</t>
  </si>
  <si>
    <r>
      <t>R</t>
    </r>
    <r>
      <rPr>
        <b/>
        <vertAlign val="subscript"/>
        <sz val="11"/>
        <color theme="0"/>
        <rFont val="Courier New"/>
        <family val="3"/>
      </rPr>
      <t>FR</t>
    </r>
    <r>
      <rPr>
        <b/>
        <sz val="11"/>
        <color theme="0"/>
        <rFont val="Courier New"/>
        <family val="3"/>
      </rPr>
      <t>=</t>
    </r>
  </si>
  <si>
    <t xml:space="preserve">dt </t>
  </si>
  <si>
    <t>[s]</t>
  </si>
  <si>
    <t>Simulation time step (leave 0.001)</t>
  </si>
  <si>
    <r>
      <t>b</t>
    </r>
    <r>
      <rPr>
        <b/>
        <vertAlign val="subscript"/>
        <sz val="11"/>
        <color theme="1"/>
        <rFont val="Courier New"/>
        <family val="3"/>
      </rPr>
      <t>major</t>
    </r>
  </si>
  <si>
    <r>
      <t>b</t>
    </r>
    <r>
      <rPr>
        <b/>
        <vertAlign val="subscript"/>
        <sz val="11"/>
        <color theme="1"/>
        <rFont val="Courier New"/>
        <family val="3"/>
      </rPr>
      <t>minor</t>
    </r>
  </si>
  <si>
    <r>
      <t>n</t>
    </r>
    <r>
      <rPr>
        <b/>
        <vertAlign val="subscript"/>
        <sz val="11"/>
        <color theme="1"/>
        <rFont val="Courier New"/>
        <family val="3"/>
      </rPr>
      <t>left</t>
    </r>
  </si>
  <si>
    <r>
      <t>n</t>
    </r>
    <r>
      <rPr>
        <b/>
        <vertAlign val="subscript"/>
        <sz val="11"/>
        <color theme="1"/>
        <rFont val="Courier New"/>
        <family val="3"/>
      </rPr>
      <t>right</t>
    </r>
  </si>
  <si>
    <t>Number of right curbs raw</t>
  </si>
  <si>
    <t>Number of left curbs raw</t>
  </si>
  <si>
    <r>
      <t>b</t>
    </r>
    <r>
      <rPr>
        <b/>
        <i/>
        <vertAlign val="subscript"/>
        <sz val="10"/>
        <color theme="1"/>
        <rFont val="Courier New"/>
        <family val="3"/>
      </rPr>
      <t>major</t>
    </r>
  </si>
  <si>
    <r>
      <t>b</t>
    </r>
    <r>
      <rPr>
        <b/>
        <i/>
        <vertAlign val="subscript"/>
        <sz val="10"/>
        <color theme="1"/>
        <rFont val="Courier New"/>
        <family val="3"/>
      </rPr>
      <t>minor</t>
    </r>
  </si>
  <si>
    <r>
      <t>n</t>
    </r>
    <r>
      <rPr>
        <b/>
        <i/>
        <vertAlign val="subscript"/>
        <sz val="10"/>
        <color theme="1"/>
        <rFont val="Courier New"/>
        <family val="3"/>
      </rPr>
      <t>right</t>
    </r>
  </si>
  <si>
    <r>
      <t>n</t>
    </r>
    <r>
      <rPr>
        <b/>
        <i/>
        <vertAlign val="subscript"/>
        <sz val="10"/>
        <color theme="1"/>
        <rFont val="Courier New"/>
        <family val="3"/>
      </rPr>
      <t>left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</si>
</sst>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51" x14ac:knownFonts="1">
    <font>
      <sz val="11"/>
      <color theme="1"/>
      <name val="Calibri"/>
      <family val="2"/>
      <scheme val="minor"/>
    </font>
    <font>
      <sz val="11"/>
      <color rgb="FF3F3F76"/>
      <name val="Calibri"/>
      <family val="2"/>
      <scheme val="minor"/>
    </font>
    <font>
      <b/>
      <sz val="11"/>
      <color rgb="FFFA7D00"/>
      <name val="Calibri"/>
      <family val="2"/>
      <scheme val="minor"/>
    </font>
    <font>
      <sz val="11"/>
      <name val="Calibri"/>
      <family val="2"/>
      <scheme val="minor"/>
    </font>
    <font>
      <b/>
      <sz val="11"/>
      <name val="Courier New"/>
      <family val="3"/>
    </font>
    <font>
      <sz val="11"/>
      <name val="Courier New"/>
      <family val="3"/>
    </font>
    <font>
      <b/>
      <sz val="11"/>
      <name val="Calibri"/>
      <family val="2"/>
      <scheme val="minor"/>
    </font>
    <font>
      <i/>
      <sz val="11"/>
      <name val="Courier New"/>
      <family val="3"/>
    </font>
    <font>
      <vertAlign val="superscript"/>
      <sz val="11"/>
      <name val="Courier New"/>
      <family val="3"/>
    </font>
    <font>
      <b/>
      <sz val="15"/>
      <color theme="3"/>
      <name val="Calibri"/>
      <family val="2"/>
      <scheme val="minor"/>
    </font>
    <font>
      <sz val="11"/>
      <color theme="1"/>
      <name val="Courier New"/>
      <family val="3"/>
    </font>
    <font>
      <b/>
      <sz val="11"/>
      <color theme="1"/>
      <name val="Courier New"/>
      <family val="3"/>
    </font>
    <font>
      <vertAlign val="subscript"/>
      <sz val="11"/>
      <color theme="1"/>
      <name val="Courier New"/>
      <family val="3"/>
    </font>
    <font>
      <b/>
      <sz val="11"/>
      <color rgb="FFFF0000"/>
      <name val="Courier New"/>
      <family val="3"/>
    </font>
    <font>
      <b/>
      <sz val="11"/>
      <color theme="0" tint="-4.9989318521683403E-2"/>
      <name val="Courier New"/>
      <family val="3"/>
    </font>
    <font>
      <b/>
      <vertAlign val="subscript"/>
      <sz val="11"/>
      <color theme="0" tint="-4.9989318521683403E-2"/>
      <name val="Courier New"/>
      <family val="3"/>
    </font>
    <font>
      <b/>
      <vertAlign val="subscript"/>
      <sz val="11"/>
      <name val="Courier New"/>
      <family val="3"/>
    </font>
    <font>
      <sz val="11"/>
      <name val="Calibri"/>
      <family val="2"/>
    </font>
    <font>
      <vertAlign val="superscript"/>
      <sz val="11"/>
      <color theme="1"/>
      <name val="Courier New"/>
      <family val="3"/>
    </font>
    <font>
      <b/>
      <vertAlign val="subscript"/>
      <sz val="11"/>
      <color theme="0"/>
      <name val="Courier New"/>
      <family val="3"/>
    </font>
    <font>
      <u/>
      <sz val="11"/>
      <color theme="10"/>
      <name val="Calibri"/>
      <family val="2"/>
      <scheme val="minor"/>
    </font>
    <font>
      <b/>
      <sz val="24"/>
      <color theme="3"/>
      <name val="Calibri"/>
      <family val="2"/>
      <scheme val="minor"/>
    </font>
    <font>
      <b/>
      <sz val="11"/>
      <color theme="3" tint="-0.499984740745262"/>
      <name val="Courier New"/>
      <family val="3"/>
    </font>
    <font>
      <b/>
      <sz val="12"/>
      <color theme="3" tint="-0.499984740745262"/>
      <name val="Courier New"/>
      <family val="3"/>
    </font>
    <font>
      <b/>
      <i/>
      <sz val="12"/>
      <color theme="3" tint="-0.499984740745262"/>
      <name val="Courier New"/>
      <family val="3"/>
    </font>
    <font>
      <b/>
      <sz val="14"/>
      <color theme="3" tint="-0.499984740745262"/>
      <name val="Courier New"/>
      <family val="3"/>
    </font>
    <font>
      <b/>
      <sz val="12"/>
      <color theme="0" tint="-4.9989318521683403E-2"/>
      <name val="Courier New"/>
      <family val="3"/>
    </font>
    <font>
      <b/>
      <vertAlign val="subscript"/>
      <sz val="12"/>
      <color theme="0" tint="-4.9989318521683403E-2"/>
      <name val="Courier New"/>
      <family val="3"/>
    </font>
    <font>
      <b/>
      <i/>
      <sz val="11"/>
      <color theme="3" tint="-0.499984740745262"/>
      <name val="Courier New"/>
      <family val="3"/>
    </font>
    <font>
      <b/>
      <sz val="12"/>
      <color rgb="FF7030A0"/>
      <name val="Courier New"/>
      <family val="3"/>
    </font>
    <font>
      <sz val="11"/>
      <color theme="1"/>
      <name val="Calibri"/>
      <family val="2"/>
      <scheme val="minor"/>
    </font>
    <font>
      <b/>
      <vertAlign val="subscript"/>
      <sz val="11"/>
      <color theme="1"/>
      <name val="Courier New"/>
      <family val="3"/>
    </font>
    <font>
      <b/>
      <sz val="11"/>
      <color theme="0"/>
      <name val="Courier New"/>
      <family val="3"/>
    </font>
    <font>
      <vertAlign val="superscript"/>
      <sz val="11"/>
      <color theme="1"/>
      <name val="Calibri"/>
      <family val="2"/>
      <scheme val="minor"/>
    </font>
    <font>
      <b/>
      <i/>
      <sz val="11"/>
      <color rgb="FF000080"/>
      <name val="Courier New"/>
      <family val="3"/>
    </font>
    <font>
      <b/>
      <sz val="11"/>
      <name val="Mathcad UniMath Prime"/>
      <family val="3"/>
    </font>
    <font>
      <b/>
      <sz val="12"/>
      <color theme="1"/>
      <name val="Courier New"/>
      <family val="3"/>
    </font>
    <font>
      <b/>
      <sz val="12"/>
      <name val="Courier New"/>
      <family val="3"/>
    </font>
    <font>
      <sz val="8"/>
      <color rgb="FF000000"/>
      <name val="Segoe UI"/>
      <family val="2"/>
    </font>
    <font>
      <b/>
      <sz val="11"/>
      <color rgb="FF3F3F3F"/>
      <name val="Calibri"/>
      <family val="2"/>
      <scheme val="minor"/>
    </font>
    <font>
      <sz val="11"/>
      <color theme="0"/>
      <name val="Courier New"/>
      <family val="3"/>
    </font>
    <font>
      <b/>
      <sz val="11"/>
      <color theme="1"/>
      <name val="Calibri"/>
      <family val="2"/>
    </font>
    <font>
      <sz val="8"/>
      <name val="Calibri"/>
      <family val="2"/>
      <scheme val="minor"/>
    </font>
    <font>
      <b/>
      <i/>
      <sz val="24"/>
      <color theme="3"/>
      <name val="Calibri"/>
      <family val="2"/>
      <scheme val="minor"/>
    </font>
    <font>
      <b/>
      <sz val="12"/>
      <color theme="0"/>
      <name val="Courier New"/>
      <family val="3"/>
    </font>
    <font>
      <sz val="9"/>
      <color indexed="81"/>
      <name val="Tahoma"/>
      <family val="2"/>
    </font>
    <font>
      <b/>
      <sz val="9"/>
      <color indexed="81"/>
      <name val="Tahoma"/>
      <family val="2"/>
    </font>
    <font>
      <vertAlign val="subscript"/>
      <sz val="11"/>
      <color theme="0"/>
      <name val="Courier New"/>
      <family val="3"/>
    </font>
    <font>
      <b/>
      <i/>
      <sz val="10"/>
      <color theme="1"/>
      <name val="Courier New"/>
      <family val="3"/>
    </font>
    <font>
      <b/>
      <i/>
      <vertAlign val="subscript"/>
      <sz val="10"/>
      <color theme="1"/>
      <name val="Courier New"/>
      <family val="3"/>
    </font>
    <font>
      <b/>
      <i/>
      <sz val="10"/>
      <color theme="1"/>
      <name val="Calibri"/>
      <family val="2"/>
    </font>
  </fonts>
  <fills count="14">
    <fill>
      <patternFill patternType="none"/>
    </fill>
    <fill>
      <patternFill patternType="gray125"/>
    </fill>
    <fill>
      <patternFill patternType="solid">
        <fgColor rgb="FFFFCC99"/>
      </patternFill>
    </fill>
    <fill>
      <patternFill patternType="solid">
        <fgColor rgb="FFF2F2F2"/>
      </patternFill>
    </fill>
    <fill>
      <patternFill patternType="solid">
        <fgColor theme="4" tint="0.79998168889431442"/>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FFC000"/>
        <bgColor indexed="64"/>
      </patternFill>
    </fill>
    <fill>
      <gradientFill degree="90">
        <stop position="0">
          <color theme="8" tint="0.40000610370189521"/>
        </stop>
        <stop position="1">
          <color theme="4" tint="-0.25098422193060094"/>
        </stop>
      </gradientFill>
    </fill>
    <fill>
      <patternFill patternType="solid">
        <fgColor theme="0"/>
        <bgColor indexed="64"/>
      </patternFill>
    </fill>
    <fill>
      <patternFill patternType="solid">
        <fgColor rgb="FF92D050"/>
        <bgColor indexed="64"/>
      </patternFill>
    </fill>
    <fill>
      <patternFill patternType="solid">
        <fgColor theme="4" tint="0.39997558519241921"/>
        <bgColor indexed="64"/>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style="thin">
        <color rgb="FF7F7F7F"/>
      </right>
      <top/>
      <bottom/>
      <diagonal/>
    </border>
    <border>
      <left/>
      <right/>
      <top style="medium">
        <color indexed="64"/>
      </top>
      <bottom style="thin">
        <color rgb="FF7F7F7F"/>
      </bottom>
      <diagonal/>
    </border>
    <border>
      <left style="thin">
        <color rgb="FF3F3F3F"/>
      </left>
      <right style="thin">
        <color rgb="FF3F3F3F"/>
      </right>
      <top style="thin">
        <color rgb="FF3F3F3F"/>
      </top>
      <bottom style="thin">
        <color rgb="FF3F3F3F"/>
      </bottom>
      <diagonal/>
    </border>
    <border>
      <left/>
      <right/>
      <top style="double">
        <color rgb="FFFF8001"/>
      </top>
      <bottom/>
      <diagonal/>
    </border>
  </borders>
  <cellStyleXfs count="8">
    <xf numFmtId="0" fontId="0" fillId="0" borderId="0"/>
    <xf numFmtId="0" fontId="1" fillId="2" borderId="1" applyNumberFormat="0" applyAlignment="0" applyProtection="0"/>
    <xf numFmtId="0" fontId="2" fillId="3" borderId="1" applyNumberFormat="0" applyAlignment="0" applyProtection="0"/>
    <xf numFmtId="0" fontId="9" fillId="0" borderId="13" applyNumberFormat="0" applyFill="0" applyAlignment="0" applyProtection="0"/>
    <xf numFmtId="164" fontId="13" fillId="8" borderId="2" applyBorder="0">
      <alignment horizontal="center"/>
    </xf>
    <xf numFmtId="0" fontId="20" fillId="0" borderId="0" applyNumberFormat="0" applyFill="0" applyBorder="0" applyAlignment="0" applyProtection="0"/>
    <xf numFmtId="0" fontId="30" fillId="9" borderId="0"/>
    <xf numFmtId="0" fontId="39" fillId="3" borderId="21" applyNumberFormat="0" applyAlignment="0" applyProtection="0"/>
  </cellStyleXfs>
  <cellXfs count="214">
    <xf numFmtId="0" fontId="0" fillId="0" borderId="0" xfId="0"/>
    <xf numFmtId="0" fontId="3" fillId="0" borderId="0" xfId="0" applyFont="1"/>
    <xf numFmtId="0" fontId="5" fillId="0" borderId="0" xfId="0" applyFont="1"/>
    <xf numFmtId="0" fontId="5" fillId="0" borderId="0" xfId="0" applyFont="1" applyAlignment="1">
      <alignment horizontal="center"/>
    </xf>
    <xf numFmtId="0" fontId="5" fillId="0" borderId="0" xfId="0" applyFont="1" applyAlignment="1">
      <alignment horizontal="left"/>
    </xf>
    <xf numFmtId="0" fontId="10" fillId="0" borderId="0" xfId="0" applyFont="1"/>
    <xf numFmtId="0" fontId="11" fillId="0" borderId="0" xfId="0" applyFont="1"/>
    <xf numFmtId="0" fontId="22" fillId="5" borderId="0" xfId="0" applyFont="1" applyFill="1" applyAlignment="1">
      <alignment horizontal="center" vertical="center"/>
    </xf>
    <xf numFmtId="0" fontId="11" fillId="0" borderId="0" xfId="0" applyFont="1" applyAlignment="1">
      <alignment horizontal="center"/>
    </xf>
    <xf numFmtId="0" fontId="10" fillId="0" borderId="0" xfId="0" applyFont="1" applyAlignment="1">
      <alignment horizontal="center" vertical="center"/>
    </xf>
    <xf numFmtId="0" fontId="5" fillId="0" borderId="0" xfId="1" applyFont="1" applyFill="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0" fontId="5" fillId="0" borderId="6" xfId="0" applyFont="1" applyBorder="1" applyAlignment="1">
      <alignment horizontal="left" vertical="center"/>
    </xf>
    <xf numFmtId="0" fontId="5" fillId="0" borderId="6" xfId="1" applyFont="1" applyFill="1" applyBorder="1" applyAlignment="1">
      <alignment horizontal="left" vertical="center"/>
    </xf>
    <xf numFmtId="0" fontId="0" fillId="0" borderId="6" xfId="0" applyBorder="1" applyAlignment="1">
      <alignment horizontal="left" vertical="center"/>
    </xf>
    <xf numFmtId="0" fontId="3" fillId="0" borderId="6" xfId="0" applyFont="1" applyBorder="1" applyAlignment="1">
      <alignment horizontal="left" vertical="center"/>
    </xf>
    <xf numFmtId="0" fontId="5" fillId="0" borderId="9" xfId="1" applyFont="1" applyFill="1" applyBorder="1" applyAlignment="1">
      <alignment horizontal="left" vertical="center"/>
    </xf>
    <xf numFmtId="0" fontId="10" fillId="0" borderId="4" xfId="0" applyFont="1" applyBorder="1" applyAlignment="1">
      <alignment horizontal="left" vertical="center"/>
    </xf>
    <xf numFmtId="0" fontId="10" fillId="0" borderId="6" xfId="0" applyFont="1" applyBorder="1" applyAlignment="1">
      <alignment horizontal="left" vertical="center"/>
    </xf>
    <xf numFmtId="0" fontId="10" fillId="0" borderId="9" xfId="0" applyFont="1" applyBorder="1" applyAlignment="1">
      <alignment horizontal="left" vertical="center"/>
    </xf>
    <xf numFmtId="0" fontId="10" fillId="0" borderId="0" xfId="0" applyFont="1" applyAlignment="1">
      <alignment horizontal="left" vertical="center"/>
    </xf>
    <xf numFmtId="0" fontId="5" fillId="0" borderId="4" xfId="0" applyFont="1" applyBorder="1" applyAlignment="1">
      <alignment horizontal="left" vertical="center"/>
    </xf>
    <xf numFmtId="0" fontId="5" fillId="0" borderId="9" xfId="0" applyFont="1" applyBorder="1" applyAlignment="1">
      <alignment horizontal="left" vertical="center"/>
    </xf>
    <xf numFmtId="0" fontId="5" fillId="0" borderId="3" xfId="0" applyFont="1" applyBorder="1" applyAlignment="1">
      <alignment horizontal="left" vertical="center"/>
    </xf>
    <xf numFmtId="0" fontId="5" fillId="0" borderId="8" xfId="0" applyFont="1" applyBorder="1" applyAlignment="1">
      <alignment horizontal="left" vertical="center"/>
    </xf>
    <xf numFmtId="2" fontId="13" fillId="8" borderId="2" xfId="4" applyNumberFormat="1" applyBorder="1" applyAlignment="1">
      <alignment horizontal="left" vertical="center"/>
    </xf>
    <xf numFmtId="2" fontId="13" fillId="8" borderId="5" xfId="4" applyNumberFormat="1" applyBorder="1" applyAlignment="1">
      <alignment horizontal="left" vertical="center"/>
    </xf>
    <xf numFmtId="2" fontId="13" fillId="8" borderId="7" xfId="4" applyNumberFormat="1" applyBorder="1" applyAlignment="1">
      <alignment horizontal="left" vertical="center"/>
    </xf>
    <xf numFmtId="2" fontId="13" fillId="8" borderId="3" xfId="4" applyNumberFormat="1" applyBorder="1" applyAlignment="1">
      <alignment horizontal="left" vertical="center"/>
    </xf>
    <xf numFmtId="2" fontId="13" fillId="8" borderId="0" xfId="4" applyNumberFormat="1" applyBorder="1" applyAlignment="1">
      <alignment horizontal="left" vertical="center"/>
    </xf>
    <xf numFmtId="2" fontId="13" fillId="8" borderId="8" xfId="4" applyNumberFormat="1" applyBorder="1" applyAlignment="1">
      <alignment horizontal="left" vertical="center"/>
    </xf>
    <xf numFmtId="0" fontId="11" fillId="0" borderId="6" xfId="0" applyFont="1" applyBorder="1" applyAlignment="1">
      <alignment horizontal="left" vertical="center"/>
    </xf>
    <xf numFmtId="2" fontId="0" fillId="0" borderId="0" xfId="0" applyNumberFormat="1"/>
    <xf numFmtId="0" fontId="7" fillId="11" borderId="0" xfId="0" applyFont="1" applyFill="1" applyAlignment="1">
      <alignment horizontal="left"/>
    </xf>
    <xf numFmtId="0" fontId="11" fillId="0" borderId="0" xfId="0" applyFont="1" applyAlignment="1">
      <alignment horizontal="center" vertical="center"/>
    </xf>
    <xf numFmtId="0" fontId="4" fillId="0" borderId="3" xfId="0" applyFont="1" applyBorder="1" applyAlignment="1">
      <alignment horizontal="center" vertical="center"/>
    </xf>
    <xf numFmtId="0" fontId="5" fillId="0" borderId="0" xfId="0" applyFont="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3" xfId="0" applyBorder="1" applyAlignment="1">
      <alignment horizontal="center" vertical="center"/>
    </xf>
    <xf numFmtId="2" fontId="2" fillId="3" borderId="1" xfId="2" applyNumberFormat="1" applyAlignment="1">
      <alignment horizontal="center" vertical="center"/>
    </xf>
    <xf numFmtId="2" fontId="2" fillId="11" borderId="0" xfId="2" applyNumberFormat="1" applyFill="1" applyBorder="1" applyAlignment="1">
      <alignment horizontal="center" vertical="center"/>
    </xf>
    <xf numFmtId="0" fontId="11" fillId="0" borderId="8" xfId="0" applyFont="1" applyBorder="1" applyAlignment="1">
      <alignment horizontal="center" vertical="center"/>
    </xf>
    <xf numFmtId="0" fontId="11" fillId="0" borderId="0" xfId="0" applyFont="1" applyAlignment="1">
      <alignment horizontal="left" vertical="center"/>
    </xf>
    <xf numFmtId="0" fontId="4" fillId="0" borderId="3" xfId="0" applyFont="1" applyBorder="1" applyAlignment="1">
      <alignment horizontal="left" vertical="center"/>
    </xf>
    <xf numFmtId="0" fontId="3" fillId="0" borderId="4" xfId="0" applyFont="1" applyBorder="1" applyAlignment="1">
      <alignment horizontal="left" vertical="center"/>
    </xf>
    <xf numFmtId="0" fontId="0" fillId="0" borderId="9" xfId="0" applyBorder="1" applyAlignment="1">
      <alignment horizontal="left" vertical="center"/>
    </xf>
    <xf numFmtId="0" fontId="0" fillId="0" borderId="4" xfId="0" applyBorder="1" applyAlignment="1">
      <alignment horizontal="left" vertical="center"/>
    </xf>
    <xf numFmtId="0" fontId="11" fillId="0" borderId="9" xfId="0" applyFont="1" applyBorder="1" applyAlignment="1">
      <alignment horizontal="left" vertical="center"/>
    </xf>
    <xf numFmtId="0" fontId="0" fillId="0" borderId="8" xfId="0" applyBorder="1" applyAlignment="1">
      <alignment horizontal="left" vertical="center"/>
    </xf>
    <xf numFmtId="0" fontId="0" fillId="0" borderId="3" xfId="0" applyBorder="1" applyAlignment="1">
      <alignment horizontal="left" vertical="center"/>
    </xf>
    <xf numFmtId="0" fontId="11" fillId="0" borderId="8" xfId="0" applyFont="1" applyBorder="1" applyAlignment="1">
      <alignment horizontal="left" vertical="center"/>
    </xf>
    <xf numFmtId="0" fontId="35" fillId="0" borderId="5" xfId="0" applyFont="1" applyBorder="1" applyAlignment="1">
      <alignment horizontal="left" vertical="center"/>
    </xf>
    <xf numFmtId="0" fontId="4" fillId="0" borderId="5" xfId="0" applyFont="1" applyBorder="1" applyAlignment="1">
      <alignment horizontal="left" vertical="center"/>
    </xf>
    <xf numFmtId="0" fontId="5" fillId="0" borderId="5" xfId="0" applyFont="1" applyBorder="1" applyAlignment="1">
      <alignment horizontal="left" vertical="center"/>
    </xf>
    <xf numFmtId="0" fontId="5" fillId="0" borderId="2" xfId="0" applyFont="1" applyBorder="1" applyAlignment="1">
      <alignment horizontal="left" vertical="center"/>
    </xf>
    <xf numFmtId="0" fontId="11" fillId="0" borderId="5" xfId="0" applyFont="1" applyBorder="1" applyAlignment="1">
      <alignment horizontal="left" vertical="center"/>
    </xf>
    <xf numFmtId="0" fontId="0" fillId="0" borderId="5" xfId="0" applyBorder="1" applyAlignment="1">
      <alignment horizontal="left" vertical="center"/>
    </xf>
    <xf numFmtId="0" fontId="0" fillId="0" borderId="7" xfId="0" applyBorder="1" applyAlignment="1">
      <alignment horizontal="left" vertical="center"/>
    </xf>
    <xf numFmtId="0" fontId="0" fillId="0" borderId="2" xfId="0" applyBorder="1" applyAlignment="1">
      <alignment horizontal="left" vertical="center"/>
    </xf>
    <xf numFmtId="0" fontId="11" fillId="0" borderId="7" xfId="0" applyFont="1" applyBorder="1" applyAlignment="1">
      <alignment horizontal="left" vertical="center"/>
    </xf>
    <xf numFmtId="0" fontId="3" fillId="0" borderId="2" xfId="0" applyFont="1" applyBorder="1" applyAlignment="1">
      <alignment horizontal="left" vertical="center"/>
    </xf>
    <xf numFmtId="0" fontId="6" fillId="0" borderId="5" xfId="0" applyFont="1" applyBorder="1" applyAlignment="1">
      <alignment horizontal="left" vertical="center"/>
    </xf>
    <xf numFmtId="0" fontId="10" fillId="0" borderId="5" xfId="0" applyFont="1" applyBorder="1" applyAlignment="1">
      <alignment horizontal="left" vertical="center"/>
    </xf>
    <xf numFmtId="0" fontId="5" fillId="0" borderId="7" xfId="0" applyFont="1" applyBorder="1" applyAlignment="1">
      <alignment horizontal="left" vertical="center"/>
    </xf>
    <xf numFmtId="0" fontId="5" fillId="0" borderId="8" xfId="0" applyFont="1" applyBorder="1" applyAlignment="1">
      <alignment horizontal="center" vertical="center"/>
    </xf>
    <xf numFmtId="0" fontId="10" fillId="0" borderId="6" xfId="0" applyFont="1" applyBorder="1" applyAlignment="1">
      <alignment horizontal="center" vertical="center"/>
    </xf>
    <xf numFmtId="0" fontId="36" fillId="0" borderId="0" xfId="0" applyFont="1" applyAlignment="1">
      <alignment horizontal="center" vertical="center"/>
    </xf>
    <xf numFmtId="0" fontId="5" fillId="11" borderId="0" xfId="0" applyFont="1" applyFill="1" applyAlignment="1">
      <alignment horizontal="center"/>
    </xf>
    <xf numFmtId="0" fontId="3" fillId="11" borderId="0" xfId="0" applyFont="1" applyFill="1"/>
    <xf numFmtId="0" fontId="5" fillId="11" borderId="0" xfId="0" applyFont="1" applyFill="1"/>
    <xf numFmtId="0" fontId="0" fillId="0" borderId="0" xfId="0" applyFill="1" applyAlignment="1">
      <alignment horizontal="left" vertical="center"/>
    </xf>
    <xf numFmtId="0" fontId="11" fillId="0" borderId="0" xfId="0" applyFont="1" applyFill="1" applyAlignment="1">
      <alignment horizontal="left" vertical="center"/>
    </xf>
    <xf numFmtId="0" fontId="11" fillId="0" borderId="0" xfId="0" applyFont="1" applyFill="1"/>
    <xf numFmtId="0" fontId="5" fillId="0" borderId="0" xfId="1" applyFont="1" applyFill="1" applyBorder="1" applyAlignment="1">
      <alignment horizontal="center" vertical="center"/>
    </xf>
    <xf numFmtId="0" fontId="11" fillId="0" borderId="0" xfId="0" applyFont="1" applyFill="1" applyAlignment="1">
      <alignment horizontal="center" vertical="center"/>
    </xf>
    <xf numFmtId="0" fontId="14" fillId="0" borderId="0" xfId="0" applyFont="1" applyFill="1" applyBorder="1" applyAlignment="1">
      <alignment horizontal="center" vertical="center"/>
    </xf>
    <xf numFmtId="0" fontId="10" fillId="0" borderId="0" xfId="0" applyFont="1" applyFill="1" applyBorder="1" applyAlignment="1">
      <alignment horizontal="center" vertical="center"/>
    </xf>
    <xf numFmtId="0" fontId="10" fillId="0" borderId="0" xfId="0" applyFont="1" applyFill="1" applyAlignment="1">
      <alignment horizontal="center" vertical="center"/>
    </xf>
    <xf numFmtId="0" fontId="22" fillId="5" borderId="0" xfId="0" applyFont="1" applyFill="1" applyAlignment="1">
      <alignment horizontal="center" vertical="center"/>
    </xf>
    <xf numFmtId="0" fontId="11" fillId="0" borderId="0" xfId="0" applyFont="1" applyFill="1" applyBorder="1"/>
    <xf numFmtId="0" fontId="5" fillId="0" borderId="0" xfId="0" applyFont="1" applyFill="1" applyAlignment="1">
      <alignment horizontal="center"/>
    </xf>
    <xf numFmtId="0" fontId="5" fillId="0" borderId="0" xfId="0" applyFont="1" applyFill="1"/>
    <xf numFmtId="2" fontId="1" fillId="9" borderId="1" xfId="1" applyNumberFormat="1" applyFill="1" applyAlignment="1" applyProtection="1">
      <alignment horizontal="center" vertical="center"/>
      <protection locked="0"/>
    </xf>
    <xf numFmtId="0" fontId="22" fillId="5" borderId="0" xfId="0" applyFont="1" applyFill="1" applyAlignment="1">
      <alignment horizontal="center" vertical="center"/>
    </xf>
    <xf numFmtId="0" fontId="0" fillId="0" borderId="0" xfId="0" applyFill="1"/>
    <xf numFmtId="0" fontId="4" fillId="0" borderId="3" xfId="0" applyFont="1" applyFill="1" applyBorder="1" applyAlignment="1">
      <alignment horizontal="left" vertical="center"/>
    </xf>
    <xf numFmtId="0" fontId="0" fillId="0" borderId="0" xfId="0" applyFill="1" applyBorder="1"/>
    <xf numFmtId="0" fontId="0" fillId="0" borderId="8" xfId="0" applyBorder="1"/>
    <xf numFmtId="0" fontId="11" fillId="0" borderId="2" xfId="0" applyFont="1" applyBorder="1"/>
    <xf numFmtId="0" fontId="11" fillId="0" borderId="4" xfId="0" applyFont="1" applyBorder="1"/>
    <xf numFmtId="0" fontId="11" fillId="0" borderId="0" xfId="0" applyFont="1" applyBorder="1"/>
    <xf numFmtId="0" fontId="11" fillId="0" borderId="6" xfId="0" applyFont="1" applyBorder="1"/>
    <xf numFmtId="0" fontId="11" fillId="0" borderId="0" xfId="0" applyFont="1" applyBorder="1" applyAlignment="1">
      <alignment horizontal="center" vertical="center"/>
    </xf>
    <xf numFmtId="0" fontId="11" fillId="0" borderId="5" xfId="0" applyFont="1" applyBorder="1"/>
    <xf numFmtId="0" fontId="11" fillId="0" borderId="7" xfId="0" applyFont="1" applyBorder="1"/>
    <xf numFmtId="0" fontId="11" fillId="0" borderId="8" xfId="0" applyFont="1" applyBorder="1"/>
    <xf numFmtId="0" fontId="11" fillId="0" borderId="9" xfId="0" applyFont="1" applyBorder="1"/>
    <xf numFmtId="0" fontId="11" fillId="0" borderId="5" xfId="0" applyFont="1" applyBorder="1" applyAlignment="1">
      <alignment horizontal="left" vertical="center"/>
    </xf>
    <xf numFmtId="0" fontId="22" fillId="5" borderId="0" xfId="0" applyFont="1" applyFill="1" applyAlignment="1">
      <alignment horizontal="center" vertical="center"/>
    </xf>
    <xf numFmtId="0" fontId="7" fillId="0" borderId="0" xfId="0" applyFont="1" applyFill="1" applyAlignment="1">
      <alignment horizontal="left"/>
    </xf>
    <xf numFmtId="0" fontId="4" fillId="0" borderId="5" xfId="0" applyFont="1" applyFill="1" applyBorder="1" applyAlignment="1">
      <alignment horizontal="left" vertical="center"/>
    </xf>
    <xf numFmtId="0" fontId="5" fillId="0" borderId="6" xfId="0" applyFont="1" applyFill="1" applyBorder="1" applyAlignment="1">
      <alignment horizontal="center" vertical="center"/>
    </xf>
    <xf numFmtId="0" fontId="0" fillId="0" borderId="7" xfId="0" applyFill="1" applyBorder="1"/>
    <xf numFmtId="0" fontId="0" fillId="0" borderId="9" xfId="0" applyBorder="1"/>
    <xf numFmtId="0" fontId="0" fillId="0" borderId="4" xfId="0" applyFill="1" applyBorder="1" applyAlignment="1">
      <alignment horizontal="center" vertical="center"/>
    </xf>
    <xf numFmtId="0" fontId="0" fillId="0" borderId="6" xfId="0" applyFill="1" applyBorder="1" applyAlignment="1">
      <alignment horizontal="center" vertical="center"/>
    </xf>
    <xf numFmtId="0" fontId="0" fillId="0" borderId="9" xfId="0" applyFill="1" applyBorder="1" applyAlignment="1">
      <alignment horizontal="center" vertical="center"/>
    </xf>
    <xf numFmtId="0" fontId="40" fillId="0" borderId="6" xfId="1" applyFont="1" applyFill="1" applyBorder="1" applyAlignment="1">
      <alignment horizontal="left" vertical="center"/>
    </xf>
    <xf numFmtId="0" fontId="40" fillId="0" borderId="6" xfId="0" applyFont="1" applyFill="1" applyBorder="1" applyAlignment="1">
      <alignment horizontal="center" vertical="center"/>
    </xf>
    <xf numFmtId="0" fontId="41" fillId="0" borderId="5" xfId="0" applyFont="1" applyBorder="1"/>
    <xf numFmtId="0" fontId="11" fillId="0" borderId="3" xfId="0" applyFont="1" applyBorder="1"/>
    <xf numFmtId="0" fontId="11" fillId="0" borderId="0" xfId="0" applyFont="1" applyBorder="1" applyAlignment="1">
      <alignment horizontal="left" vertical="center"/>
    </xf>
    <xf numFmtId="0" fontId="3" fillId="0" borderId="0" xfId="0" applyFont="1" applyBorder="1" applyAlignment="1">
      <alignment horizontal="left" vertical="center"/>
    </xf>
    <xf numFmtId="0" fontId="3" fillId="0" borderId="0" xfId="0" applyFont="1" applyBorder="1" applyAlignment="1">
      <alignment horizontal="center" vertical="center"/>
    </xf>
    <xf numFmtId="0" fontId="5" fillId="0" borderId="0" xfId="0" applyFont="1" applyBorder="1" applyAlignment="1">
      <alignment horizontal="left" vertical="center"/>
    </xf>
    <xf numFmtId="2" fontId="2" fillId="3" borderId="1" xfId="2" applyNumberFormat="1" applyBorder="1" applyAlignment="1">
      <alignment horizontal="center" vertical="center"/>
    </xf>
    <xf numFmtId="0" fontId="3" fillId="0" borderId="5" xfId="0" applyFont="1" applyBorder="1" applyAlignment="1">
      <alignment horizontal="left" vertical="center"/>
    </xf>
    <xf numFmtId="0" fontId="22" fillId="5" borderId="0" xfId="0" applyFont="1" applyFill="1" applyAlignment="1">
      <alignment horizontal="center" vertical="center"/>
    </xf>
    <xf numFmtId="0" fontId="1" fillId="9" borderId="1" xfId="1" applyNumberFormat="1" applyFill="1" applyBorder="1" applyAlignment="1" applyProtection="1">
      <alignment horizontal="center" vertical="center"/>
      <protection locked="0"/>
    </xf>
    <xf numFmtId="11" fontId="1" fillId="9" borderId="1" xfId="1" applyNumberFormat="1" applyFill="1" applyBorder="1" applyAlignment="1" applyProtection="1">
      <alignment horizontal="center" vertical="center"/>
      <protection locked="0"/>
    </xf>
    <xf numFmtId="0" fontId="1" fillId="9" borderId="1" xfId="1" applyFill="1" applyBorder="1" applyAlignment="1" applyProtection="1">
      <alignment horizontal="center" vertical="center"/>
      <protection locked="0"/>
    </xf>
    <xf numFmtId="11" fontId="2" fillId="3" borderId="1" xfId="2" applyNumberFormat="1" applyAlignment="1">
      <alignment horizontal="center" vertical="center"/>
    </xf>
    <xf numFmtId="0" fontId="14" fillId="7" borderId="10" xfId="0" applyFont="1" applyFill="1" applyBorder="1" applyAlignment="1">
      <alignment horizontal="center" vertical="center"/>
    </xf>
    <xf numFmtId="0" fontId="26" fillId="7" borderId="14" xfId="0" applyFont="1" applyFill="1" applyBorder="1" applyAlignment="1">
      <alignment horizontal="center" vertical="center"/>
    </xf>
    <xf numFmtId="0" fontId="26" fillId="7" borderId="15" xfId="0" applyFont="1" applyFill="1" applyBorder="1" applyAlignment="1">
      <alignment horizontal="center" vertical="center"/>
    </xf>
    <xf numFmtId="0" fontId="26" fillId="7" borderId="16" xfId="0" applyFont="1" applyFill="1" applyBorder="1" applyAlignment="1">
      <alignment horizontal="center" vertical="center"/>
    </xf>
    <xf numFmtId="0" fontId="32" fillId="7" borderId="14" xfId="0" applyFont="1" applyFill="1" applyBorder="1" applyAlignment="1">
      <alignment horizontal="center" vertical="center"/>
    </xf>
    <xf numFmtId="0" fontId="32" fillId="7" borderId="15" xfId="0" applyFont="1" applyFill="1" applyBorder="1" applyAlignment="1">
      <alignment horizontal="center" vertical="center"/>
    </xf>
    <xf numFmtId="0" fontId="32" fillId="7" borderId="16" xfId="0" applyFont="1" applyFill="1" applyBorder="1" applyAlignment="1">
      <alignment horizontal="center" vertical="center"/>
    </xf>
    <xf numFmtId="0" fontId="22" fillId="5" borderId="0" xfId="0" applyFont="1" applyFill="1" applyAlignment="1">
      <alignment horizontal="center" vertical="center"/>
    </xf>
    <xf numFmtId="0" fontId="22" fillId="5" borderId="0" xfId="5" applyFont="1" applyFill="1" applyAlignment="1">
      <alignment horizontal="center" vertical="center"/>
    </xf>
    <xf numFmtId="0" fontId="4" fillId="0" borderId="5" xfId="0" applyFont="1" applyBorder="1" applyAlignment="1">
      <alignment horizontal="left" vertical="center"/>
    </xf>
    <xf numFmtId="0" fontId="22" fillId="5" borderId="0" xfId="0" applyFont="1" applyFill="1" applyAlignment="1">
      <alignment horizontal="center" vertical="center"/>
    </xf>
    <xf numFmtId="0" fontId="20" fillId="0" borderId="0" xfId="5" applyNumberFormat="1" applyAlignment="1">
      <alignment horizontal="center" vertical="center"/>
    </xf>
    <xf numFmtId="3" fontId="10" fillId="0" borderId="0" xfId="0" applyNumberFormat="1" applyFont="1" applyAlignment="1">
      <alignment horizontal="center" vertical="center"/>
    </xf>
    <xf numFmtId="0" fontId="22" fillId="5" borderId="0" xfId="5" applyFont="1" applyFill="1" applyAlignment="1">
      <alignment vertical="center"/>
    </xf>
    <xf numFmtId="0" fontId="28" fillId="6" borderId="0" xfId="0" applyFont="1" applyFill="1" applyAlignment="1">
      <alignment vertical="center"/>
    </xf>
    <xf numFmtId="2" fontId="1" fillId="9" borderId="1" xfId="1" applyNumberFormat="1" applyFill="1" applyBorder="1" applyAlignment="1" applyProtection="1">
      <alignment horizontal="center" vertical="center"/>
      <protection locked="0"/>
    </xf>
    <xf numFmtId="0" fontId="5" fillId="0" borderId="0" xfId="0" applyFont="1" applyBorder="1" applyAlignment="1">
      <alignment horizontal="center" vertical="center"/>
    </xf>
    <xf numFmtId="0" fontId="0" fillId="0" borderId="0" xfId="0" applyBorder="1" applyAlignment="1">
      <alignment horizontal="center" vertical="center"/>
    </xf>
    <xf numFmtId="0" fontId="0" fillId="0" borderId="0" xfId="0" applyBorder="1" applyAlignment="1">
      <alignment horizontal="left" vertical="center"/>
    </xf>
    <xf numFmtId="2" fontId="2" fillId="3" borderId="1" xfId="2" applyNumberFormat="1" applyBorder="1" applyAlignment="1" applyProtection="1">
      <alignment horizontal="center" vertical="center"/>
      <protection locked="0"/>
    </xf>
    <xf numFmtId="0" fontId="0" fillId="0" borderId="5" xfId="0" applyFill="1" applyBorder="1" applyAlignment="1">
      <alignment horizontal="left" vertical="center"/>
    </xf>
    <xf numFmtId="0" fontId="11" fillId="0" borderId="0" xfId="0" applyFont="1" applyFill="1" applyBorder="1" applyAlignment="1">
      <alignment horizontal="center" vertical="center"/>
    </xf>
    <xf numFmtId="0" fontId="5" fillId="0" borderId="0" xfId="0" applyFont="1" applyFill="1" applyAlignment="1">
      <alignment horizontal="center" vertical="center"/>
    </xf>
    <xf numFmtId="0" fontId="5" fillId="0" borderId="0" xfId="0" applyFont="1" applyFill="1" applyAlignment="1">
      <alignment horizontal="left" vertical="center"/>
    </xf>
    <xf numFmtId="0" fontId="5" fillId="11" borderId="0" xfId="0" applyFont="1" applyFill="1" applyAlignment="1">
      <alignment horizontal="left" vertical="center"/>
    </xf>
    <xf numFmtId="0" fontId="44" fillId="7" borderId="15" xfId="0" applyFont="1" applyFill="1" applyBorder="1" applyAlignment="1">
      <alignment horizontal="center" vertical="center"/>
    </xf>
    <xf numFmtId="11" fontId="11" fillId="0" borderId="0" xfId="0" applyNumberFormat="1" applyFont="1"/>
    <xf numFmtId="0" fontId="4" fillId="0" borderId="5" xfId="0" applyFont="1" applyBorder="1" applyAlignment="1">
      <alignment horizontal="left" vertical="center"/>
    </xf>
    <xf numFmtId="2" fontId="22" fillId="5" borderId="0" xfId="0" applyNumberFormat="1" applyFont="1" applyFill="1" applyAlignment="1">
      <alignment horizontal="center" vertical="center"/>
    </xf>
    <xf numFmtId="0" fontId="11" fillId="0" borderId="0" xfId="0" applyFont="1" applyAlignment="1">
      <alignment vertical="center"/>
    </xf>
    <xf numFmtId="0" fontId="7" fillId="4" borderId="0" xfId="0" applyFont="1" applyFill="1" applyAlignment="1">
      <alignment horizontal="left"/>
    </xf>
    <xf numFmtId="0" fontId="11" fillId="0" borderId="5" xfId="0" applyFont="1" applyFill="1" applyBorder="1" applyAlignment="1">
      <alignment horizontal="left" vertical="center"/>
    </xf>
    <xf numFmtId="0" fontId="11" fillId="0" borderId="0" xfId="0" applyFont="1" applyFill="1" applyBorder="1" applyAlignment="1">
      <alignment horizontal="left" vertical="center"/>
    </xf>
    <xf numFmtId="0" fontId="11" fillId="0" borderId="5" xfId="0" applyFont="1" applyBorder="1" applyAlignment="1">
      <alignment horizontal="left" vertical="center"/>
    </xf>
    <xf numFmtId="0" fontId="11" fillId="0" borderId="19" xfId="0" applyFont="1" applyBorder="1" applyAlignment="1">
      <alignment horizontal="left" vertical="center"/>
    </xf>
    <xf numFmtId="0" fontId="7" fillId="0" borderId="0" xfId="0" applyFont="1" applyFill="1" applyAlignment="1">
      <alignment vertical="center"/>
    </xf>
    <xf numFmtId="0" fontId="11" fillId="0" borderId="0" xfId="0" applyFont="1" applyBorder="1" applyAlignment="1">
      <alignment vertical="center"/>
    </xf>
    <xf numFmtId="0" fontId="39" fillId="3" borderId="0" xfId="7" applyBorder="1" applyAlignment="1">
      <alignment horizontal="center" vertical="center"/>
    </xf>
    <xf numFmtId="0" fontId="39" fillId="3" borderId="3" xfId="7" applyBorder="1" applyAlignment="1">
      <alignment horizontal="center" vertical="center"/>
    </xf>
    <xf numFmtId="0" fontId="39" fillId="3" borderId="8" xfId="7" applyBorder="1" applyAlignment="1">
      <alignment horizontal="center" vertical="center"/>
    </xf>
    <xf numFmtId="0" fontId="48" fillId="0" borderId="2" xfId="0" applyFont="1" applyFill="1" applyBorder="1" applyAlignment="1">
      <alignment horizontal="left" vertical="center"/>
    </xf>
    <xf numFmtId="0" fontId="48" fillId="0" borderId="5" xfId="0" applyFont="1" applyBorder="1" applyAlignment="1">
      <alignment horizontal="left" vertical="center"/>
    </xf>
    <xf numFmtId="0" fontId="48" fillId="0" borderId="5" xfId="0" applyFont="1" applyFill="1" applyBorder="1" applyAlignment="1">
      <alignment horizontal="left" vertical="center"/>
    </xf>
    <xf numFmtId="0" fontId="50" fillId="0" borderId="5" xfId="0" applyFont="1" applyBorder="1" applyAlignment="1">
      <alignment vertical="center"/>
    </xf>
    <xf numFmtId="0" fontId="48" fillId="0" borderId="5" xfId="0" applyFont="1" applyBorder="1"/>
    <xf numFmtId="0" fontId="48" fillId="0" borderId="7" xfId="0" applyFont="1" applyBorder="1"/>
    <xf numFmtId="0" fontId="25" fillId="5" borderId="0" xfId="0" applyFont="1" applyFill="1" applyAlignment="1">
      <alignment horizontal="center" vertical="center" wrapText="1"/>
    </xf>
    <xf numFmtId="0" fontId="21" fillId="0" borderId="13" xfId="3" applyFont="1" applyAlignment="1">
      <alignment horizontal="left"/>
    </xf>
    <xf numFmtId="0" fontId="29" fillId="5" borderId="0" xfId="0" applyFont="1" applyFill="1" applyAlignment="1">
      <alignment horizontal="center" vertical="center"/>
    </xf>
    <xf numFmtId="0" fontId="23" fillId="5" borderId="0" xfId="0" applyFont="1" applyFill="1" applyAlignment="1">
      <alignment horizontal="center" vertical="center"/>
    </xf>
    <xf numFmtId="0" fontId="23" fillId="5" borderId="0" xfId="0" applyFont="1" applyFill="1" applyAlignment="1">
      <alignment horizontal="left" vertical="center" wrapText="1"/>
    </xf>
    <xf numFmtId="0" fontId="24" fillId="6" borderId="0" xfId="0" applyFont="1" applyFill="1" applyAlignment="1">
      <alignment horizontal="center" vertical="center"/>
    </xf>
    <xf numFmtId="0" fontId="22" fillId="5" borderId="0" xfId="0" applyFont="1" applyFill="1" applyAlignment="1">
      <alignment horizontal="center" vertical="center"/>
    </xf>
    <xf numFmtId="0" fontId="43" fillId="0" borderId="13" xfId="3" applyFont="1" applyAlignment="1">
      <alignment horizontal="center" vertical="center"/>
    </xf>
    <xf numFmtId="0" fontId="14" fillId="7" borderId="11" xfId="0" applyFont="1" applyFill="1" applyBorder="1" applyAlignment="1">
      <alignment horizontal="left" vertical="center"/>
    </xf>
    <xf numFmtId="0" fontId="14" fillId="7" borderId="12" xfId="0" applyFont="1" applyFill="1" applyBorder="1" applyAlignment="1">
      <alignment horizontal="left" vertical="center"/>
    </xf>
    <xf numFmtId="0" fontId="14" fillId="7" borderId="10" xfId="0" applyFont="1" applyFill="1" applyBorder="1" applyAlignment="1">
      <alignment horizontal="center" vertical="center"/>
    </xf>
    <xf numFmtId="0" fontId="14" fillId="7" borderId="12" xfId="0" applyFont="1" applyFill="1" applyBorder="1" applyAlignment="1">
      <alignment horizontal="center" vertical="center"/>
    </xf>
    <xf numFmtId="0" fontId="14" fillId="7" borderId="11" xfId="0" applyFont="1" applyFill="1" applyBorder="1" applyAlignment="1">
      <alignment horizontal="center" vertical="center"/>
    </xf>
    <xf numFmtId="0" fontId="10" fillId="0" borderId="0" xfId="0" applyFont="1" applyAlignment="1">
      <alignment horizontal="center" vertical="center" textRotation="90"/>
    </xf>
    <xf numFmtId="2" fontId="39" fillId="3" borderId="21" xfId="7" applyNumberFormat="1" applyAlignment="1">
      <alignment horizontal="center" textRotation="90"/>
    </xf>
    <xf numFmtId="0" fontId="32" fillId="13" borderId="22" xfId="0" applyFont="1" applyFill="1" applyBorder="1" applyAlignment="1">
      <alignment horizontal="center" textRotation="90"/>
    </xf>
    <xf numFmtId="0" fontId="32" fillId="13" borderId="0" xfId="0" applyFont="1" applyFill="1" applyAlignment="1">
      <alignment horizontal="center" textRotation="90"/>
    </xf>
    <xf numFmtId="0" fontId="37" fillId="10" borderId="10" xfId="0" applyFont="1" applyFill="1" applyBorder="1" applyAlignment="1">
      <alignment horizontal="center" vertical="center" wrapText="1"/>
    </xf>
    <xf numFmtId="0" fontId="37" fillId="10" borderId="11" xfId="0" applyFont="1" applyFill="1" applyBorder="1" applyAlignment="1">
      <alignment horizontal="center" vertical="center" wrapText="1"/>
    </xf>
    <xf numFmtId="0" fontId="37" fillId="10" borderId="12" xfId="0" applyFont="1" applyFill="1" applyBorder="1" applyAlignment="1">
      <alignment horizontal="center" vertical="center" wrapText="1"/>
    </xf>
    <xf numFmtId="0" fontId="7" fillId="4" borderId="0" xfId="0" applyFont="1" applyFill="1" applyAlignment="1">
      <alignment horizontal="left" vertical="center"/>
    </xf>
    <xf numFmtId="0" fontId="43" fillId="0" borderId="13" xfId="3" applyFont="1" applyAlignment="1">
      <alignment horizontal="left" vertical="center"/>
    </xf>
    <xf numFmtId="0" fontId="28" fillId="6" borderId="0" xfId="0" applyFont="1" applyFill="1" applyAlignment="1">
      <alignment horizontal="center" vertical="center"/>
    </xf>
    <xf numFmtId="0" fontId="7" fillId="4" borderId="0" xfId="0" applyFont="1" applyFill="1" applyAlignment="1">
      <alignment horizontal="left"/>
    </xf>
    <xf numFmtId="0" fontId="43" fillId="0" borderId="13" xfId="3" applyFont="1" applyAlignment="1">
      <alignment horizontal="left"/>
    </xf>
    <xf numFmtId="0" fontId="0" fillId="0" borderId="0" xfId="0" applyAlignment="1">
      <alignment horizontal="center"/>
    </xf>
    <xf numFmtId="0" fontId="7" fillId="4" borderId="0" xfId="0" applyFont="1" applyFill="1" applyAlignment="1">
      <alignment horizontal="center"/>
    </xf>
    <xf numFmtId="2" fontId="2" fillId="3" borderId="17" xfId="2" applyNumberFormat="1" applyBorder="1" applyAlignment="1">
      <alignment horizontal="center" vertical="center"/>
    </xf>
    <xf numFmtId="2" fontId="2" fillId="3" borderId="18" xfId="2" applyNumberFormat="1" applyBorder="1" applyAlignment="1">
      <alignment horizontal="center" vertical="center"/>
    </xf>
    <xf numFmtId="0" fontId="1" fillId="9" borderId="17" xfId="1" applyFill="1" applyBorder="1" applyAlignment="1">
      <alignment horizontal="center" vertical="center"/>
    </xf>
    <xf numFmtId="0" fontId="1" fillId="9" borderId="18" xfId="1" applyFill="1" applyBorder="1" applyAlignment="1">
      <alignment horizontal="center" vertical="center"/>
    </xf>
    <xf numFmtId="2" fontId="2" fillId="3" borderId="17" xfId="2" applyNumberFormat="1" applyBorder="1" applyAlignment="1">
      <alignment horizontal="center"/>
    </xf>
    <xf numFmtId="2" fontId="2" fillId="3" borderId="18" xfId="2" applyNumberFormat="1" applyBorder="1" applyAlignment="1">
      <alignment horizontal="center"/>
    </xf>
    <xf numFmtId="0" fontId="4" fillId="0" borderId="20" xfId="0" applyFont="1" applyBorder="1" applyAlignment="1">
      <alignment horizontal="center" vertical="center"/>
    </xf>
    <xf numFmtId="0" fontId="11" fillId="0" borderId="2" xfId="0" applyFont="1" applyFill="1" applyBorder="1" applyAlignment="1">
      <alignment horizontal="center"/>
    </xf>
    <xf numFmtId="0" fontId="11" fillId="0" borderId="3" xfId="0" applyFont="1" applyFill="1" applyBorder="1" applyAlignment="1">
      <alignment horizontal="center"/>
    </xf>
    <xf numFmtId="0" fontId="11" fillId="0" borderId="4"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0" fontId="11" fillId="0" borderId="12" xfId="0" applyFont="1" applyFill="1" applyBorder="1" applyAlignment="1">
      <alignment horizontal="center"/>
    </xf>
    <xf numFmtId="0" fontId="10" fillId="12" borderId="2"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0" borderId="14" xfId="0" applyFont="1" applyBorder="1" applyAlignment="1">
      <alignment horizontal="center" vertical="center"/>
    </xf>
    <xf numFmtId="0" fontId="10" fillId="0" borderId="16" xfId="0" applyFont="1" applyBorder="1" applyAlignment="1">
      <alignment horizontal="center" vertical="center"/>
    </xf>
  </cellXfs>
  <cellStyles count="8">
    <cellStyle name="Calculation" xfId="2" builtinId="22"/>
    <cellStyle name="Heading 1" xfId="3" builtinId="16"/>
    <cellStyle name="Hyperlink" xfId="5" builtinId="8"/>
    <cellStyle name="Input" xfId="1" builtinId="20"/>
    <cellStyle name="Normal" xfId="0" builtinId="0"/>
    <cellStyle name="Output" xfId="7" builtinId="21"/>
    <cellStyle name="SUMMURY VALUE" xfId="4" xr:uid="{26903AEF-B89B-49F4-9D2D-76C1598D8C98}"/>
    <cellStyle name="VARIABLE NAMES" xfId="6" xr:uid="{311A9870-9741-4996-A72F-56818A0925A8}"/>
  </cellStyles>
  <dxfs count="21">
    <dxf>
      <font>
        <b val="0"/>
        <i val="0"/>
        <strike val="0"/>
        <condense val="0"/>
        <extend val="0"/>
        <outline val="0"/>
        <shadow val="0"/>
        <u val="none"/>
        <vertAlign val="baseline"/>
        <sz val="11"/>
        <color theme="1"/>
        <name val="Courier New"/>
        <family val="3"/>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ourier New"/>
        <family val="3"/>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ourier New"/>
        <family val="3"/>
        <scheme val="none"/>
      </font>
      <alignment horizontal="center" vertical="center" textRotation="0" wrapText="0" indent="0" justifyLastLine="0" shrinkToFit="0" readingOrder="0"/>
    </dxf>
    <dxf>
      <font>
        <strike val="0"/>
        <outline val="0"/>
        <shadow val="0"/>
        <u val="none"/>
        <name val="Courier New"/>
        <family val="3"/>
        <scheme val="none"/>
      </font>
      <alignment horizontal="center" vertical="center" textRotation="0" wrapText="0" indent="0" justifyLastLine="0" shrinkToFit="0" readingOrder="0"/>
    </dxf>
    <dxf>
      <font>
        <b val="0"/>
        <strike val="0"/>
        <outline val="0"/>
        <shadow val="0"/>
        <u val="none"/>
        <name val="Courier New"/>
        <family val="3"/>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strike val="0"/>
        <outline val="0"/>
        <shadow val="0"/>
        <u val="none"/>
        <vertAlign val="baseline"/>
        <sz val="12"/>
        <color theme="1"/>
        <name val="Courier New"/>
        <family val="3"/>
        <scheme val="none"/>
      </font>
      <alignment horizontal="center" vertical="center" textRotation="0" wrapText="0" indent="0" justifyLastLine="0" shrinkToFit="0" readingOrder="0"/>
    </dxf>
    <dxf>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5" tint="0.79998168889431442"/>
        </patternFill>
      </fill>
      <border>
        <left style="thin">
          <color rgb="FFFF0000"/>
        </left>
        <right style="thin">
          <color rgb="FFFF0000"/>
        </right>
        <top style="thin">
          <color rgb="FFFF0000"/>
        </top>
        <bottom style="thin">
          <color rgb="FFFF0000"/>
        </bottom>
        <vertical/>
        <horizontal/>
      </border>
    </dxf>
  </dxfs>
  <tableStyles count="1" defaultTableStyle="TableStyleMedium2" defaultPivotStyle="PivotStyleLight16">
    <tableStyle name="Invisible" pivot="0" table="0" count="0" xr9:uid="{866C8681-647B-4D02-8109-9970E9C64B75}"/>
  </tableStyles>
  <colors>
    <mruColors>
      <color rgb="FF36174D"/>
      <color rgb="FFD979CB"/>
      <color rgb="FF4472C4"/>
      <color rgb="FFCC3399"/>
      <color rgb="FFFF00FF"/>
      <color rgb="FF0000FF"/>
      <color rgb="FF0061AA"/>
      <color rgb="FF1624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rnd">
              <a:noFill/>
              <a:round/>
            </a:ln>
            <a:effectLst/>
          </c:spPr>
          <c:marker>
            <c:symbol val="diamond"/>
            <c:size val="14"/>
            <c:spPr>
              <a:solidFill>
                <a:srgbClr val="C00000"/>
              </a:solidFill>
              <a:ln w="19050" cmpd="sng">
                <a:solidFill>
                  <a:schemeClr val="tx1"/>
                </a:solidFill>
              </a:ln>
              <a:effectLst/>
            </c:spPr>
          </c:marker>
          <c:dLbls>
            <c:delete val="1"/>
          </c:dLbls>
          <c:xVal>
            <c:numRef>
              <c:f>DASHBOARD!$H$9</c:f>
              <c:numCache>
                <c:formatCode>0.00</c:formatCode>
                <c:ptCount val="1"/>
                <c:pt idx="0">
                  <c:v>0</c:v>
                </c:pt>
              </c:numCache>
            </c:numRef>
          </c:xVal>
          <c:yVal>
            <c:numRef>
              <c:f>DASHBOARD!$H$8</c:f>
              <c:numCache>
                <c:formatCode>0.00</c:formatCode>
                <c:ptCount val="1"/>
                <c:pt idx="0">
                  <c:v>0.29037552367222008</c:v>
                </c:pt>
              </c:numCache>
            </c:numRef>
          </c:yVal>
          <c:smooth val="0"/>
          <c:extLst>
            <c:ext xmlns:c16="http://schemas.microsoft.com/office/drawing/2014/chart" uri="{C3380CC4-5D6E-409C-BE32-E72D297353CC}">
              <c16:uniqueId val="{00000002-A522-4501-8CAE-B088E96C3743}"/>
            </c:ext>
          </c:extLst>
        </c:ser>
        <c:dLbls>
          <c:showLegendKey val="0"/>
          <c:showVal val="1"/>
          <c:showCatName val="0"/>
          <c:showSerName val="0"/>
          <c:showPercent val="0"/>
          <c:showBubbleSize val="0"/>
        </c:dLbls>
        <c:axId val="2070632111"/>
        <c:axId val="2070631279"/>
      </c:scatterChart>
      <c:valAx>
        <c:axId val="2070632111"/>
        <c:scaling>
          <c:orientation val="minMax"/>
          <c:max val="1"/>
          <c:min val="-1"/>
        </c:scaling>
        <c:delete val="0"/>
        <c:axPos val="b"/>
        <c:minorGridlines>
          <c:spPr>
            <a:ln w="9525" cap="flat" cmpd="sng" algn="ctr">
              <a:solidFill>
                <a:schemeClr val="tx1">
                  <a:lumMod val="5000"/>
                  <a:lumOff val="95000"/>
                </a:schemeClr>
              </a:solidFill>
              <a:round/>
            </a:ln>
            <a:effectLst/>
          </c:spPr>
        </c:minorGridlines>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2070631279"/>
        <c:crosses val="autoZero"/>
        <c:crossBetween val="midCat"/>
      </c:valAx>
      <c:valAx>
        <c:axId val="2070631279"/>
        <c:scaling>
          <c:orientation val="minMax"/>
          <c:max val="1"/>
          <c:min val="-1.85"/>
        </c:scaling>
        <c:delete val="0"/>
        <c:axPos val="l"/>
        <c:minorGridlines>
          <c:spPr>
            <a:ln w="9525" cap="flat" cmpd="sng" algn="ctr">
              <a:solidFill>
                <a:schemeClr val="tx1">
                  <a:lumMod val="5000"/>
                  <a:lumOff val="95000"/>
                </a:schemeClr>
              </a:solidFill>
              <a:round/>
            </a:ln>
            <a:effectLst/>
          </c:spPr>
        </c:minorGridlines>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2070632111"/>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35000"/>
      </a:blip>
      <a:srcRect/>
      <a:stretch>
        <a:fillRect/>
      </a:stretch>
    </a:blip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J$11" lockText="1" noThreeD="1"/>
</file>

<file path=xl/ctrlProps/ctrlProp3.xml><?xml version="1.0" encoding="utf-8"?>
<formControlPr xmlns="http://schemas.microsoft.com/office/spreadsheetml/2009/9/main" objectType="CheckBox" checked="Checked" fmlaLink="$J$13" lockText="1" noThreeD="1"/>
</file>

<file path=xl/ctrlProps/ctrlProp4.xml><?xml version="1.0" encoding="utf-8"?>
<formControlPr xmlns="http://schemas.microsoft.com/office/spreadsheetml/2009/9/main" objectType="CheckBox" fmlaLink="$J$15" lockText="1" noThreeD="1"/>
</file>

<file path=xl/ctrlProps/ctrlProp5.xml><?xml version="1.0" encoding="utf-8"?>
<formControlPr xmlns="http://schemas.microsoft.com/office/spreadsheetml/2009/9/main" objectType="CheckBox" fmlaLink="$J$1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sv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0.sv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9.png"/><Relationship Id="rId5" Type="http://schemas.openxmlformats.org/officeDocument/2006/relationships/image" Target="../media/image13.png"/><Relationship Id="rId4" Type="http://schemas.openxmlformats.org/officeDocument/2006/relationships/image" Target="../media/image12.png"/></Relationships>
</file>

<file path=xl/drawings/_rels/drawing7.xml.rels><?xml version="1.0" encoding="UTF-8" standalone="yes"?>
<Relationships xmlns="http://schemas.openxmlformats.org/package/2006/relationships"><Relationship Id="rId3" Type="http://schemas.openxmlformats.org/officeDocument/2006/relationships/image" Target="../media/image14.png"/><Relationship Id="rId7" Type="http://schemas.openxmlformats.org/officeDocument/2006/relationships/image" Target="../media/image10.sv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9.png"/><Relationship Id="rId5" Type="http://schemas.openxmlformats.org/officeDocument/2006/relationships/image" Target="../media/image16.png"/><Relationship Id="rId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3" Type="http://schemas.openxmlformats.org/officeDocument/2006/relationships/image" Target="../media/image17.png"/><Relationship Id="rId7" Type="http://schemas.openxmlformats.org/officeDocument/2006/relationships/image" Target="../media/image10.svg"/><Relationship Id="rId2" Type="http://schemas.openxmlformats.org/officeDocument/2006/relationships/image" Target="../media/image1.png"/><Relationship Id="rId1" Type="http://schemas.openxmlformats.org/officeDocument/2006/relationships/image" Target="../media/image2.png"/><Relationship Id="rId6" Type="http://schemas.openxmlformats.org/officeDocument/2006/relationships/image" Target="../media/image9.png"/><Relationship Id="rId5" Type="http://schemas.openxmlformats.org/officeDocument/2006/relationships/image" Target="../media/image19.png"/><Relationship Id="rId4" Type="http://schemas.openxmlformats.org/officeDocument/2006/relationships/image" Target="../media/image18.png"/></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10.svg"/><Relationship Id="rId2" Type="http://schemas.openxmlformats.org/officeDocument/2006/relationships/image" Target="../media/image1.png"/><Relationship Id="rId1" Type="http://schemas.openxmlformats.org/officeDocument/2006/relationships/image" Target="../media/image2.png"/><Relationship Id="rId6" Type="http://schemas.openxmlformats.org/officeDocument/2006/relationships/image" Target="../media/image9.png"/><Relationship Id="rId5" Type="http://schemas.openxmlformats.org/officeDocument/2006/relationships/image" Target="../media/image22.png"/><Relationship Id="rId4" Type="http://schemas.openxmlformats.org/officeDocument/2006/relationships/image" Target="../media/image2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1.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1.png"/><Relationship Id="rId1" Type="http://schemas.openxmlformats.org/officeDocument/2006/relationships/image" Target="../media/image2.png"/><Relationship Id="rId6" Type="http://schemas.openxmlformats.org/officeDocument/2006/relationships/image" Target="../media/image5.jpeg"/><Relationship Id="rId5" Type="http://schemas.openxmlformats.org/officeDocument/2006/relationships/image" Target="../media/image26.png"/><Relationship Id="rId4"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absolute">
    <xdr:from>
      <xdr:col>1</xdr:col>
      <xdr:colOff>123825</xdr:colOff>
      <xdr:row>1</xdr:row>
      <xdr:rowOff>51661</xdr:rowOff>
    </xdr:from>
    <xdr:to>
      <xdr:col>3</xdr:col>
      <xdr:colOff>561974</xdr:colOff>
      <xdr:row>2</xdr:row>
      <xdr:rowOff>354067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51661"/>
          <a:ext cx="1809749" cy="521481"/>
        </a:xfrm>
        <a:prstGeom prst="rect">
          <a:avLst/>
        </a:prstGeom>
        <a:ln>
          <a:noFill/>
        </a:ln>
      </xdr:spPr>
    </xdr:pic>
    <xdr:clientData/>
  </xdr:twoCellAnchor>
  <xdr:twoCellAnchor editAs="absolute">
    <xdr:from>
      <xdr:col>1</xdr:col>
      <xdr:colOff>85726</xdr:colOff>
      <xdr:row>7</xdr:row>
      <xdr:rowOff>196444</xdr:rowOff>
    </xdr:from>
    <xdr:to>
      <xdr:col>1</xdr:col>
      <xdr:colOff>571500</xdr:colOff>
      <xdr:row>10</xdr:row>
      <xdr:rowOff>45666</xdr:rowOff>
    </xdr:to>
    <xdr:pic macro="[0]!Call_Python.Call_Python">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726" y="1701394"/>
          <a:ext cx="485774" cy="506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647699</xdr:colOff>
      <xdr:row>5</xdr:row>
      <xdr:rowOff>0</xdr:rowOff>
    </xdr:from>
    <xdr:to>
      <xdr:col>16</xdr:col>
      <xdr:colOff>647699</xdr:colOff>
      <xdr:row>11</xdr:row>
      <xdr:rowOff>142875</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2705099" y="1066800"/>
          <a:ext cx="8229600" cy="1457325"/>
          <a:chOff x="2705099" y="762000"/>
          <a:chExt cx="8229600" cy="1647825"/>
        </a:xfrm>
      </xdr:grpSpPr>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2781300" y="762000"/>
            <a:ext cx="361950" cy="257175"/>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ourier New" panose="02070309020205020404" pitchFamily="49" charset="0"/>
                <a:cs typeface="Courier New" panose="02070309020205020404" pitchFamily="49" charset="0"/>
              </a:rPr>
              <a:t>1)</a:t>
            </a:r>
          </a:p>
        </xdr:txBody>
      </xdr:sp>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705099" y="1038225"/>
            <a:ext cx="8229600" cy="137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0">
                <a:solidFill>
                  <a:schemeClr val="dk1"/>
                </a:solidFill>
                <a:effectLst/>
                <a:latin typeface="Courier New" panose="02070309020205020404" pitchFamily="49" charset="0"/>
                <a:ea typeface="+mn-ea"/>
                <a:cs typeface="Courier New" panose="02070309020205020404" pitchFamily="49" charset="0"/>
              </a:rPr>
              <a:t>This Excel workbook</a:t>
            </a:r>
            <a:r>
              <a:rPr lang="en-US" sz="1200" b="0" baseline="0">
                <a:solidFill>
                  <a:schemeClr val="dk1"/>
                </a:solidFill>
                <a:effectLst/>
                <a:latin typeface="Courier New" panose="02070309020205020404" pitchFamily="49" charset="0"/>
                <a:ea typeface="+mn-ea"/>
                <a:cs typeface="Courier New" panose="02070309020205020404" pitchFamily="49" charset="0"/>
              </a:rPr>
              <a:t> is used as </a:t>
            </a:r>
            <a:r>
              <a:rPr lang="en-US" sz="1400" b="1" i="1" baseline="0">
                <a:solidFill>
                  <a:schemeClr val="accent1">
                    <a:lumMod val="50000"/>
                  </a:schemeClr>
                </a:solidFill>
                <a:effectLst/>
                <a:latin typeface="Courier New" panose="02070309020205020404" pitchFamily="49" charset="0"/>
                <a:ea typeface="+mn-ea"/>
                <a:cs typeface="Courier New" panose="02070309020205020404" pitchFamily="49" charset="0"/>
              </a:rPr>
              <a:t>GUI</a:t>
            </a:r>
            <a:r>
              <a:rPr lang="en-US" sz="1200" b="0" baseline="0">
                <a:solidFill>
                  <a:schemeClr val="dk1"/>
                </a:solidFill>
                <a:effectLst/>
                <a:latin typeface="Courier New" panose="02070309020205020404" pitchFamily="49" charset="0"/>
                <a:ea typeface="+mn-ea"/>
                <a:cs typeface="Courier New" panose="02070309020205020404" pitchFamily="49" charset="0"/>
              </a:rPr>
              <a:t>, through which, the user, can easyly </a:t>
            </a:r>
            <a:r>
              <a:rPr lang="en-US" sz="1200" b="1" baseline="0">
                <a:solidFill>
                  <a:schemeClr val="accent1">
                    <a:lumMod val="50000"/>
                  </a:schemeClr>
                </a:solidFill>
                <a:effectLst/>
                <a:latin typeface="Courier New" panose="02070309020205020404" pitchFamily="49" charset="0"/>
                <a:ea typeface="+mn-ea"/>
                <a:cs typeface="Courier New" panose="02070309020205020404" pitchFamily="49" charset="0"/>
              </a:rPr>
              <a:t>insert</a:t>
            </a:r>
            <a:r>
              <a:rPr lang="en-US" sz="1200" b="0" baseline="0">
                <a:solidFill>
                  <a:schemeClr val="dk1"/>
                </a:solidFill>
                <a:effectLst/>
                <a:latin typeface="Courier New" panose="02070309020205020404" pitchFamily="49" charset="0"/>
                <a:ea typeface="+mn-ea"/>
                <a:cs typeface="Courier New" panose="02070309020205020404" pitchFamily="49" charset="0"/>
              </a:rPr>
              <a:t> and </a:t>
            </a:r>
            <a:r>
              <a:rPr lang="en-US" sz="1200" b="1" baseline="0">
                <a:solidFill>
                  <a:schemeClr val="accent1">
                    <a:lumMod val="50000"/>
                  </a:schemeClr>
                </a:solidFill>
                <a:effectLst/>
                <a:latin typeface="Courier New" panose="02070309020205020404" pitchFamily="49" charset="0"/>
                <a:ea typeface="+mn-ea"/>
                <a:cs typeface="Courier New" panose="02070309020205020404" pitchFamily="49" charset="0"/>
              </a:rPr>
              <a:t>change</a:t>
            </a:r>
            <a:r>
              <a:rPr lang="en-US" sz="1200" b="0" baseline="0">
                <a:solidFill>
                  <a:schemeClr val="dk1"/>
                </a:solidFill>
                <a:effectLst/>
                <a:latin typeface="Courier New" panose="02070309020205020404" pitchFamily="49" charset="0"/>
                <a:ea typeface="+mn-ea"/>
                <a:cs typeface="Courier New" panose="02070309020205020404" pitchFamily="49" charset="0"/>
              </a:rPr>
              <a:t> the parameters value for the dynamic simulation of the vehicle. The woorkbook is connected with the "file.py" in wich the mathematical model is defined. The inserted values will be elaborated through Python scripts and the forces on significant points of the vehicle (i.e., pivots and oscillate attach points) will be given as output of the program.</a:t>
            </a:r>
            <a:endParaRPr lang="en-US" sz="1200">
              <a:effectLst/>
              <a:latin typeface="Courier New" panose="02070309020205020404" pitchFamily="49" charset="0"/>
              <a:cs typeface="Courier New" panose="02070309020205020404" pitchFamily="49" charset="0"/>
            </a:endParaRPr>
          </a:p>
          <a:p>
            <a:endParaRPr lang="en-US" sz="1100"/>
          </a:p>
        </xdr:txBody>
      </xdr:sp>
    </xdr:grpSp>
    <xdr:clientData/>
  </xdr:twoCellAnchor>
  <xdr:twoCellAnchor>
    <xdr:from>
      <xdr:col>4</xdr:col>
      <xdr:colOff>638175</xdr:colOff>
      <xdr:row>12</xdr:row>
      <xdr:rowOff>180975</xdr:rowOff>
    </xdr:from>
    <xdr:to>
      <xdr:col>16</xdr:col>
      <xdr:colOff>638175</xdr:colOff>
      <xdr:row>20</xdr:row>
      <xdr:rowOff>76200</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2695575" y="2781300"/>
          <a:ext cx="8229600" cy="1647825"/>
          <a:chOff x="2686050" y="2438400"/>
          <a:chExt cx="8229600" cy="1647825"/>
        </a:xfrm>
      </xdr:grpSpPr>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2781300" y="2438400"/>
            <a:ext cx="361950" cy="257175"/>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ourier New" panose="02070309020205020404" pitchFamily="49" charset="0"/>
                <a:cs typeface="Courier New" panose="02070309020205020404" pitchFamily="49" charset="0"/>
              </a:rPr>
              <a:t>2)</a:t>
            </a:r>
          </a:p>
        </xdr:txBody>
      </xdr:sp>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2686050" y="2714625"/>
            <a:ext cx="8229600" cy="137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dk1"/>
                </a:solidFill>
                <a:effectLst/>
                <a:latin typeface="Courier New" panose="02070309020205020404" pitchFamily="49" charset="0"/>
                <a:ea typeface="+mn-ea"/>
                <a:cs typeface="Courier New" panose="02070309020205020404" pitchFamily="49" charset="0"/>
              </a:rPr>
              <a:t>Each </a:t>
            </a:r>
            <a:r>
              <a:rPr lang="en-US" sz="1200" b="1">
                <a:solidFill>
                  <a:schemeClr val="dk1"/>
                </a:solidFill>
                <a:effectLst/>
                <a:latin typeface="Courier New" panose="02070309020205020404" pitchFamily="49" charset="0"/>
                <a:ea typeface="+mn-ea"/>
                <a:cs typeface="Courier New" panose="02070309020205020404" pitchFamily="49" charset="0"/>
              </a:rPr>
              <a:t>sheet</a:t>
            </a:r>
            <a:r>
              <a:rPr lang="en-US" sz="1200" b="0" baseline="0">
                <a:solidFill>
                  <a:schemeClr val="dk1"/>
                </a:solidFill>
                <a:effectLst/>
                <a:latin typeface="Courier New" panose="02070309020205020404" pitchFamily="49" charset="0"/>
                <a:ea typeface="+mn-ea"/>
                <a:cs typeface="Courier New" panose="02070309020205020404" pitchFamily="49" charset="0"/>
              </a:rPr>
              <a:t> of this woorkbook represents a </a:t>
            </a:r>
            <a:r>
              <a:rPr lang="en-US" sz="1200" b="1" i="1" baseline="0">
                <a:solidFill>
                  <a:schemeClr val="accent1">
                    <a:lumMod val="50000"/>
                  </a:schemeClr>
                </a:solidFill>
                <a:effectLst/>
                <a:latin typeface="Courier New" panose="02070309020205020404" pitchFamily="49" charset="0"/>
                <a:ea typeface="+mn-ea"/>
                <a:cs typeface="Courier New" panose="02070309020205020404" pitchFamily="49" charset="0"/>
              </a:rPr>
              <a:t>"</a:t>
            </a:r>
            <a:r>
              <a:rPr lang="en-US" sz="1400" b="1" i="1" baseline="0">
                <a:solidFill>
                  <a:schemeClr val="accent1">
                    <a:lumMod val="50000"/>
                  </a:schemeClr>
                </a:solidFill>
                <a:effectLst/>
                <a:latin typeface="Courier New" panose="02070309020205020404" pitchFamily="49" charset="0"/>
                <a:ea typeface="+mn-ea"/>
                <a:cs typeface="Courier New" panose="02070309020205020404" pitchFamily="49" charset="0"/>
              </a:rPr>
              <a:t>BODY</a:t>
            </a:r>
            <a:r>
              <a:rPr lang="en-US" sz="1200" b="1" i="1" baseline="0">
                <a:solidFill>
                  <a:schemeClr val="accent1">
                    <a:lumMod val="50000"/>
                  </a:schemeClr>
                </a:solidFill>
                <a:effectLst/>
                <a:latin typeface="Courier New" panose="02070309020205020404" pitchFamily="49" charset="0"/>
                <a:ea typeface="+mn-ea"/>
                <a:cs typeface="Courier New" panose="02070309020205020404" pitchFamily="49" charset="0"/>
              </a:rPr>
              <a:t>"</a:t>
            </a:r>
            <a:r>
              <a:rPr lang="en-US" sz="1200" b="0" baseline="0">
                <a:solidFill>
                  <a:schemeClr val="dk1"/>
                </a:solidFill>
                <a:effectLst/>
                <a:latin typeface="Courier New" panose="02070309020205020404" pitchFamily="49" charset="0"/>
                <a:ea typeface="+mn-ea"/>
                <a:cs typeface="Courier New" panose="02070309020205020404" pitchFamily="49" charset="0"/>
              </a:rPr>
              <a:t> that is used in the mathematical model. </a:t>
            </a:r>
            <a:endParaRPr lang="en-US" sz="1200">
              <a:effectLst/>
              <a:latin typeface="Courier New" panose="02070309020205020404" pitchFamily="49" charset="0"/>
              <a:cs typeface="Courier New" panose="02070309020205020404" pitchFamily="49" charset="0"/>
            </a:endParaRPr>
          </a:p>
          <a:p>
            <a:r>
              <a:rPr lang="en-US" sz="1200" b="0" baseline="0">
                <a:solidFill>
                  <a:schemeClr val="dk1"/>
                </a:solidFill>
                <a:effectLst/>
                <a:latin typeface="Courier New" panose="02070309020205020404" pitchFamily="49" charset="0"/>
                <a:ea typeface="+mn-ea"/>
                <a:cs typeface="Courier New" panose="02070309020205020404" pitchFamily="49" charset="0"/>
              </a:rPr>
              <a:t>For each body are required </a:t>
            </a:r>
            <a:r>
              <a:rPr lang="en-US" sz="1200" b="1" baseline="0">
                <a:solidFill>
                  <a:schemeClr val="accent1">
                    <a:lumMod val="50000"/>
                  </a:schemeClr>
                </a:solidFill>
                <a:effectLst/>
                <a:latin typeface="Courier New" panose="02070309020205020404" pitchFamily="49" charset="0"/>
                <a:ea typeface="+mn-ea"/>
                <a:cs typeface="Courier New" panose="02070309020205020404" pitchFamily="49" charset="0"/>
              </a:rPr>
              <a:t>few different parameters </a:t>
            </a:r>
            <a:r>
              <a:rPr lang="en-US" sz="1200" b="0" baseline="0">
                <a:solidFill>
                  <a:schemeClr val="dk1"/>
                </a:solidFill>
                <a:effectLst/>
                <a:latin typeface="Courier New" panose="02070309020205020404" pitchFamily="49" charset="0"/>
                <a:ea typeface="+mn-ea"/>
                <a:cs typeface="Courier New" panose="02070309020205020404" pitchFamily="49" charset="0"/>
              </a:rPr>
              <a:t>and the user need to provide all of them, otherwise the dynamic simulation can't be performed. </a:t>
            </a:r>
            <a:endParaRPr lang="en-US" sz="1200">
              <a:effectLst/>
              <a:latin typeface="Courier New" panose="02070309020205020404" pitchFamily="49" charset="0"/>
              <a:cs typeface="Courier New" panose="02070309020205020404" pitchFamily="49" charset="0"/>
            </a:endParaRPr>
          </a:p>
          <a:p>
            <a:endParaRPr lang="en-US" sz="1100"/>
          </a:p>
        </xdr:txBody>
      </xdr:sp>
    </xdr:grpSp>
    <xdr:clientData/>
  </xdr:twoCellAnchor>
  <xdr:twoCellAnchor>
    <xdr:from>
      <xdr:col>4</xdr:col>
      <xdr:colOff>657225</xdr:colOff>
      <xdr:row>19</xdr:row>
      <xdr:rowOff>0</xdr:rowOff>
    </xdr:from>
    <xdr:to>
      <xdr:col>16</xdr:col>
      <xdr:colOff>657225</xdr:colOff>
      <xdr:row>26</xdr:row>
      <xdr:rowOff>114300</xdr:rowOff>
    </xdr:to>
    <xdr:grpSp>
      <xdr:nvGrpSpPr>
        <xdr:cNvPr id="22" name="Group 21">
          <a:extLst>
            <a:ext uri="{FF2B5EF4-FFF2-40B4-BE49-F238E27FC236}">
              <a16:creationId xmlns:a16="http://schemas.microsoft.com/office/drawing/2014/main" id="{00000000-0008-0000-0000-000016000000}"/>
            </a:ext>
          </a:extLst>
        </xdr:cNvPr>
        <xdr:cNvGrpSpPr/>
      </xdr:nvGrpSpPr>
      <xdr:grpSpPr>
        <a:xfrm>
          <a:off x="2714625" y="4133850"/>
          <a:ext cx="8229600" cy="1647825"/>
          <a:chOff x="2857500" y="4267200"/>
          <a:chExt cx="8229600" cy="1647825"/>
        </a:xfrm>
      </xdr:grpSpPr>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2943225" y="4267200"/>
            <a:ext cx="361950" cy="257175"/>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ourier New" panose="02070309020205020404" pitchFamily="49" charset="0"/>
                <a:cs typeface="Courier New" panose="02070309020205020404" pitchFamily="49" charset="0"/>
              </a:rPr>
              <a:t>3)</a:t>
            </a:r>
          </a:p>
        </xdr:txBody>
      </xdr:sp>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2857500" y="4543425"/>
            <a:ext cx="8229600" cy="137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dk1"/>
                </a:solidFill>
                <a:effectLst/>
                <a:latin typeface="Courier New" panose="02070309020205020404" pitchFamily="49" charset="0"/>
                <a:ea typeface="+mn-ea"/>
                <a:cs typeface="Courier New" panose="02070309020205020404" pitchFamily="49" charset="0"/>
              </a:rPr>
              <a:t>The provided menu (on the left) has</a:t>
            </a:r>
            <a:r>
              <a:rPr lang="en-US" sz="1200" b="0" baseline="0">
                <a:solidFill>
                  <a:schemeClr val="dk1"/>
                </a:solidFill>
                <a:effectLst/>
                <a:latin typeface="Courier New" panose="02070309020205020404" pitchFamily="49" charset="0"/>
                <a:ea typeface="+mn-ea"/>
                <a:cs typeface="Courier New" panose="02070309020205020404" pitchFamily="49" charset="0"/>
              </a:rPr>
              <a:t> to be used to navigate through the various sheets. </a:t>
            </a:r>
            <a:endParaRPr lang="en-US" sz="1200">
              <a:effectLst/>
              <a:latin typeface="Courier New" panose="02070309020205020404" pitchFamily="49" charset="0"/>
              <a:cs typeface="Courier New" panose="02070309020205020404" pitchFamily="49" charset="0"/>
            </a:endParaRPr>
          </a:p>
          <a:p>
            <a:endParaRPr lang="en-US" sz="1100"/>
          </a:p>
        </xdr:txBody>
      </xdr:sp>
    </xdr:grpSp>
    <xdr:clientData/>
  </xdr:twoCellAnchor>
  <xdr:twoCellAnchor editAs="oneCell">
    <xdr:from>
      <xdr:col>8</xdr:col>
      <xdr:colOff>492283</xdr:colOff>
      <xdr:row>12</xdr:row>
      <xdr:rowOff>162303</xdr:rowOff>
    </xdr:from>
    <xdr:to>
      <xdr:col>20</xdr:col>
      <xdr:colOff>86067</xdr:colOff>
      <xdr:row>31</xdr:row>
      <xdr:rowOff>75081</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3">
          <a:alphaModFix amt="50000"/>
          <a:extLst>
            <a:ext uri="{28A0092B-C50C-407E-A947-70E740481C1C}">
              <a14:useLocalDpi xmlns:a14="http://schemas.microsoft.com/office/drawing/2010/main" val="0"/>
            </a:ext>
          </a:extLst>
        </a:blip>
        <a:stretch>
          <a:fillRect/>
        </a:stretch>
      </xdr:blipFill>
      <xdr:spPr>
        <a:xfrm rot="19771209">
          <a:off x="5292883" y="2762628"/>
          <a:ext cx="7823384" cy="4075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123825</xdr:colOff>
      <xdr:row>1</xdr:row>
      <xdr:rowOff>51661</xdr:rowOff>
    </xdr:from>
    <xdr:to>
      <xdr:col>3</xdr:col>
      <xdr:colOff>561974</xdr:colOff>
      <xdr:row>2</xdr:row>
      <xdr:rowOff>354067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51661"/>
          <a:ext cx="1809749" cy="521481"/>
        </a:xfrm>
        <a:prstGeom prst="rect">
          <a:avLst/>
        </a:prstGeom>
        <a:ln>
          <a:noFill/>
        </a:ln>
      </xdr:spPr>
    </xdr:pic>
    <xdr:clientData/>
  </xdr:twoCellAnchor>
  <xdr:twoCellAnchor editAs="absolute">
    <xdr:from>
      <xdr:col>1</xdr:col>
      <xdr:colOff>85726</xdr:colOff>
      <xdr:row>7</xdr:row>
      <xdr:rowOff>196444</xdr:rowOff>
    </xdr:from>
    <xdr:to>
      <xdr:col>1</xdr:col>
      <xdr:colOff>571500</xdr:colOff>
      <xdr:row>10</xdr:row>
      <xdr:rowOff>45666</xdr:rowOff>
    </xdr:to>
    <xdr:pic macro="[0]!Call_Python.Call_Python">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726" y="1701394"/>
          <a:ext cx="485774" cy="506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13</xdr:col>
      <xdr:colOff>84933</xdr:colOff>
      <xdr:row>5</xdr:row>
      <xdr:rowOff>46013</xdr:rowOff>
    </xdr:from>
    <xdr:to>
      <xdr:col>17</xdr:col>
      <xdr:colOff>895350</xdr:colOff>
      <xdr:row>27</xdr:row>
      <xdr:rowOff>109492</xdr:rowOff>
    </xdr:to>
    <xdr:grpSp>
      <xdr:nvGrpSpPr>
        <xdr:cNvPr id="20" name="Group 19">
          <a:extLst>
            <a:ext uri="{FF2B5EF4-FFF2-40B4-BE49-F238E27FC236}">
              <a16:creationId xmlns:a16="http://schemas.microsoft.com/office/drawing/2014/main" id="{00000000-0008-0000-0200-000014000000}"/>
            </a:ext>
          </a:extLst>
        </xdr:cNvPr>
        <xdr:cNvGrpSpPr>
          <a:grpSpLocks noChangeAspect="1"/>
        </xdr:cNvGrpSpPr>
      </xdr:nvGrpSpPr>
      <xdr:grpSpPr>
        <a:xfrm>
          <a:off x="9419433" y="1112813"/>
          <a:ext cx="3782217" cy="4883129"/>
          <a:chOff x="9730084" y="6256313"/>
          <a:chExt cx="3526409" cy="4706962"/>
        </a:xfrm>
      </xdr:grpSpPr>
      <xdr:grpSp>
        <xdr:nvGrpSpPr>
          <xdr:cNvPr id="56" name="Group 55">
            <a:extLst>
              <a:ext uri="{FF2B5EF4-FFF2-40B4-BE49-F238E27FC236}">
                <a16:creationId xmlns:a16="http://schemas.microsoft.com/office/drawing/2014/main" id="{00000000-0008-0000-0200-000038000000}"/>
              </a:ext>
            </a:extLst>
          </xdr:cNvPr>
          <xdr:cNvGrpSpPr/>
        </xdr:nvGrpSpPr>
        <xdr:grpSpPr>
          <a:xfrm>
            <a:off x="9730084" y="6256313"/>
            <a:ext cx="3526409" cy="4199895"/>
            <a:chOff x="9730084" y="6256313"/>
            <a:chExt cx="3526409" cy="4199895"/>
          </a:xfrm>
        </xdr:grpSpPr>
        <xdr:graphicFrame macro="">
          <xdr:nvGraphicFramePr>
            <xdr:cNvPr id="35" name="Chart 34">
              <a:extLst>
                <a:ext uri="{FF2B5EF4-FFF2-40B4-BE49-F238E27FC236}">
                  <a16:creationId xmlns:a16="http://schemas.microsoft.com/office/drawing/2014/main" id="{00000000-0008-0000-0200-000023000000}"/>
                </a:ext>
              </a:extLst>
            </xdr:cNvPr>
            <xdr:cNvGraphicFramePr>
              <a:graphicFrameLocks noChangeAspect="1"/>
            </xdr:cNvGraphicFramePr>
          </xdr:nvGraphicFramePr>
          <xdr:xfrm>
            <a:off x="10046349" y="6838950"/>
            <a:ext cx="2963772" cy="3617258"/>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42" name="TextBox 41">
              <a:extLst>
                <a:ext uri="{FF2B5EF4-FFF2-40B4-BE49-F238E27FC236}">
                  <a16:creationId xmlns:a16="http://schemas.microsoft.com/office/drawing/2014/main" id="{00000000-0008-0000-0200-00002A000000}"/>
                </a:ext>
              </a:extLst>
            </xdr:cNvPr>
            <xdr:cNvSpPr txBox="1"/>
          </xdr:nvSpPr>
          <xdr:spPr>
            <a:xfrm>
              <a:off x="9730084" y="6256313"/>
              <a:ext cx="3526409" cy="3170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800" b="1" i="1">
                  <a:solidFill>
                    <a:schemeClr val="accent1">
                      <a:lumMod val="75000"/>
                    </a:schemeClr>
                  </a:solidFill>
                  <a:latin typeface="Courier New" panose="02070309020205020404" pitchFamily="49" charset="0"/>
                  <a:cs typeface="Courier New" panose="02070309020205020404" pitchFamily="49" charset="0"/>
                </a:rPr>
                <a:t>CoG LOCATION xy PLANE</a:t>
              </a:r>
            </a:p>
          </xdr:txBody>
        </xdr:sp>
      </xdr:grpSp>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1087100" y="10658475"/>
            <a:ext cx="885825"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400" b="0" i="0">
                <a:latin typeface="Courier New" panose="02070309020205020404" pitchFamily="49" charset="0"/>
                <a:cs typeface="Courier New" panose="02070309020205020404" pitchFamily="49" charset="0"/>
              </a:rPr>
              <a:t>Y</a:t>
            </a:r>
            <a:r>
              <a:rPr lang="it-IT" sz="1400" b="0" i="0"/>
              <a:t> </a:t>
            </a:r>
            <a:r>
              <a:rPr lang="it-IT" sz="1400" b="0" i="0">
                <a:solidFill>
                  <a:schemeClr val="dk1"/>
                </a:solidFill>
                <a:latin typeface="Courier New" panose="02070309020205020404" pitchFamily="49" charset="0"/>
                <a:ea typeface="+mn-ea"/>
                <a:cs typeface="Courier New" panose="02070309020205020404" pitchFamily="49" charset="0"/>
              </a:rPr>
              <a:t>AXIS</a:t>
            </a:r>
          </a:p>
        </xdr:txBody>
      </xdr:sp>
      <xdr:sp macro="" textlink="">
        <xdr:nvSpPr>
          <xdr:cNvPr id="11" name="TextBox 10">
            <a:extLst>
              <a:ext uri="{FF2B5EF4-FFF2-40B4-BE49-F238E27FC236}">
                <a16:creationId xmlns:a16="http://schemas.microsoft.com/office/drawing/2014/main" id="{00000000-0008-0000-0200-00000B000000}"/>
              </a:ext>
            </a:extLst>
          </xdr:cNvPr>
          <xdr:cNvSpPr txBox="1"/>
        </xdr:nvSpPr>
        <xdr:spPr>
          <a:xfrm rot="16200000">
            <a:off x="9431644" y="8053213"/>
            <a:ext cx="985838"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400" b="0" i="0">
                <a:latin typeface="Courier New" panose="02070309020205020404" pitchFamily="49" charset="0"/>
                <a:cs typeface="Courier New" panose="02070309020205020404" pitchFamily="49" charset="0"/>
              </a:rPr>
              <a:t>X AXIS</a:t>
            </a:r>
          </a:p>
        </xdr:txBody>
      </xdr:sp>
    </xdr:grpSp>
    <xdr:clientData/>
  </xdr:twoCellAnchor>
  <xdr:twoCellAnchor editAs="oneCell">
    <xdr:from>
      <xdr:col>9</xdr:col>
      <xdr:colOff>1106833</xdr:colOff>
      <xdr:row>29</xdr:row>
      <xdr:rowOff>213276</xdr:rowOff>
    </xdr:from>
    <xdr:to>
      <xdr:col>20</xdr:col>
      <xdr:colOff>1059203</xdr:colOff>
      <xdr:row>45</xdr:row>
      <xdr:rowOff>151077</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cstate="print">
          <a:alphaModFix amt="50000"/>
          <a:extLst>
            <a:ext uri="{28A0092B-C50C-407E-A947-70E740481C1C}">
              <a14:useLocalDpi xmlns:a14="http://schemas.microsoft.com/office/drawing/2010/main" val="0"/>
            </a:ext>
          </a:extLst>
        </a:blip>
        <a:stretch>
          <a:fillRect/>
        </a:stretch>
      </xdr:blipFill>
      <xdr:spPr>
        <a:xfrm rot="20353101">
          <a:off x="7431433" y="6537876"/>
          <a:ext cx="7810495" cy="3443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123825</xdr:colOff>
      <xdr:row>1</xdr:row>
      <xdr:rowOff>51661</xdr:rowOff>
    </xdr:from>
    <xdr:to>
      <xdr:col>3</xdr:col>
      <xdr:colOff>561974</xdr:colOff>
      <xdr:row>2</xdr:row>
      <xdr:rowOff>354067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51661"/>
          <a:ext cx="1809749" cy="521481"/>
        </a:xfrm>
        <a:prstGeom prst="rect">
          <a:avLst/>
        </a:prstGeom>
        <a:ln>
          <a:noFill/>
        </a:ln>
      </xdr:spPr>
    </xdr:pic>
    <xdr:clientData/>
  </xdr:twoCellAnchor>
  <xdr:twoCellAnchor editAs="absolute">
    <xdr:from>
      <xdr:col>1</xdr:col>
      <xdr:colOff>85726</xdr:colOff>
      <xdr:row>7</xdr:row>
      <xdr:rowOff>196444</xdr:rowOff>
    </xdr:from>
    <xdr:to>
      <xdr:col>1</xdr:col>
      <xdr:colOff>571500</xdr:colOff>
      <xdr:row>10</xdr:row>
      <xdr:rowOff>45666</xdr:rowOff>
    </xdr:to>
    <xdr:pic macro="[0]!Call_Python.Call_Python">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726" y="1701394"/>
          <a:ext cx="485774" cy="506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457199</xdr:colOff>
      <xdr:row>12</xdr:row>
      <xdr:rowOff>44099</xdr:rowOff>
    </xdr:from>
    <xdr:to>
      <xdr:col>19</xdr:col>
      <xdr:colOff>483834</xdr:colOff>
      <xdr:row>26</xdr:row>
      <xdr:rowOff>206024</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alphaModFix amt="50000"/>
          <a:extLst>
            <a:ext uri="{28A0092B-C50C-407E-A947-70E740481C1C}">
              <a14:useLocalDpi xmlns:a14="http://schemas.microsoft.com/office/drawing/2010/main" val="0"/>
            </a:ext>
          </a:extLst>
        </a:blip>
        <a:stretch>
          <a:fillRect/>
        </a:stretch>
      </xdr:blipFill>
      <xdr:spPr>
        <a:xfrm rot="19771209">
          <a:off x="6629399" y="2644424"/>
          <a:ext cx="6198835" cy="32289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123825</xdr:colOff>
      <xdr:row>1</xdr:row>
      <xdr:rowOff>51661</xdr:rowOff>
    </xdr:from>
    <xdr:to>
      <xdr:col>3</xdr:col>
      <xdr:colOff>561974</xdr:colOff>
      <xdr:row>2</xdr:row>
      <xdr:rowOff>354067</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51661"/>
          <a:ext cx="1809749" cy="521481"/>
        </a:xfrm>
        <a:prstGeom prst="rect">
          <a:avLst/>
        </a:prstGeom>
        <a:ln>
          <a:noFill/>
        </a:ln>
      </xdr:spPr>
    </xdr:pic>
    <xdr:clientData/>
  </xdr:twoCellAnchor>
  <xdr:twoCellAnchor editAs="absolute">
    <xdr:from>
      <xdr:col>1</xdr:col>
      <xdr:colOff>85726</xdr:colOff>
      <xdr:row>7</xdr:row>
      <xdr:rowOff>196444</xdr:rowOff>
    </xdr:from>
    <xdr:to>
      <xdr:col>1</xdr:col>
      <xdr:colOff>571500</xdr:colOff>
      <xdr:row>10</xdr:row>
      <xdr:rowOff>45666</xdr:rowOff>
    </xdr:to>
    <xdr:pic macro="[0]!Call_Python.Call_Python">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726" y="1701394"/>
          <a:ext cx="485774" cy="506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295275</xdr:colOff>
      <xdr:row>13</xdr:row>
      <xdr:rowOff>47625</xdr:rowOff>
    </xdr:from>
    <xdr:to>
      <xdr:col>8</xdr:col>
      <xdr:colOff>1152525</xdr:colOff>
      <xdr:row>15</xdr:row>
      <xdr:rowOff>85725</xdr:rowOff>
    </xdr:to>
    <xdr:grpSp>
      <xdr:nvGrpSpPr>
        <xdr:cNvPr id="4" name="Group 3">
          <a:extLst>
            <a:ext uri="{FF2B5EF4-FFF2-40B4-BE49-F238E27FC236}">
              <a16:creationId xmlns:a16="http://schemas.microsoft.com/office/drawing/2014/main" id="{00000000-0008-0000-0300-000004000000}"/>
            </a:ext>
          </a:extLst>
        </xdr:cNvPr>
        <xdr:cNvGrpSpPr>
          <a:grpSpLocks noChangeAspect="1"/>
        </xdr:cNvGrpSpPr>
      </xdr:nvGrpSpPr>
      <xdr:grpSpPr>
        <a:xfrm>
          <a:off x="3752850" y="2867025"/>
          <a:ext cx="2762250" cy="476250"/>
          <a:chOff x="1390650" y="3667125"/>
          <a:chExt cx="2762250" cy="476250"/>
        </a:xfrm>
      </xdr:grpSpPr>
      <xdr:sp macro="" textlink="">
        <xdr:nvSpPr>
          <xdr:cNvPr id="5" name="Arrow: Up 4">
            <a:extLst>
              <a:ext uri="{FF2B5EF4-FFF2-40B4-BE49-F238E27FC236}">
                <a16:creationId xmlns:a16="http://schemas.microsoft.com/office/drawing/2014/main" id="{00000000-0008-0000-0300-000005000000}"/>
              </a:ext>
            </a:extLst>
          </xdr:cNvPr>
          <xdr:cNvSpPr/>
        </xdr:nvSpPr>
        <xdr:spPr>
          <a:xfrm>
            <a:off x="1390650" y="3667125"/>
            <a:ext cx="342900" cy="466725"/>
          </a:xfrm>
          <a:prstGeom prst="upArrow">
            <a:avLst/>
          </a:prstGeom>
          <a:solidFill>
            <a:srgbClr val="FFC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1485900" y="3848100"/>
            <a:ext cx="26670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latin typeface="Courier New" panose="02070309020205020404" pitchFamily="49" charset="0"/>
                <a:cs typeface="Courier New" panose="02070309020205020404" pitchFamily="49" charset="0"/>
              </a:rPr>
              <a:t>INSERT</a:t>
            </a:r>
            <a:r>
              <a:rPr lang="en-US" sz="1100" b="1" baseline="0">
                <a:latin typeface="Courier New" panose="02070309020205020404" pitchFamily="49" charset="0"/>
                <a:cs typeface="Courier New" panose="02070309020205020404" pitchFamily="49" charset="0"/>
              </a:rPr>
              <a:t> HERE THE INPUT DATA </a:t>
            </a:r>
            <a:endParaRPr lang="en-US" sz="1100" b="1">
              <a:latin typeface="Courier New" panose="02070309020205020404" pitchFamily="49" charset="0"/>
              <a:cs typeface="Courier New" panose="02070309020205020404" pitchFamily="49"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123825</xdr:colOff>
      <xdr:row>1</xdr:row>
      <xdr:rowOff>51661</xdr:rowOff>
    </xdr:from>
    <xdr:to>
      <xdr:col>3</xdr:col>
      <xdr:colOff>561974</xdr:colOff>
      <xdr:row>2</xdr:row>
      <xdr:rowOff>354067</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51661"/>
          <a:ext cx="1809749" cy="521481"/>
        </a:xfrm>
        <a:prstGeom prst="rect">
          <a:avLst/>
        </a:prstGeom>
        <a:ln>
          <a:noFill/>
        </a:ln>
      </xdr:spPr>
    </xdr:pic>
    <xdr:clientData/>
  </xdr:twoCellAnchor>
  <xdr:twoCellAnchor editAs="absolute">
    <xdr:from>
      <xdr:col>1</xdr:col>
      <xdr:colOff>85726</xdr:colOff>
      <xdr:row>7</xdr:row>
      <xdr:rowOff>196444</xdr:rowOff>
    </xdr:from>
    <xdr:to>
      <xdr:col>1</xdr:col>
      <xdr:colOff>571500</xdr:colOff>
      <xdr:row>10</xdr:row>
      <xdr:rowOff>45666</xdr:rowOff>
    </xdr:to>
    <xdr:pic macro="[0]!Call_Python.Call_Python">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726" y="1701394"/>
          <a:ext cx="485774" cy="506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295275</xdr:colOff>
      <xdr:row>19</xdr:row>
      <xdr:rowOff>47625</xdr:rowOff>
    </xdr:from>
    <xdr:to>
      <xdr:col>8</xdr:col>
      <xdr:colOff>1152525</xdr:colOff>
      <xdr:row>21</xdr:row>
      <xdr:rowOff>85725</xdr:rowOff>
    </xdr:to>
    <xdr:grpSp>
      <xdr:nvGrpSpPr>
        <xdr:cNvPr id="4" name="Group 3">
          <a:extLst>
            <a:ext uri="{FF2B5EF4-FFF2-40B4-BE49-F238E27FC236}">
              <a16:creationId xmlns:a16="http://schemas.microsoft.com/office/drawing/2014/main" id="{00000000-0008-0000-0400-000004000000}"/>
            </a:ext>
          </a:extLst>
        </xdr:cNvPr>
        <xdr:cNvGrpSpPr>
          <a:grpSpLocks noChangeAspect="1"/>
        </xdr:cNvGrpSpPr>
      </xdr:nvGrpSpPr>
      <xdr:grpSpPr>
        <a:xfrm>
          <a:off x="3752850" y="4181475"/>
          <a:ext cx="2762250" cy="476250"/>
          <a:chOff x="1390650" y="3667125"/>
          <a:chExt cx="2762250" cy="476250"/>
        </a:xfrm>
      </xdr:grpSpPr>
      <xdr:sp macro="" textlink="">
        <xdr:nvSpPr>
          <xdr:cNvPr id="5" name="Arrow: Up 4">
            <a:extLst>
              <a:ext uri="{FF2B5EF4-FFF2-40B4-BE49-F238E27FC236}">
                <a16:creationId xmlns:a16="http://schemas.microsoft.com/office/drawing/2014/main" id="{00000000-0008-0000-0400-000005000000}"/>
              </a:ext>
            </a:extLst>
          </xdr:cNvPr>
          <xdr:cNvSpPr/>
        </xdr:nvSpPr>
        <xdr:spPr>
          <a:xfrm>
            <a:off x="1390650" y="3667125"/>
            <a:ext cx="342900" cy="466725"/>
          </a:xfrm>
          <a:prstGeom prst="upArrow">
            <a:avLst/>
          </a:prstGeom>
          <a:solidFill>
            <a:srgbClr val="FFC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1485900" y="3848100"/>
            <a:ext cx="26670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latin typeface="Courier New" panose="02070309020205020404" pitchFamily="49" charset="0"/>
                <a:cs typeface="Courier New" panose="02070309020205020404" pitchFamily="49" charset="0"/>
              </a:rPr>
              <a:t>INSERT</a:t>
            </a:r>
            <a:r>
              <a:rPr lang="en-US" sz="1100" b="1" baseline="0">
                <a:latin typeface="Courier New" panose="02070309020205020404" pitchFamily="49" charset="0"/>
                <a:cs typeface="Courier New" panose="02070309020205020404" pitchFamily="49" charset="0"/>
              </a:rPr>
              <a:t> HERE THE INPUT DATA </a:t>
            </a:r>
            <a:endParaRPr lang="en-US" sz="1100" b="1">
              <a:latin typeface="Courier New" panose="02070309020205020404" pitchFamily="49" charset="0"/>
              <a:cs typeface="Courier New" panose="02070309020205020404" pitchFamily="49" charset="0"/>
            </a:endParaRPr>
          </a:p>
        </xdr:txBody>
      </xdr:sp>
    </xdr:grpSp>
    <xdr:clientData/>
  </xdr:twoCellAnchor>
  <xdr:twoCellAnchor editAs="absolute">
    <xdr:from>
      <xdr:col>52</xdr:col>
      <xdr:colOff>411255</xdr:colOff>
      <xdr:row>17</xdr:row>
      <xdr:rowOff>7764</xdr:rowOff>
    </xdr:from>
    <xdr:to>
      <xdr:col>62</xdr:col>
      <xdr:colOff>293068</xdr:colOff>
      <xdr:row>47</xdr:row>
      <xdr:rowOff>46788</xdr:rowOff>
    </xdr:to>
    <xdr:pic>
      <xdr:nvPicPr>
        <xdr:cNvPr id="13" name="DRIVE_CHASSIS_FRONTAL">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7968330" y="3703464"/>
          <a:ext cx="6739813" cy="6611274"/>
        </a:xfrm>
        <a:prstGeom prst="rect">
          <a:avLst/>
        </a:prstGeom>
      </xdr:spPr>
    </xdr:pic>
    <xdr:clientData/>
  </xdr:twoCellAnchor>
  <xdr:twoCellAnchor editAs="absolute">
    <xdr:from>
      <xdr:col>70</xdr:col>
      <xdr:colOff>485774</xdr:colOff>
      <xdr:row>2</xdr:row>
      <xdr:rowOff>85722</xdr:rowOff>
    </xdr:from>
    <xdr:to>
      <xdr:col>73</xdr:col>
      <xdr:colOff>266699</xdr:colOff>
      <xdr:row>4</xdr:row>
      <xdr:rowOff>200025</xdr:rowOff>
    </xdr:to>
    <xdr:grpSp>
      <xdr:nvGrpSpPr>
        <xdr:cNvPr id="9" name="BACK_TO_DATA_BUTTON">
          <a:extLst>
            <a:ext uri="{FF2B5EF4-FFF2-40B4-BE49-F238E27FC236}">
              <a16:creationId xmlns:a16="http://schemas.microsoft.com/office/drawing/2014/main" id="{00000000-0008-0000-0400-000009000000}"/>
            </a:ext>
          </a:extLst>
        </xdr:cNvPr>
        <xdr:cNvGrpSpPr>
          <a:grpSpLocks noChangeAspect="1"/>
        </xdr:cNvGrpSpPr>
      </xdr:nvGrpSpPr>
      <xdr:grpSpPr>
        <a:xfrm>
          <a:off x="50387249" y="304797"/>
          <a:ext cx="1838325" cy="742953"/>
          <a:chOff x="28184474" y="180972"/>
          <a:chExt cx="1838325" cy="742953"/>
        </a:xfrm>
      </xdr:grpSpPr>
      <xdr:sp macro="[0]!BACK_TO_INPUT" textlink="">
        <xdr:nvSpPr>
          <xdr:cNvPr id="8" name="TextBox 7">
            <a:extLst>
              <a:ext uri="{FF2B5EF4-FFF2-40B4-BE49-F238E27FC236}">
                <a16:creationId xmlns:a16="http://schemas.microsoft.com/office/drawing/2014/main" id="{00000000-0008-0000-0400-000008000000}"/>
              </a:ext>
            </a:extLst>
          </xdr:cNvPr>
          <xdr:cNvSpPr txBox="1"/>
        </xdr:nvSpPr>
        <xdr:spPr>
          <a:xfrm>
            <a:off x="28184474" y="647700"/>
            <a:ext cx="1838325"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200" b="1">
                <a:solidFill>
                  <a:schemeClr val="accent1"/>
                </a:solidFill>
                <a:latin typeface="Courier New" panose="02070309020205020404" pitchFamily="49" charset="0"/>
                <a:cs typeface="Courier New" panose="02070309020205020404" pitchFamily="49" charset="0"/>
              </a:rPr>
              <a:t>Back To Data</a:t>
            </a:r>
            <a:r>
              <a:rPr lang="it-IT" sz="1200" b="1" baseline="0">
                <a:solidFill>
                  <a:schemeClr val="accent1"/>
                </a:solidFill>
                <a:latin typeface="Courier New" panose="02070309020205020404" pitchFamily="49" charset="0"/>
                <a:cs typeface="Courier New" panose="02070309020205020404" pitchFamily="49" charset="0"/>
              </a:rPr>
              <a:t> Input</a:t>
            </a:r>
            <a:endParaRPr lang="it-IT" sz="1200" b="1">
              <a:solidFill>
                <a:schemeClr val="accent1"/>
              </a:solidFill>
              <a:latin typeface="Courier New" panose="02070309020205020404" pitchFamily="49" charset="0"/>
              <a:cs typeface="Courier New" panose="02070309020205020404" pitchFamily="49" charset="0"/>
            </a:endParaRPr>
          </a:p>
        </xdr:txBody>
      </xdr:sp>
      <xdr:sp macro="[0]!BACK_TO_INPUT" textlink="">
        <xdr:nvSpPr>
          <xdr:cNvPr id="15" name="Arrow: Chevron 14">
            <a:extLst>
              <a:ext uri="{FF2B5EF4-FFF2-40B4-BE49-F238E27FC236}">
                <a16:creationId xmlns:a16="http://schemas.microsoft.com/office/drawing/2014/main" id="{00000000-0008-0000-0400-00000F000000}"/>
              </a:ext>
            </a:extLst>
          </xdr:cNvPr>
          <xdr:cNvSpPr/>
        </xdr:nvSpPr>
        <xdr:spPr>
          <a:xfrm rot="10800000">
            <a:off x="29684346"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17" name="Arrow: Chevron 16">
            <a:extLst>
              <a:ext uri="{FF2B5EF4-FFF2-40B4-BE49-F238E27FC236}">
                <a16:creationId xmlns:a16="http://schemas.microsoft.com/office/drawing/2014/main" id="{00000000-0008-0000-0400-000011000000}"/>
              </a:ext>
            </a:extLst>
          </xdr:cNvPr>
          <xdr:cNvSpPr/>
        </xdr:nvSpPr>
        <xdr:spPr>
          <a:xfrm rot="10800000">
            <a:off x="29498923"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18" name="Arrow: Chevron 17">
            <a:extLst>
              <a:ext uri="{FF2B5EF4-FFF2-40B4-BE49-F238E27FC236}">
                <a16:creationId xmlns:a16="http://schemas.microsoft.com/office/drawing/2014/main" id="{00000000-0008-0000-0400-000012000000}"/>
              </a:ext>
            </a:extLst>
          </xdr:cNvPr>
          <xdr:cNvSpPr/>
        </xdr:nvSpPr>
        <xdr:spPr>
          <a:xfrm rot="10800000">
            <a:off x="29316438"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grpSp>
    <xdr:clientData/>
  </xdr:twoCellAnchor>
  <xdr:twoCellAnchor editAs="oneCell">
    <xdr:from>
      <xdr:col>53</xdr:col>
      <xdr:colOff>9524</xdr:colOff>
      <xdr:row>0</xdr:row>
      <xdr:rowOff>0</xdr:rowOff>
    </xdr:from>
    <xdr:to>
      <xdr:col>70</xdr:col>
      <xdr:colOff>264039</xdr:colOff>
      <xdr:row>15</xdr:row>
      <xdr:rowOff>76200</xdr:rowOff>
    </xdr:to>
    <xdr:pic>
      <xdr:nvPicPr>
        <xdr:cNvPr id="12" name="DRIVE_CHASSIS_LATERAL">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7966649" y="0"/>
          <a:ext cx="11913115" cy="3333750"/>
        </a:xfrm>
        <a:prstGeom prst="rect">
          <a:avLst/>
        </a:prstGeom>
      </xdr:spPr>
    </xdr:pic>
    <xdr:clientData/>
  </xdr:twoCellAnchor>
  <xdr:twoCellAnchor editAs="oneCell">
    <xdr:from>
      <xdr:col>11</xdr:col>
      <xdr:colOff>9525</xdr:colOff>
      <xdr:row>2</xdr:row>
      <xdr:rowOff>104775</xdr:rowOff>
    </xdr:from>
    <xdr:to>
      <xdr:col>15</xdr:col>
      <xdr:colOff>28575</xdr:colOff>
      <xdr:row>5</xdr:row>
      <xdr:rowOff>3</xdr:rowOff>
    </xdr:to>
    <xdr:grpSp>
      <xdr:nvGrpSpPr>
        <xdr:cNvPr id="39" name="BACK_TO_DATA_BUTTON">
          <a:extLst>
            <a:ext uri="{FF2B5EF4-FFF2-40B4-BE49-F238E27FC236}">
              <a16:creationId xmlns:a16="http://schemas.microsoft.com/office/drawing/2014/main" id="{00000000-0008-0000-0400-000027000000}"/>
            </a:ext>
          </a:extLst>
        </xdr:cNvPr>
        <xdr:cNvGrpSpPr>
          <a:grpSpLocks noChangeAspect="1"/>
        </xdr:cNvGrpSpPr>
      </xdr:nvGrpSpPr>
      <xdr:grpSpPr>
        <a:xfrm>
          <a:off x="8639175" y="323850"/>
          <a:ext cx="3209925" cy="742953"/>
          <a:chOff x="27679649" y="180972"/>
          <a:chExt cx="3209925" cy="742953"/>
        </a:xfrm>
      </xdr:grpSpPr>
      <xdr:sp macro="[0]!TO_REF_SCHEME" textlink="">
        <xdr:nvSpPr>
          <xdr:cNvPr id="40" name="TextBox 39">
            <a:extLst>
              <a:ext uri="{FF2B5EF4-FFF2-40B4-BE49-F238E27FC236}">
                <a16:creationId xmlns:a16="http://schemas.microsoft.com/office/drawing/2014/main" id="{00000000-0008-0000-0400-000028000000}"/>
              </a:ext>
            </a:extLst>
          </xdr:cNvPr>
          <xdr:cNvSpPr txBox="1"/>
        </xdr:nvSpPr>
        <xdr:spPr>
          <a:xfrm>
            <a:off x="27679649" y="647700"/>
            <a:ext cx="3209925" cy="276225"/>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it-IT" sz="1200" b="1" i="0" u="none" strike="noStrike" kern="0" cap="none" spc="0" normalizeH="0" baseline="0" noProof="0">
                <a:ln>
                  <a:noFill/>
                </a:ln>
                <a:solidFill>
                  <a:srgbClr val="4472C4"/>
                </a:solidFill>
                <a:effectLst/>
                <a:uLnTx/>
                <a:uFillTx/>
                <a:latin typeface="Courier New" panose="02070309020205020404" pitchFamily="49" charset="0"/>
                <a:ea typeface="+mn-ea"/>
                <a:cs typeface="Courier New" panose="02070309020205020404" pitchFamily="49" charset="0"/>
              </a:rPr>
              <a:t>To Drive Chassi Reference Scheme</a:t>
            </a:r>
          </a:p>
        </xdr:txBody>
      </xdr:sp>
      <xdr:sp macro="[0]!TO_REF_SCHEME" textlink="">
        <xdr:nvSpPr>
          <xdr:cNvPr id="41" name="Arrow: Chevron 40">
            <a:extLst>
              <a:ext uri="{FF2B5EF4-FFF2-40B4-BE49-F238E27FC236}">
                <a16:creationId xmlns:a16="http://schemas.microsoft.com/office/drawing/2014/main" id="{00000000-0008-0000-0400-000029000000}"/>
              </a:ext>
            </a:extLst>
          </xdr:cNvPr>
          <xdr:cNvSpPr/>
        </xdr:nvSpPr>
        <xdr:spPr>
          <a:xfrm>
            <a:off x="28122246"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0]!TO_REF_SCHEME" textlink="">
        <xdr:nvSpPr>
          <xdr:cNvPr id="42" name="Arrow: Chevron 41">
            <a:extLst>
              <a:ext uri="{FF2B5EF4-FFF2-40B4-BE49-F238E27FC236}">
                <a16:creationId xmlns:a16="http://schemas.microsoft.com/office/drawing/2014/main" id="{00000000-0008-0000-0400-00002A000000}"/>
              </a:ext>
            </a:extLst>
          </xdr:cNvPr>
          <xdr:cNvSpPr/>
        </xdr:nvSpPr>
        <xdr:spPr>
          <a:xfrm>
            <a:off x="27936823"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0]!TO_REF_SCHEME" textlink="">
        <xdr:nvSpPr>
          <xdr:cNvPr id="43" name="Arrow: Chevron 42">
            <a:extLst>
              <a:ext uri="{FF2B5EF4-FFF2-40B4-BE49-F238E27FC236}">
                <a16:creationId xmlns:a16="http://schemas.microsoft.com/office/drawing/2014/main" id="{00000000-0008-0000-0400-00002B000000}"/>
              </a:ext>
            </a:extLst>
          </xdr:cNvPr>
          <xdr:cNvSpPr/>
        </xdr:nvSpPr>
        <xdr:spPr>
          <a:xfrm>
            <a:off x="27754338"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5</xdr:col>
      <xdr:colOff>0</xdr:colOff>
      <xdr:row>24</xdr:row>
      <xdr:rowOff>38100</xdr:rowOff>
    </xdr:from>
    <xdr:to>
      <xdr:col>10</xdr:col>
      <xdr:colOff>256500</xdr:colOff>
      <xdr:row>41</xdr:row>
      <xdr:rowOff>18935</xdr:rowOff>
    </xdr:to>
    <xdr:grpSp>
      <xdr:nvGrpSpPr>
        <xdr:cNvPr id="10" name="Group 9">
          <a:extLst>
            <a:ext uri="{FF2B5EF4-FFF2-40B4-BE49-F238E27FC236}">
              <a16:creationId xmlns:a16="http://schemas.microsoft.com/office/drawing/2014/main" id="{00000000-0008-0000-0400-00000A000000}"/>
            </a:ext>
          </a:extLst>
        </xdr:cNvPr>
        <xdr:cNvGrpSpPr/>
      </xdr:nvGrpSpPr>
      <xdr:grpSpPr>
        <a:xfrm>
          <a:off x="2743200" y="5267325"/>
          <a:ext cx="5400000" cy="3705110"/>
          <a:chOff x="2743200" y="5267325"/>
          <a:chExt cx="5400000" cy="3705110"/>
        </a:xfrm>
      </xdr:grpSpPr>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5"/>
          <a:stretch>
            <a:fillRect/>
          </a:stretch>
        </xdr:blipFill>
        <xdr:spPr>
          <a:xfrm>
            <a:off x="2743200" y="5267325"/>
            <a:ext cx="5400000" cy="3705110"/>
          </a:xfrm>
          <a:prstGeom prst="rect">
            <a:avLst/>
          </a:prstGeom>
        </xdr:spPr>
      </xdr:pic>
      <xdr:pic>
        <xdr:nvPicPr>
          <xdr:cNvPr id="7" name="Graphic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743200" y="5267325"/>
            <a:ext cx="3095625" cy="34290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123825</xdr:colOff>
      <xdr:row>1</xdr:row>
      <xdr:rowOff>51661</xdr:rowOff>
    </xdr:from>
    <xdr:to>
      <xdr:col>3</xdr:col>
      <xdr:colOff>561974</xdr:colOff>
      <xdr:row>2</xdr:row>
      <xdr:rowOff>354067</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51661"/>
          <a:ext cx="1809749" cy="521481"/>
        </a:xfrm>
        <a:prstGeom prst="rect">
          <a:avLst/>
        </a:prstGeom>
        <a:ln>
          <a:noFill/>
        </a:ln>
      </xdr:spPr>
    </xdr:pic>
    <xdr:clientData/>
  </xdr:twoCellAnchor>
  <xdr:twoCellAnchor editAs="absolute">
    <xdr:from>
      <xdr:col>1</xdr:col>
      <xdr:colOff>85726</xdr:colOff>
      <xdr:row>7</xdr:row>
      <xdr:rowOff>196444</xdr:rowOff>
    </xdr:from>
    <xdr:to>
      <xdr:col>1</xdr:col>
      <xdr:colOff>571500</xdr:colOff>
      <xdr:row>10</xdr:row>
      <xdr:rowOff>45666</xdr:rowOff>
    </xdr:to>
    <xdr:pic macro="[0]!Call_Python.Call_Python">
      <xdr:nvPicPr>
        <xdr:cNvPr id="3" name="Picture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726" y="1701394"/>
          <a:ext cx="485774" cy="506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295275</xdr:colOff>
      <xdr:row>19</xdr:row>
      <xdr:rowOff>47625</xdr:rowOff>
    </xdr:from>
    <xdr:to>
      <xdr:col>8</xdr:col>
      <xdr:colOff>1152525</xdr:colOff>
      <xdr:row>21</xdr:row>
      <xdr:rowOff>85725</xdr:rowOff>
    </xdr:to>
    <xdr:grpSp>
      <xdr:nvGrpSpPr>
        <xdr:cNvPr id="4" name="Group 3">
          <a:extLst>
            <a:ext uri="{FF2B5EF4-FFF2-40B4-BE49-F238E27FC236}">
              <a16:creationId xmlns:a16="http://schemas.microsoft.com/office/drawing/2014/main" id="{00000000-0008-0000-0500-000004000000}"/>
            </a:ext>
          </a:extLst>
        </xdr:cNvPr>
        <xdr:cNvGrpSpPr>
          <a:grpSpLocks noChangeAspect="1"/>
        </xdr:cNvGrpSpPr>
      </xdr:nvGrpSpPr>
      <xdr:grpSpPr>
        <a:xfrm>
          <a:off x="3752850" y="4181475"/>
          <a:ext cx="2762250" cy="476250"/>
          <a:chOff x="1390650" y="3667125"/>
          <a:chExt cx="2762250" cy="476250"/>
        </a:xfrm>
      </xdr:grpSpPr>
      <xdr:sp macro="" textlink="">
        <xdr:nvSpPr>
          <xdr:cNvPr id="5" name="Arrow: Up 4">
            <a:extLst>
              <a:ext uri="{FF2B5EF4-FFF2-40B4-BE49-F238E27FC236}">
                <a16:creationId xmlns:a16="http://schemas.microsoft.com/office/drawing/2014/main" id="{00000000-0008-0000-0500-000005000000}"/>
              </a:ext>
            </a:extLst>
          </xdr:cNvPr>
          <xdr:cNvSpPr/>
        </xdr:nvSpPr>
        <xdr:spPr>
          <a:xfrm>
            <a:off x="1390650" y="3667125"/>
            <a:ext cx="342900" cy="466725"/>
          </a:xfrm>
          <a:prstGeom prst="upArrow">
            <a:avLst/>
          </a:prstGeom>
          <a:solidFill>
            <a:srgbClr val="FFC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485900" y="3848100"/>
            <a:ext cx="26670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latin typeface="Courier New" panose="02070309020205020404" pitchFamily="49" charset="0"/>
                <a:cs typeface="Courier New" panose="02070309020205020404" pitchFamily="49" charset="0"/>
              </a:rPr>
              <a:t>INSERT</a:t>
            </a:r>
            <a:r>
              <a:rPr lang="en-US" sz="1100" b="1" baseline="0">
                <a:latin typeface="Courier New" panose="02070309020205020404" pitchFamily="49" charset="0"/>
                <a:cs typeface="Courier New" panose="02070309020205020404" pitchFamily="49" charset="0"/>
              </a:rPr>
              <a:t> HERE THE INPUT DATA </a:t>
            </a:r>
            <a:endParaRPr lang="en-US" sz="1100" b="1">
              <a:latin typeface="Courier New" panose="02070309020205020404" pitchFamily="49" charset="0"/>
              <a:cs typeface="Courier New" panose="02070309020205020404" pitchFamily="49" charset="0"/>
            </a:endParaRPr>
          </a:p>
        </xdr:txBody>
      </xdr:sp>
    </xdr:grpSp>
    <xdr:clientData/>
  </xdr:twoCellAnchor>
  <xdr:twoCellAnchor editAs="absolute">
    <xdr:from>
      <xdr:col>52</xdr:col>
      <xdr:colOff>409574</xdr:colOff>
      <xdr:row>0</xdr:row>
      <xdr:rowOff>0</xdr:rowOff>
    </xdr:from>
    <xdr:to>
      <xdr:col>69</xdr:col>
      <xdr:colOff>659043</xdr:colOff>
      <xdr:row>17</xdr:row>
      <xdr:rowOff>142875</xdr:rowOff>
    </xdr:to>
    <xdr:pic>
      <xdr:nvPicPr>
        <xdr:cNvPr id="17" name="FRONT_AXLE_LATERAL">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7966649" y="0"/>
          <a:ext cx="11908069" cy="3838575"/>
        </a:xfrm>
        <a:prstGeom prst="rect">
          <a:avLst/>
        </a:prstGeom>
      </xdr:spPr>
    </xdr:pic>
    <xdr:clientData/>
  </xdr:twoCellAnchor>
  <xdr:twoCellAnchor editAs="absolute">
    <xdr:from>
      <xdr:col>52</xdr:col>
      <xdr:colOff>410936</xdr:colOff>
      <xdr:row>19</xdr:row>
      <xdr:rowOff>6123</xdr:rowOff>
    </xdr:from>
    <xdr:to>
      <xdr:col>62</xdr:col>
      <xdr:colOff>603774</xdr:colOff>
      <xdr:row>47</xdr:row>
      <xdr:rowOff>8340</xdr:rowOff>
    </xdr:to>
    <xdr:pic>
      <xdr:nvPicPr>
        <xdr:cNvPr id="19" name="FRONT_AXLE_FRONTAL">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7968011" y="4139973"/>
          <a:ext cx="7050838" cy="6136317"/>
        </a:xfrm>
        <a:prstGeom prst="rect">
          <a:avLst/>
        </a:prstGeom>
      </xdr:spPr>
    </xdr:pic>
    <xdr:clientData/>
  </xdr:twoCellAnchor>
  <xdr:twoCellAnchor editAs="absolute">
    <xdr:from>
      <xdr:col>70</xdr:col>
      <xdr:colOff>485775</xdr:colOff>
      <xdr:row>2</xdr:row>
      <xdr:rowOff>79928</xdr:rowOff>
    </xdr:from>
    <xdr:to>
      <xdr:col>73</xdr:col>
      <xdr:colOff>266700</xdr:colOff>
      <xdr:row>4</xdr:row>
      <xdr:rowOff>194231</xdr:rowOff>
    </xdr:to>
    <xdr:grpSp>
      <xdr:nvGrpSpPr>
        <xdr:cNvPr id="23" name="BACK_TO_DATA_BUTTON">
          <a:extLst>
            <a:ext uri="{FF2B5EF4-FFF2-40B4-BE49-F238E27FC236}">
              <a16:creationId xmlns:a16="http://schemas.microsoft.com/office/drawing/2014/main" id="{00000000-0008-0000-0500-000017000000}"/>
            </a:ext>
          </a:extLst>
        </xdr:cNvPr>
        <xdr:cNvGrpSpPr>
          <a:grpSpLocks noChangeAspect="1"/>
        </xdr:cNvGrpSpPr>
      </xdr:nvGrpSpPr>
      <xdr:grpSpPr>
        <a:xfrm>
          <a:off x="50387250" y="299003"/>
          <a:ext cx="1838325" cy="742953"/>
          <a:chOff x="28184474" y="180972"/>
          <a:chExt cx="1838325" cy="742953"/>
        </a:xfrm>
      </xdr:grpSpPr>
      <xdr:sp macro="[0]!BACK_TO_INPUT" textlink="">
        <xdr:nvSpPr>
          <xdr:cNvPr id="24" name="TextBox 23">
            <a:extLst>
              <a:ext uri="{FF2B5EF4-FFF2-40B4-BE49-F238E27FC236}">
                <a16:creationId xmlns:a16="http://schemas.microsoft.com/office/drawing/2014/main" id="{00000000-0008-0000-0500-000018000000}"/>
              </a:ext>
            </a:extLst>
          </xdr:cNvPr>
          <xdr:cNvSpPr txBox="1"/>
        </xdr:nvSpPr>
        <xdr:spPr>
          <a:xfrm>
            <a:off x="28184474" y="647700"/>
            <a:ext cx="1838325"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200" b="1">
                <a:solidFill>
                  <a:schemeClr val="accent1"/>
                </a:solidFill>
                <a:latin typeface="Courier New" panose="02070309020205020404" pitchFamily="49" charset="0"/>
                <a:cs typeface="Courier New" panose="02070309020205020404" pitchFamily="49" charset="0"/>
              </a:rPr>
              <a:t>Back To Data</a:t>
            </a:r>
            <a:r>
              <a:rPr lang="it-IT" sz="1200" b="1" baseline="0">
                <a:solidFill>
                  <a:schemeClr val="accent1"/>
                </a:solidFill>
                <a:latin typeface="Courier New" panose="02070309020205020404" pitchFamily="49" charset="0"/>
                <a:cs typeface="Courier New" panose="02070309020205020404" pitchFamily="49" charset="0"/>
              </a:rPr>
              <a:t> Input</a:t>
            </a:r>
            <a:endParaRPr lang="it-IT" sz="1200" b="1">
              <a:solidFill>
                <a:schemeClr val="accent1"/>
              </a:solidFill>
              <a:latin typeface="Courier New" panose="02070309020205020404" pitchFamily="49" charset="0"/>
              <a:cs typeface="Courier New" panose="02070309020205020404" pitchFamily="49" charset="0"/>
            </a:endParaRPr>
          </a:p>
        </xdr:txBody>
      </xdr:sp>
      <xdr:sp macro="[0]!BACK_TO_INPUT" textlink="">
        <xdr:nvSpPr>
          <xdr:cNvPr id="25" name="Arrow: Chevron 24">
            <a:extLst>
              <a:ext uri="{FF2B5EF4-FFF2-40B4-BE49-F238E27FC236}">
                <a16:creationId xmlns:a16="http://schemas.microsoft.com/office/drawing/2014/main" id="{00000000-0008-0000-0500-000019000000}"/>
              </a:ext>
            </a:extLst>
          </xdr:cNvPr>
          <xdr:cNvSpPr/>
        </xdr:nvSpPr>
        <xdr:spPr>
          <a:xfrm rot="10800000">
            <a:off x="29684346"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26" name="Arrow: Chevron 25">
            <a:extLst>
              <a:ext uri="{FF2B5EF4-FFF2-40B4-BE49-F238E27FC236}">
                <a16:creationId xmlns:a16="http://schemas.microsoft.com/office/drawing/2014/main" id="{00000000-0008-0000-0500-00001A000000}"/>
              </a:ext>
            </a:extLst>
          </xdr:cNvPr>
          <xdr:cNvSpPr/>
        </xdr:nvSpPr>
        <xdr:spPr>
          <a:xfrm rot="10800000">
            <a:off x="29498923"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27" name="Arrow: Chevron 26">
            <a:extLst>
              <a:ext uri="{FF2B5EF4-FFF2-40B4-BE49-F238E27FC236}">
                <a16:creationId xmlns:a16="http://schemas.microsoft.com/office/drawing/2014/main" id="{00000000-0008-0000-0500-00001B000000}"/>
              </a:ext>
            </a:extLst>
          </xdr:cNvPr>
          <xdr:cNvSpPr/>
        </xdr:nvSpPr>
        <xdr:spPr>
          <a:xfrm rot="10800000">
            <a:off x="29316438"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grpSp>
    <xdr:clientData/>
  </xdr:twoCellAnchor>
  <xdr:twoCellAnchor editAs="oneCell">
    <xdr:from>
      <xdr:col>11</xdr:col>
      <xdr:colOff>9525</xdr:colOff>
      <xdr:row>2</xdr:row>
      <xdr:rowOff>104775</xdr:rowOff>
    </xdr:from>
    <xdr:to>
      <xdr:col>15</xdr:col>
      <xdr:colOff>28575</xdr:colOff>
      <xdr:row>5</xdr:row>
      <xdr:rowOff>3</xdr:rowOff>
    </xdr:to>
    <xdr:grpSp>
      <xdr:nvGrpSpPr>
        <xdr:cNvPr id="48" name="BACK_TO_DATA_BUTTON">
          <a:extLst>
            <a:ext uri="{FF2B5EF4-FFF2-40B4-BE49-F238E27FC236}">
              <a16:creationId xmlns:a16="http://schemas.microsoft.com/office/drawing/2014/main" id="{00000000-0008-0000-0500-000030000000}"/>
            </a:ext>
          </a:extLst>
        </xdr:cNvPr>
        <xdr:cNvGrpSpPr>
          <a:grpSpLocks noChangeAspect="1"/>
        </xdr:cNvGrpSpPr>
      </xdr:nvGrpSpPr>
      <xdr:grpSpPr>
        <a:xfrm>
          <a:off x="8639175" y="323850"/>
          <a:ext cx="3209925" cy="742953"/>
          <a:chOff x="27679649" y="180972"/>
          <a:chExt cx="3209925" cy="742953"/>
        </a:xfrm>
      </xdr:grpSpPr>
      <xdr:sp macro="[0]!TO_REF_SCHEME" textlink="">
        <xdr:nvSpPr>
          <xdr:cNvPr id="49" name="TextBox 48">
            <a:extLst>
              <a:ext uri="{FF2B5EF4-FFF2-40B4-BE49-F238E27FC236}">
                <a16:creationId xmlns:a16="http://schemas.microsoft.com/office/drawing/2014/main" id="{00000000-0008-0000-0500-000031000000}"/>
              </a:ext>
            </a:extLst>
          </xdr:cNvPr>
          <xdr:cNvSpPr txBox="1"/>
        </xdr:nvSpPr>
        <xdr:spPr>
          <a:xfrm>
            <a:off x="27679649" y="647700"/>
            <a:ext cx="3209925" cy="276225"/>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it-IT" sz="1200" b="1" i="0" u="none" strike="noStrike" kern="0" cap="none" spc="0" normalizeH="0" baseline="0" noProof="0">
                <a:ln>
                  <a:noFill/>
                </a:ln>
                <a:solidFill>
                  <a:srgbClr val="4472C4"/>
                </a:solidFill>
                <a:effectLst/>
                <a:uLnTx/>
                <a:uFillTx/>
                <a:latin typeface="Courier New" panose="02070309020205020404" pitchFamily="49" charset="0"/>
                <a:ea typeface="+mn-ea"/>
                <a:cs typeface="Courier New" panose="02070309020205020404" pitchFamily="49" charset="0"/>
              </a:rPr>
              <a:t>To Front Axle Reference Scheme</a:t>
            </a:r>
          </a:p>
        </xdr:txBody>
      </xdr:sp>
      <xdr:sp macro="[0]!TO_REF_SCHEME" textlink="">
        <xdr:nvSpPr>
          <xdr:cNvPr id="50" name="Arrow: Chevron 49">
            <a:extLst>
              <a:ext uri="{FF2B5EF4-FFF2-40B4-BE49-F238E27FC236}">
                <a16:creationId xmlns:a16="http://schemas.microsoft.com/office/drawing/2014/main" id="{00000000-0008-0000-0500-000032000000}"/>
              </a:ext>
            </a:extLst>
          </xdr:cNvPr>
          <xdr:cNvSpPr/>
        </xdr:nvSpPr>
        <xdr:spPr>
          <a:xfrm>
            <a:off x="28122246"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0]!TO_REF_SCHEME" textlink="">
        <xdr:nvSpPr>
          <xdr:cNvPr id="51" name="Arrow: Chevron 50">
            <a:extLst>
              <a:ext uri="{FF2B5EF4-FFF2-40B4-BE49-F238E27FC236}">
                <a16:creationId xmlns:a16="http://schemas.microsoft.com/office/drawing/2014/main" id="{00000000-0008-0000-0500-000033000000}"/>
              </a:ext>
            </a:extLst>
          </xdr:cNvPr>
          <xdr:cNvSpPr/>
        </xdr:nvSpPr>
        <xdr:spPr>
          <a:xfrm>
            <a:off x="27936823"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0]!TO_REF_SCHEME" textlink="">
        <xdr:nvSpPr>
          <xdr:cNvPr id="52" name="Arrow: Chevron 51">
            <a:extLst>
              <a:ext uri="{FF2B5EF4-FFF2-40B4-BE49-F238E27FC236}">
                <a16:creationId xmlns:a16="http://schemas.microsoft.com/office/drawing/2014/main" id="{00000000-0008-0000-0500-000034000000}"/>
              </a:ext>
            </a:extLst>
          </xdr:cNvPr>
          <xdr:cNvSpPr/>
        </xdr:nvSpPr>
        <xdr:spPr>
          <a:xfrm>
            <a:off x="27754338"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5</xdr:col>
      <xdr:colOff>9524</xdr:colOff>
      <xdr:row>24</xdr:row>
      <xdr:rowOff>47626</xdr:rowOff>
    </xdr:from>
    <xdr:to>
      <xdr:col>10</xdr:col>
      <xdr:colOff>276224</xdr:colOff>
      <xdr:row>43</xdr:row>
      <xdr:rowOff>10866</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2752724" y="5276851"/>
          <a:ext cx="5410200" cy="4125665"/>
          <a:chOff x="2752724" y="5276851"/>
          <a:chExt cx="5410200" cy="4125665"/>
        </a:xfrm>
      </xdr:grpSpPr>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5"/>
          <a:stretch>
            <a:fillRect/>
          </a:stretch>
        </xdr:blipFill>
        <xdr:spPr>
          <a:xfrm>
            <a:off x="2752724" y="5276851"/>
            <a:ext cx="5400000" cy="4125665"/>
          </a:xfrm>
          <a:prstGeom prst="rect">
            <a:avLst/>
          </a:prstGeom>
        </xdr:spPr>
      </xdr:pic>
      <xdr:pic>
        <xdr:nvPicPr>
          <xdr:cNvPr id="7" name="Graphic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067299" y="5276851"/>
            <a:ext cx="3095625" cy="34290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123826</xdr:colOff>
      <xdr:row>1</xdr:row>
      <xdr:rowOff>50019</xdr:rowOff>
    </xdr:from>
    <xdr:to>
      <xdr:col>3</xdr:col>
      <xdr:colOff>561975</xdr:colOff>
      <xdr:row>2</xdr:row>
      <xdr:rowOff>352425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6" y="50019"/>
          <a:ext cx="1809749" cy="521481"/>
        </a:xfrm>
        <a:prstGeom prst="rect">
          <a:avLst/>
        </a:prstGeom>
        <a:ln>
          <a:noFill/>
        </a:ln>
      </xdr:spPr>
    </xdr:pic>
    <xdr:clientData/>
  </xdr:twoCellAnchor>
  <xdr:twoCellAnchor editAs="absolute">
    <xdr:from>
      <xdr:col>1</xdr:col>
      <xdr:colOff>85726</xdr:colOff>
      <xdr:row>7</xdr:row>
      <xdr:rowOff>196444</xdr:rowOff>
    </xdr:from>
    <xdr:to>
      <xdr:col>1</xdr:col>
      <xdr:colOff>571500</xdr:colOff>
      <xdr:row>10</xdr:row>
      <xdr:rowOff>45666</xdr:rowOff>
    </xdr:to>
    <xdr:pic macro="[0]!Call_Python.Call_Python">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726" y="1701394"/>
          <a:ext cx="485774" cy="506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295275</xdr:colOff>
      <xdr:row>19</xdr:row>
      <xdr:rowOff>47625</xdr:rowOff>
    </xdr:from>
    <xdr:to>
      <xdr:col>8</xdr:col>
      <xdr:colOff>1152525</xdr:colOff>
      <xdr:row>21</xdr:row>
      <xdr:rowOff>85725</xdr:rowOff>
    </xdr:to>
    <xdr:grpSp>
      <xdr:nvGrpSpPr>
        <xdr:cNvPr id="4" name="Group 3">
          <a:extLst>
            <a:ext uri="{FF2B5EF4-FFF2-40B4-BE49-F238E27FC236}">
              <a16:creationId xmlns:a16="http://schemas.microsoft.com/office/drawing/2014/main" id="{00000000-0008-0000-0600-000004000000}"/>
            </a:ext>
          </a:extLst>
        </xdr:cNvPr>
        <xdr:cNvGrpSpPr>
          <a:grpSpLocks noChangeAspect="1"/>
        </xdr:cNvGrpSpPr>
      </xdr:nvGrpSpPr>
      <xdr:grpSpPr>
        <a:xfrm>
          <a:off x="3752850" y="4181475"/>
          <a:ext cx="2762250" cy="476250"/>
          <a:chOff x="1390650" y="3667125"/>
          <a:chExt cx="2762250" cy="476250"/>
        </a:xfrm>
      </xdr:grpSpPr>
      <xdr:sp macro="" textlink="">
        <xdr:nvSpPr>
          <xdr:cNvPr id="5" name="Arrow: Up 4">
            <a:extLst>
              <a:ext uri="{FF2B5EF4-FFF2-40B4-BE49-F238E27FC236}">
                <a16:creationId xmlns:a16="http://schemas.microsoft.com/office/drawing/2014/main" id="{00000000-0008-0000-0600-000005000000}"/>
              </a:ext>
            </a:extLst>
          </xdr:cNvPr>
          <xdr:cNvSpPr/>
        </xdr:nvSpPr>
        <xdr:spPr>
          <a:xfrm>
            <a:off x="1390650" y="3667125"/>
            <a:ext cx="342900" cy="466725"/>
          </a:xfrm>
          <a:prstGeom prst="upArrow">
            <a:avLst/>
          </a:prstGeom>
          <a:solidFill>
            <a:srgbClr val="FFC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1485900" y="3848100"/>
            <a:ext cx="26670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latin typeface="Courier New" panose="02070309020205020404" pitchFamily="49" charset="0"/>
                <a:cs typeface="Courier New" panose="02070309020205020404" pitchFamily="49" charset="0"/>
              </a:rPr>
              <a:t>INSERT</a:t>
            </a:r>
            <a:r>
              <a:rPr lang="en-US" sz="1100" b="1" baseline="0">
                <a:latin typeface="Courier New" panose="02070309020205020404" pitchFamily="49" charset="0"/>
                <a:cs typeface="Courier New" panose="02070309020205020404" pitchFamily="49" charset="0"/>
              </a:rPr>
              <a:t> HERE THE INPUT DATA </a:t>
            </a:r>
            <a:endParaRPr lang="en-US" sz="1100" b="1">
              <a:latin typeface="Courier New" panose="02070309020205020404" pitchFamily="49" charset="0"/>
              <a:cs typeface="Courier New" panose="02070309020205020404" pitchFamily="49" charset="0"/>
            </a:endParaRPr>
          </a:p>
        </xdr:txBody>
      </xdr:sp>
    </xdr:grpSp>
    <xdr:clientData/>
  </xdr:twoCellAnchor>
  <xdr:twoCellAnchor editAs="absolute">
    <xdr:from>
      <xdr:col>52</xdr:col>
      <xdr:colOff>412061</xdr:colOff>
      <xdr:row>0</xdr:row>
      <xdr:rowOff>0</xdr:rowOff>
    </xdr:from>
    <xdr:to>
      <xdr:col>70</xdr:col>
      <xdr:colOff>31323</xdr:colOff>
      <xdr:row>17</xdr:row>
      <xdr:rowOff>171450</xdr:rowOff>
    </xdr:to>
    <xdr:pic>
      <xdr:nvPicPr>
        <xdr:cNvPr id="26" name="REAR_AXLE_LATERAL">
          <a:extLst>
            <a:ext uri="{FF2B5EF4-FFF2-40B4-BE49-F238E27FC236}">
              <a16:creationId xmlns:a16="http://schemas.microsoft.com/office/drawing/2014/main" id="{00000000-0008-0000-0600-00001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7969136" y="0"/>
          <a:ext cx="11963662" cy="3867150"/>
        </a:xfrm>
        <a:prstGeom prst="rect">
          <a:avLst/>
        </a:prstGeom>
      </xdr:spPr>
    </xdr:pic>
    <xdr:clientData/>
  </xdr:twoCellAnchor>
  <xdr:twoCellAnchor editAs="absolute">
    <xdr:from>
      <xdr:col>52</xdr:col>
      <xdr:colOff>394904</xdr:colOff>
      <xdr:row>19</xdr:row>
      <xdr:rowOff>42328</xdr:rowOff>
    </xdr:from>
    <xdr:to>
      <xdr:col>64</xdr:col>
      <xdr:colOff>20903</xdr:colOff>
      <xdr:row>50</xdr:row>
      <xdr:rowOff>179293</xdr:rowOff>
    </xdr:to>
    <xdr:pic>
      <xdr:nvPicPr>
        <xdr:cNvPr id="30" name="REAR_AXLE_FRONTAL">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7951979" y="4176178"/>
          <a:ext cx="7855599" cy="6928290"/>
        </a:xfrm>
        <a:prstGeom prst="rect">
          <a:avLst/>
        </a:prstGeom>
      </xdr:spPr>
    </xdr:pic>
    <xdr:clientData/>
  </xdr:twoCellAnchor>
  <xdr:twoCellAnchor editAs="absolute">
    <xdr:from>
      <xdr:col>70</xdr:col>
      <xdr:colOff>504825</xdr:colOff>
      <xdr:row>2</xdr:row>
      <xdr:rowOff>85725</xdr:rowOff>
    </xdr:from>
    <xdr:to>
      <xdr:col>73</xdr:col>
      <xdr:colOff>285750</xdr:colOff>
      <xdr:row>4</xdr:row>
      <xdr:rowOff>200028</xdr:rowOff>
    </xdr:to>
    <xdr:grpSp>
      <xdr:nvGrpSpPr>
        <xdr:cNvPr id="29" name="BACK_TO_DATA_BUTTON">
          <a:extLst>
            <a:ext uri="{FF2B5EF4-FFF2-40B4-BE49-F238E27FC236}">
              <a16:creationId xmlns:a16="http://schemas.microsoft.com/office/drawing/2014/main" id="{00000000-0008-0000-0600-00001D000000}"/>
            </a:ext>
          </a:extLst>
        </xdr:cNvPr>
        <xdr:cNvGrpSpPr>
          <a:grpSpLocks noChangeAspect="1"/>
        </xdr:cNvGrpSpPr>
      </xdr:nvGrpSpPr>
      <xdr:grpSpPr>
        <a:xfrm>
          <a:off x="50406300" y="304800"/>
          <a:ext cx="1838325" cy="742953"/>
          <a:chOff x="28184474" y="180972"/>
          <a:chExt cx="1838325" cy="742953"/>
        </a:xfrm>
      </xdr:grpSpPr>
      <xdr:sp macro="[0]!BACK_TO_INPUT" textlink="">
        <xdr:nvSpPr>
          <xdr:cNvPr id="31" name="TextBox 30">
            <a:extLst>
              <a:ext uri="{FF2B5EF4-FFF2-40B4-BE49-F238E27FC236}">
                <a16:creationId xmlns:a16="http://schemas.microsoft.com/office/drawing/2014/main" id="{00000000-0008-0000-0600-00001F000000}"/>
              </a:ext>
            </a:extLst>
          </xdr:cNvPr>
          <xdr:cNvSpPr txBox="1"/>
        </xdr:nvSpPr>
        <xdr:spPr>
          <a:xfrm>
            <a:off x="28184474" y="647700"/>
            <a:ext cx="1838325"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200" b="1">
                <a:solidFill>
                  <a:schemeClr val="accent1"/>
                </a:solidFill>
                <a:latin typeface="Courier New" panose="02070309020205020404" pitchFamily="49" charset="0"/>
                <a:cs typeface="Courier New" panose="02070309020205020404" pitchFamily="49" charset="0"/>
              </a:rPr>
              <a:t>Back To Data</a:t>
            </a:r>
            <a:r>
              <a:rPr lang="it-IT" sz="1200" b="1" baseline="0">
                <a:solidFill>
                  <a:schemeClr val="accent1"/>
                </a:solidFill>
                <a:latin typeface="Courier New" panose="02070309020205020404" pitchFamily="49" charset="0"/>
                <a:cs typeface="Courier New" panose="02070309020205020404" pitchFamily="49" charset="0"/>
              </a:rPr>
              <a:t> Input</a:t>
            </a:r>
            <a:endParaRPr lang="it-IT" sz="1200" b="1">
              <a:solidFill>
                <a:schemeClr val="accent1"/>
              </a:solidFill>
              <a:latin typeface="Courier New" panose="02070309020205020404" pitchFamily="49" charset="0"/>
              <a:cs typeface="Courier New" panose="02070309020205020404" pitchFamily="49" charset="0"/>
            </a:endParaRPr>
          </a:p>
        </xdr:txBody>
      </xdr:sp>
      <xdr:sp macro="[0]!BACK_TO_INPUT" textlink="">
        <xdr:nvSpPr>
          <xdr:cNvPr id="32" name="Arrow: Chevron 31">
            <a:extLst>
              <a:ext uri="{FF2B5EF4-FFF2-40B4-BE49-F238E27FC236}">
                <a16:creationId xmlns:a16="http://schemas.microsoft.com/office/drawing/2014/main" id="{00000000-0008-0000-0600-000020000000}"/>
              </a:ext>
            </a:extLst>
          </xdr:cNvPr>
          <xdr:cNvSpPr/>
        </xdr:nvSpPr>
        <xdr:spPr>
          <a:xfrm rot="10800000">
            <a:off x="29684346"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33" name="Arrow: Chevron 32">
            <a:extLst>
              <a:ext uri="{FF2B5EF4-FFF2-40B4-BE49-F238E27FC236}">
                <a16:creationId xmlns:a16="http://schemas.microsoft.com/office/drawing/2014/main" id="{00000000-0008-0000-0600-000021000000}"/>
              </a:ext>
            </a:extLst>
          </xdr:cNvPr>
          <xdr:cNvSpPr/>
        </xdr:nvSpPr>
        <xdr:spPr>
          <a:xfrm rot="10800000">
            <a:off x="29498923"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34" name="Arrow: Chevron 33">
            <a:extLst>
              <a:ext uri="{FF2B5EF4-FFF2-40B4-BE49-F238E27FC236}">
                <a16:creationId xmlns:a16="http://schemas.microsoft.com/office/drawing/2014/main" id="{00000000-0008-0000-0600-000022000000}"/>
              </a:ext>
            </a:extLst>
          </xdr:cNvPr>
          <xdr:cNvSpPr/>
        </xdr:nvSpPr>
        <xdr:spPr>
          <a:xfrm rot="10800000">
            <a:off x="29316438"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grpSp>
    <xdr:clientData/>
  </xdr:twoCellAnchor>
  <xdr:twoCellAnchor editAs="oneCell">
    <xdr:from>
      <xdr:col>11</xdr:col>
      <xdr:colOff>9525</xdr:colOff>
      <xdr:row>2</xdr:row>
      <xdr:rowOff>104775</xdr:rowOff>
    </xdr:from>
    <xdr:to>
      <xdr:col>15</xdr:col>
      <xdr:colOff>28575</xdr:colOff>
      <xdr:row>5</xdr:row>
      <xdr:rowOff>3</xdr:rowOff>
    </xdr:to>
    <xdr:grpSp>
      <xdr:nvGrpSpPr>
        <xdr:cNvPr id="55" name="BACK_TO_DATA_BUTTON">
          <a:extLst>
            <a:ext uri="{FF2B5EF4-FFF2-40B4-BE49-F238E27FC236}">
              <a16:creationId xmlns:a16="http://schemas.microsoft.com/office/drawing/2014/main" id="{00000000-0008-0000-0600-000037000000}"/>
            </a:ext>
          </a:extLst>
        </xdr:cNvPr>
        <xdr:cNvGrpSpPr>
          <a:grpSpLocks noChangeAspect="1"/>
        </xdr:cNvGrpSpPr>
      </xdr:nvGrpSpPr>
      <xdr:grpSpPr>
        <a:xfrm>
          <a:off x="8639175" y="323850"/>
          <a:ext cx="3209925" cy="742953"/>
          <a:chOff x="27679649" y="180972"/>
          <a:chExt cx="3209925" cy="742953"/>
        </a:xfrm>
      </xdr:grpSpPr>
      <xdr:sp macro="[0]!TO_REF_SCHEME" textlink="">
        <xdr:nvSpPr>
          <xdr:cNvPr id="56" name="TextBox 55">
            <a:extLst>
              <a:ext uri="{FF2B5EF4-FFF2-40B4-BE49-F238E27FC236}">
                <a16:creationId xmlns:a16="http://schemas.microsoft.com/office/drawing/2014/main" id="{00000000-0008-0000-0600-000038000000}"/>
              </a:ext>
            </a:extLst>
          </xdr:cNvPr>
          <xdr:cNvSpPr txBox="1"/>
        </xdr:nvSpPr>
        <xdr:spPr>
          <a:xfrm>
            <a:off x="27679649" y="647700"/>
            <a:ext cx="3209925" cy="276225"/>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it-IT" sz="1200" b="1" i="0" u="none" strike="noStrike" kern="0" cap="none" spc="0" normalizeH="0" baseline="0" noProof="0">
                <a:ln>
                  <a:noFill/>
                </a:ln>
                <a:solidFill>
                  <a:srgbClr val="4472C4"/>
                </a:solidFill>
                <a:effectLst/>
                <a:uLnTx/>
                <a:uFillTx/>
                <a:latin typeface="Courier New" panose="02070309020205020404" pitchFamily="49" charset="0"/>
                <a:ea typeface="+mn-ea"/>
                <a:cs typeface="Courier New" panose="02070309020205020404" pitchFamily="49" charset="0"/>
              </a:rPr>
              <a:t>To Rear Axle Reference Scheme</a:t>
            </a:r>
          </a:p>
        </xdr:txBody>
      </xdr:sp>
      <xdr:sp macro="[0]!TO_REF_SCHEME" textlink="">
        <xdr:nvSpPr>
          <xdr:cNvPr id="57" name="Arrow: Chevron 56">
            <a:extLst>
              <a:ext uri="{FF2B5EF4-FFF2-40B4-BE49-F238E27FC236}">
                <a16:creationId xmlns:a16="http://schemas.microsoft.com/office/drawing/2014/main" id="{00000000-0008-0000-0600-000039000000}"/>
              </a:ext>
            </a:extLst>
          </xdr:cNvPr>
          <xdr:cNvSpPr/>
        </xdr:nvSpPr>
        <xdr:spPr>
          <a:xfrm>
            <a:off x="28122246"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0]!TO_REF_SCHEME" textlink="">
        <xdr:nvSpPr>
          <xdr:cNvPr id="58" name="Arrow: Chevron 57">
            <a:extLst>
              <a:ext uri="{FF2B5EF4-FFF2-40B4-BE49-F238E27FC236}">
                <a16:creationId xmlns:a16="http://schemas.microsoft.com/office/drawing/2014/main" id="{00000000-0008-0000-0600-00003A000000}"/>
              </a:ext>
            </a:extLst>
          </xdr:cNvPr>
          <xdr:cNvSpPr/>
        </xdr:nvSpPr>
        <xdr:spPr>
          <a:xfrm>
            <a:off x="27936823"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0]!TO_REF_SCHEME" textlink="">
        <xdr:nvSpPr>
          <xdr:cNvPr id="59" name="Arrow: Chevron 58">
            <a:extLst>
              <a:ext uri="{FF2B5EF4-FFF2-40B4-BE49-F238E27FC236}">
                <a16:creationId xmlns:a16="http://schemas.microsoft.com/office/drawing/2014/main" id="{00000000-0008-0000-0600-00003B000000}"/>
              </a:ext>
            </a:extLst>
          </xdr:cNvPr>
          <xdr:cNvSpPr/>
        </xdr:nvSpPr>
        <xdr:spPr>
          <a:xfrm>
            <a:off x="27754338"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5</xdr:col>
      <xdr:colOff>0</xdr:colOff>
      <xdr:row>24</xdr:row>
      <xdr:rowOff>57150</xdr:rowOff>
    </xdr:from>
    <xdr:to>
      <xdr:col>10</xdr:col>
      <xdr:colOff>266700</xdr:colOff>
      <xdr:row>43</xdr:row>
      <xdr:rowOff>30712</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2743200" y="5286375"/>
          <a:ext cx="5410200" cy="4135987"/>
          <a:chOff x="2743200" y="5286375"/>
          <a:chExt cx="5410200" cy="4135987"/>
        </a:xfrm>
      </xdr:grpSpPr>
      <xdr:pic>
        <xdr:nvPicPr>
          <xdr:cNvPr id="23" name="Picture 22">
            <a:extLst>
              <a:ext uri="{FF2B5EF4-FFF2-40B4-BE49-F238E27FC236}">
                <a16:creationId xmlns:a16="http://schemas.microsoft.com/office/drawing/2014/main" id="{00000000-0008-0000-0600-000017000000}"/>
              </a:ext>
            </a:extLst>
          </xdr:cNvPr>
          <xdr:cNvPicPr>
            <a:picLocks noChangeAspect="1"/>
          </xdr:cNvPicPr>
        </xdr:nvPicPr>
        <xdr:blipFill>
          <a:blip xmlns:r="http://schemas.openxmlformats.org/officeDocument/2006/relationships" r:embed="rId5"/>
          <a:stretch>
            <a:fillRect/>
          </a:stretch>
        </xdr:blipFill>
        <xdr:spPr>
          <a:xfrm>
            <a:off x="2743200" y="5286375"/>
            <a:ext cx="5400000" cy="4135987"/>
          </a:xfrm>
          <a:prstGeom prst="rect">
            <a:avLst/>
          </a:prstGeom>
        </xdr:spPr>
      </xdr:pic>
      <xdr:pic>
        <xdr:nvPicPr>
          <xdr:cNvPr id="7" name="Graphic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057775" y="5286375"/>
            <a:ext cx="3095625" cy="34290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85726</xdr:colOff>
      <xdr:row>7</xdr:row>
      <xdr:rowOff>196444</xdr:rowOff>
    </xdr:from>
    <xdr:to>
      <xdr:col>1</xdr:col>
      <xdr:colOff>571500</xdr:colOff>
      <xdr:row>10</xdr:row>
      <xdr:rowOff>45666</xdr:rowOff>
    </xdr:to>
    <xdr:pic macro="[0]!Call_Python.Call_Python">
      <xdr:nvPicPr>
        <xdr:cNvPr id="3" name="Picture 2">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6" y="1701394"/>
          <a:ext cx="485774" cy="506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295275</xdr:colOff>
      <xdr:row>19</xdr:row>
      <xdr:rowOff>47625</xdr:rowOff>
    </xdr:from>
    <xdr:to>
      <xdr:col>8</xdr:col>
      <xdr:colOff>1152525</xdr:colOff>
      <xdr:row>21</xdr:row>
      <xdr:rowOff>85725</xdr:rowOff>
    </xdr:to>
    <xdr:grpSp>
      <xdr:nvGrpSpPr>
        <xdr:cNvPr id="4" name="Group 3">
          <a:extLst>
            <a:ext uri="{FF2B5EF4-FFF2-40B4-BE49-F238E27FC236}">
              <a16:creationId xmlns:a16="http://schemas.microsoft.com/office/drawing/2014/main" id="{00000000-0008-0000-0700-000004000000}"/>
            </a:ext>
          </a:extLst>
        </xdr:cNvPr>
        <xdr:cNvGrpSpPr>
          <a:grpSpLocks noChangeAspect="1"/>
        </xdr:cNvGrpSpPr>
      </xdr:nvGrpSpPr>
      <xdr:grpSpPr>
        <a:xfrm>
          <a:off x="3752850" y="4181475"/>
          <a:ext cx="2762250" cy="476250"/>
          <a:chOff x="1390650" y="3667125"/>
          <a:chExt cx="2762250" cy="476250"/>
        </a:xfrm>
      </xdr:grpSpPr>
      <xdr:sp macro="" textlink="">
        <xdr:nvSpPr>
          <xdr:cNvPr id="5" name="Arrow: Up 4">
            <a:extLst>
              <a:ext uri="{FF2B5EF4-FFF2-40B4-BE49-F238E27FC236}">
                <a16:creationId xmlns:a16="http://schemas.microsoft.com/office/drawing/2014/main" id="{00000000-0008-0000-0700-000005000000}"/>
              </a:ext>
            </a:extLst>
          </xdr:cNvPr>
          <xdr:cNvSpPr/>
        </xdr:nvSpPr>
        <xdr:spPr>
          <a:xfrm>
            <a:off x="1390650" y="3667125"/>
            <a:ext cx="342900" cy="466725"/>
          </a:xfrm>
          <a:prstGeom prst="upArrow">
            <a:avLst/>
          </a:prstGeom>
          <a:solidFill>
            <a:srgbClr val="FFC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1485900" y="3848100"/>
            <a:ext cx="26670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latin typeface="Courier New" panose="02070309020205020404" pitchFamily="49" charset="0"/>
                <a:cs typeface="Courier New" panose="02070309020205020404" pitchFamily="49" charset="0"/>
              </a:rPr>
              <a:t>INSERT</a:t>
            </a:r>
            <a:r>
              <a:rPr lang="en-US" sz="1100" b="1" baseline="0">
                <a:latin typeface="Courier New" panose="02070309020205020404" pitchFamily="49" charset="0"/>
                <a:cs typeface="Courier New" panose="02070309020205020404" pitchFamily="49" charset="0"/>
              </a:rPr>
              <a:t> HERE THE INPUT DATA </a:t>
            </a:r>
            <a:endParaRPr lang="en-US" sz="1100" b="1">
              <a:latin typeface="Courier New" panose="02070309020205020404" pitchFamily="49" charset="0"/>
              <a:cs typeface="Courier New" panose="02070309020205020404" pitchFamily="49" charset="0"/>
            </a:endParaRPr>
          </a:p>
        </xdr:txBody>
      </xdr:sp>
    </xdr:grpSp>
    <xdr:clientData/>
  </xdr:twoCellAnchor>
  <xdr:twoCellAnchor editAs="absolute">
    <xdr:from>
      <xdr:col>1</xdr:col>
      <xdr:colOff>123825</xdr:colOff>
      <xdr:row>1</xdr:row>
      <xdr:rowOff>47625</xdr:rowOff>
    </xdr:from>
    <xdr:to>
      <xdr:col>3</xdr:col>
      <xdr:colOff>561974</xdr:colOff>
      <xdr:row>2</xdr:row>
      <xdr:rowOff>350031</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 y="47625"/>
          <a:ext cx="1809749" cy="521481"/>
        </a:xfrm>
        <a:prstGeom prst="rect">
          <a:avLst/>
        </a:prstGeom>
        <a:ln>
          <a:noFill/>
        </a:ln>
      </xdr:spPr>
    </xdr:pic>
    <xdr:clientData/>
  </xdr:twoCellAnchor>
  <xdr:twoCellAnchor editAs="absolute">
    <xdr:from>
      <xdr:col>71</xdr:col>
      <xdr:colOff>200025</xdr:colOff>
      <xdr:row>2</xdr:row>
      <xdr:rowOff>95250</xdr:rowOff>
    </xdr:from>
    <xdr:to>
      <xdr:col>73</xdr:col>
      <xdr:colOff>666750</xdr:colOff>
      <xdr:row>4</xdr:row>
      <xdr:rowOff>209553</xdr:rowOff>
    </xdr:to>
    <xdr:grpSp>
      <xdr:nvGrpSpPr>
        <xdr:cNvPr id="17" name="BACK_TO_DATA_BUTTON">
          <a:extLst>
            <a:ext uri="{FF2B5EF4-FFF2-40B4-BE49-F238E27FC236}">
              <a16:creationId xmlns:a16="http://schemas.microsoft.com/office/drawing/2014/main" id="{00000000-0008-0000-0700-000011000000}"/>
            </a:ext>
          </a:extLst>
        </xdr:cNvPr>
        <xdr:cNvGrpSpPr>
          <a:grpSpLocks noChangeAspect="1"/>
        </xdr:cNvGrpSpPr>
      </xdr:nvGrpSpPr>
      <xdr:grpSpPr>
        <a:xfrm>
          <a:off x="50787300" y="314325"/>
          <a:ext cx="1838325" cy="742953"/>
          <a:chOff x="28184474" y="180972"/>
          <a:chExt cx="1838325" cy="742953"/>
        </a:xfrm>
      </xdr:grpSpPr>
      <xdr:sp macro="[0]!BACK_TO_INPUT" textlink="">
        <xdr:nvSpPr>
          <xdr:cNvPr id="18" name="TextBox 17">
            <a:extLst>
              <a:ext uri="{FF2B5EF4-FFF2-40B4-BE49-F238E27FC236}">
                <a16:creationId xmlns:a16="http://schemas.microsoft.com/office/drawing/2014/main" id="{00000000-0008-0000-0700-000012000000}"/>
              </a:ext>
            </a:extLst>
          </xdr:cNvPr>
          <xdr:cNvSpPr txBox="1"/>
        </xdr:nvSpPr>
        <xdr:spPr>
          <a:xfrm>
            <a:off x="28184474" y="647700"/>
            <a:ext cx="1838325"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200" b="1">
                <a:solidFill>
                  <a:schemeClr val="accent1"/>
                </a:solidFill>
                <a:latin typeface="Courier New" panose="02070309020205020404" pitchFamily="49" charset="0"/>
                <a:cs typeface="Courier New" panose="02070309020205020404" pitchFamily="49" charset="0"/>
              </a:rPr>
              <a:t>Back To Data</a:t>
            </a:r>
            <a:r>
              <a:rPr lang="it-IT" sz="1200" b="1" baseline="0">
                <a:solidFill>
                  <a:schemeClr val="accent1"/>
                </a:solidFill>
                <a:latin typeface="Courier New" panose="02070309020205020404" pitchFamily="49" charset="0"/>
                <a:cs typeface="Courier New" panose="02070309020205020404" pitchFamily="49" charset="0"/>
              </a:rPr>
              <a:t> Input</a:t>
            </a:r>
            <a:endParaRPr lang="it-IT" sz="1200" b="1">
              <a:solidFill>
                <a:schemeClr val="accent1"/>
              </a:solidFill>
              <a:latin typeface="Courier New" panose="02070309020205020404" pitchFamily="49" charset="0"/>
              <a:cs typeface="Courier New" panose="02070309020205020404" pitchFamily="49" charset="0"/>
            </a:endParaRPr>
          </a:p>
        </xdr:txBody>
      </xdr:sp>
      <xdr:sp macro="[0]!BACK_TO_INPUT" textlink="">
        <xdr:nvSpPr>
          <xdr:cNvPr id="19" name="Arrow: Chevron 18">
            <a:extLst>
              <a:ext uri="{FF2B5EF4-FFF2-40B4-BE49-F238E27FC236}">
                <a16:creationId xmlns:a16="http://schemas.microsoft.com/office/drawing/2014/main" id="{00000000-0008-0000-0700-000013000000}"/>
              </a:ext>
            </a:extLst>
          </xdr:cNvPr>
          <xdr:cNvSpPr/>
        </xdr:nvSpPr>
        <xdr:spPr>
          <a:xfrm rot="10800000">
            <a:off x="29684346"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20" name="Arrow: Chevron 19">
            <a:extLst>
              <a:ext uri="{FF2B5EF4-FFF2-40B4-BE49-F238E27FC236}">
                <a16:creationId xmlns:a16="http://schemas.microsoft.com/office/drawing/2014/main" id="{00000000-0008-0000-0700-000014000000}"/>
              </a:ext>
            </a:extLst>
          </xdr:cNvPr>
          <xdr:cNvSpPr/>
        </xdr:nvSpPr>
        <xdr:spPr>
          <a:xfrm rot="10800000">
            <a:off x="29498923"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21" name="Arrow: Chevron 20">
            <a:extLst>
              <a:ext uri="{FF2B5EF4-FFF2-40B4-BE49-F238E27FC236}">
                <a16:creationId xmlns:a16="http://schemas.microsoft.com/office/drawing/2014/main" id="{00000000-0008-0000-0700-000015000000}"/>
              </a:ext>
            </a:extLst>
          </xdr:cNvPr>
          <xdr:cNvSpPr/>
        </xdr:nvSpPr>
        <xdr:spPr>
          <a:xfrm rot="10800000">
            <a:off x="29316438"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grpSp>
    <xdr:clientData/>
  </xdr:twoCellAnchor>
  <xdr:twoCellAnchor editAs="oneCell">
    <xdr:from>
      <xdr:col>11</xdr:col>
      <xdr:colOff>9525</xdr:colOff>
      <xdr:row>2</xdr:row>
      <xdr:rowOff>104775</xdr:rowOff>
    </xdr:from>
    <xdr:to>
      <xdr:col>15</xdr:col>
      <xdr:colOff>28575</xdr:colOff>
      <xdr:row>5</xdr:row>
      <xdr:rowOff>3</xdr:rowOff>
    </xdr:to>
    <xdr:grpSp>
      <xdr:nvGrpSpPr>
        <xdr:cNvPr id="22" name="BACK_TO_DATA_BUTTON">
          <a:extLst>
            <a:ext uri="{FF2B5EF4-FFF2-40B4-BE49-F238E27FC236}">
              <a16:creationId xmlns:a16="http://schemas.microsoft.com/office/drawing/2014/main" id="{00000000-0008-0000-0700-000016000000}"/>
            </a:ext>
          </a:extLst>
        </xdr:cNvPr>
        <xdr:cNvGrpSpPr>
          <a:grpSpLocks noChangeAspect="1"/>
        </xdr:cNvGrpSpPr>
      </xdr:nvGrpSpPr>
      <xdr:grpSpPr>
        <a:xfrm>
          <a:off x="8639175" y="323850"/>
          <a:ext cx="3209925" cy="742953"/>
          <a:chOff x="27679649" y="180972"/>
          <a:chExt cx="3209925" cy="742953"/>
        </a:xfrm>
      </xdr:grpSpPr>
      <xdr:sp macro="[0]!TO_REF_SCHEME" textlink="">
        <xdr:nvSpPr>
          <xdr:cNvPr id="23" name="TextBox 22">
            <a:extLst>
              <a:ext uri="{FF2B5EF4-FFF2-40B4-BE49-F238E27FC236}">
                <a16:creationId xmlns:a16="http://schemas.microsoft.com/office/drawing/2014/main" id="{00000000-0008-0000-0700-000017000000}"/>
              </a:ext>
            </a:extLst>
          </xdr:cNvPr>
          <xdr:cNvSpPr txBox="1"/>
        </xdr:nvSpPr>
        <xdr:spPr>
          <a:xfrm>
            <a:off x="27679649" y="647700"/>
            <a:ext cx="3209925" cy="276225"/>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it-IT" sz="1200" b="1" i="0" u="none" strike="noStrike" kern="0" cap="none" spc="0" normalizeH="0" baseline="0" noProof="0">
                <a:ln>
                  <a:noFill/>
                </a:ln>
                <a:solidFill>
                  <a:srgbClr val="4472C4"/>
                </a:solidFill>
                <a:effectLst/>
                <a:uLnTx/>
                <a:uFillTx/>
                <a:latin typeface="Courier New" panose="02070309020205020404" pitchFamily="49" charset="0"/>
                <a:ea typeface="+mn-ea"/>
                <a:cs typeface="Courier New" panose="02070309020205020404" pitchFamily="49" charset="0"/>
              </a:rPr>
              <a:t>To Swing Chassis Reference Scheme</a:t>
            </a:r>
          </a:p>
        </xdr:txBody>
      </xdr:sp>
      <xdr:sp macro="[0]!TO_REF_SCHEME" textlink="">
        <xdr:nvSpPr>
          <xdr:cNvPr id="24" name="Arrow: Chevron 23">
            <a:extLst>
              <a:ext uri="{FF2B5EF4-FFF2-40B4-BE49-F238E27FC236}">
                <a16:creationId xmlns:a16="http://schemas.microsoft.com/office/drawing/2014/main" id="{00000000-0008-0000-0700-000018000000}"/>
              </a:ext>
            </a:extLst>
          </xdr:cNvPr>
          <xdr:cNvSpPr/>
        </xdr:nvSpPr>
        <xdr:spPr>
          <a:xfrm>
            <a:off x="28122246"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0]!TO_REF_SCHEME" textlink="">
        <xdr:nvSpPr>
          <xdr:cNvPr id="25" name="Arrow: Chevron 24">
            <a:extLst>
              <a:ext uri="{FF2B5EF4-FFF2-40B4-BE49-F238E27FC236}">
                <a16:creationId xmlns:a16="http://schemas.microsoft.com/office/drawing/2014/main" id="{00000000-0008-0000-0700-000019000000}"/>
              </a:ext>
            </a:extLst>
          </xdr:cNvPr>
          <xdr:cNvSpPr/>
        </xdr:nvSpPr>
        <xdr:spPr>
          <a:xfrm>
            <a:off x="27936823"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0]!TO_REF_SCHEME" textlink="">
        <xdr:nvSpPr>
          <xdr:cNvPr id="27" name="Arrow: Chevron 26">
            <a:extLst>
              <a:ext uri="{FF2B5EF4-FFF2-40B4-BE49-F238E27FC236}">
                <a16:creationId xmlns:a16="http://schemas.microsoft.com/office/drawing/2014/main" id="{00000000-0008-0000-0700-00001B000000}"/>
              </a:ext>
            </a:extLst>
          </xdr:cNvPr>
          <xdr:cNvSpPr/>
        </xdr:nvSpPr>
        <xdr:spPr>
          <a:xfrm>
            <a:off x="27754338"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editAs="oneCell">
    <xdr:from>
      <xdr:col>53</xdr:col>
      <xdr:colOff>9524</xdr:colOff>
      <xdr:row>0</xdr:row>
      <xdr:rowOff>0</xdr:rowOff>
    </xdr:from>
    <xdr:to>
      <xdr:col>71</xdr:col>
      <xdr:colOff>164498</xdr:colOff>
      <xdr:row>18</xdr:row>
      <xdr:rowOff>47625</xdr:rowOff>
    </xdr:to>
    <xdr:pic>
      <xdr:nvPicPr>
        <xdr:cNvPr id="34" name="SWING_CHASSIS_LATERAL">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8252399" y="0"/>
          <a:ext cx="12499374" cy="3962400"/>
        </a:xfrm>
        <a:prstGeom prst="rect">
          <a:avLst/>
        </a:prstGeom>
      </xdr:spPr>
    </xdr:pic>
    <xdr:clientData/>
  </xdr:twoCellAnchor>
  <xdr:twoCellAnchor editAs="absolute">
    <xdr:from>
      <xdr:col>53</xdr:col>
      <xdr:colOff>9525</xdr:colOff>
      <xdr:row>20</xdr:row>
      <xdr:rowOff>76200</xdr:rowOff>
    </xdr:from>
    <xdr:to>
      <xdr:col>64</xdr:col>
      <xdr:colOff>238125</xdr:colOff>
      <xdr:row>49</xdr:row>
      <xdr:rowOff>16934</xdr:rowOff>
    </xdr:to>
    <xdr:pic>
      <xdr:nvPicPr>
        <xdr:cNvPr id="39" name="Picture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8252400" y="4429125"/>
          <a:ext cx="7772400" cy="6293909"/>
        </a:xfrm>
        <a:prstGeom prst="rect">
          <a:avLst/>
        </a:prstGeom>
      </xdr:spPr>
    </xdr:pic>
    <xdr:clientData/>
  </xdr:twoCellAnchor>
  <xdr:twoCellAnchor>
    <xdr:from>
      <xdr:col>5</xdr:col>
      <xdr:colOff>1</xdr:colOff>
      <xdr:row>24</xdr:row>
      <xdr:rowOff>28576</xdr:rowOff>
    </xdr:from>
    <xdr:to>
      <xdr:col>11</xdr:col>
      <xdr:colOff>35925</xdr:colOff>
      <xdr:row>45</xdr:row>
      <xdr:rowOff>19051</xdr:rowOff>
    </xdr:to>
    <xdr:grpSp>
      <xdr:nvGrpSpPr>
        <xdr:cNvPr id="41" name="Group 40">
          <a:extLst>
            <a:ext uri="{FF2B5EF4-FFF2-40B4-BE49-F238E27FC236}">
              <a16:creationId xmlns:a16="http://schemas.microsoft.com/office/drawing/2014/main" id="{00000000-0008-0000-0700-000029000000}"/>
            </a:ext>
          </a:extLst>
        </xdr:cNvPr>
        <xdr:cNvGrpSpPr/>
      </xdr:nvGrpSpPr>
      <xdr:grpSpPr>
        <a:xfrm>
          <a:off x="2743201" y="5257801"/>
          <a:ext cx="5922374" cy="4591050"/>
          <a:chOff x="2743201" y="5257801"/>
          <a:chExt cx="5922374" cy="4591050"/>
        </a:xfrm>
      </xdr:grpSpPr>
      <xdr:pic>
        <xdr:nvPicPr>
          <xdr:cNvPr id="32" name="Picture 31">
            <a:extLst>
              <a:ext uri="{FF2B5EF4-FFF2-40B4-BE49-F238E27FC236}">
                <a16:creationId xmlns:a16="http://schemas.microsoft.com/office/drawing/2014/main" id="{00000000-0008-0000-0700-000020000000}"/>
              </a:ext>
            </a:extLst>
          </xdr:cNvPr>
          <xdr:cNvPicPr>
            <a:picLocks noChangeAspect="1"/>
          </xdr:cNvPicPr>
        </xdr:nvPicPr>
        <xdr:blipFill>
          <a:blip xmlns:r="http://schemas.openxmlformats.org/officeDocument/2006/relationships" r:embed="rId5"/>
          <a:stretch>
            <a:fillRect/>
          </a:stretch>
        </xdr:blipFill>
        <xdr:spPr>
          <a:xfrm>
            <a:off x="2743201" y="5257801"/>
            <a:ext cx="5922374" cy="4591050"/>
          </a:xfrm>
          <a:prstGeom prst="rect">
            <a:avLst/>
          </a:prstGeom>
        </xdr:spPr>
      </xdr:pic>
      <xdr:pic>
        <xdr:nvPicPr>
          <xdr:cNvPr id="40" name="Graphic 39">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743201" y="5257801"/>
            <a:ext cx="3095625" cy="342900"/>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85726</xdr:colOff>
      <xdr:row>7</xdr:row>
      <xdr:rowOff>196444</xdr:rowOff>
    </xdr:from>
    <xdr:to>
      <xdr:col>1</xdr:col>
      <xdr:colOff>571500</xdr:colOff>
      <xdr:row>10</xdr:row>
      <xdr:rowOff>45666</xdr:rowOff>
    </xdr:to>
    <xdr:pic macro="[0]!Call_Python.Call_Python">
      <xdr:nvPicPr>
        <xdr:cNvPr id="2" name="Pictur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6" y="1701394"/>
          <a:ext cx="485774" cy="506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295275</xdr:colOff>
      <xdr:row>19</xdr:row>
      <xdr:rowOff>47625</xdr:rowOff>
    </xdr:from>
    <xdr:to>
      <xdr:col>8</xdr:col>
      <xdr:colOff>1152525</xdr:colOff>
      <xdr:row>21</xdr:row>
      <xdr:rowOff>85725</xdr:rowOff>
    </xdr:to>
    <xdr:grpSp>
      <xdr:nvGrpSpPr>
        <xdr:cNvPr id="3" name="Group 2">
          <a:extLst>
            <a:ext uri="{FF2B5EF4-FFF2-40B4-BE49-F238E27FC236}">
              <a16:creationId xmlns:a16="http://schemas.microsoft.com/office/drawing/2014/main" id="{00000000-0008-0000-0800-000003000000}"/>
            </a:ext>
          </a:extLst>
        </xdr:cNvPr>
        <xdr:cNvGrpSpPr>
          <a:grpSpLocks noChangeAspect="1"/>
        </xdr:cNvGrpSpPr>
      </xdr:nvGrpSpPr>
      <xdr:grpSpPr>
        <a:xfrm>
          <a:off x="3752850" y="4181475"/>
          <a:ext cx="2762250" cy="476250"/>
          <a:chOff x="1390650" y="3667125"/>
          <a:chExt cx="2762250" cy="476250"/>
        </a:xfrm>
      </xdr:grpSpPr>
      <xdr:sp macro="" textlink="">
        <xdr:nvSpPr>
          <xdr:cNvPr id="4" name="Arrow: Up 3">
            <a:extLst>
              <a:ext uri="{FF2B5EF4-FFF2-40B4-BE49-F238E27FC236}">
                <a16:creationId xmlns:a16="http://schemas.microsoft.com/office/drawing/2014/main" id="{00000000-0008-0000-0800-000004000000}"/>
              </a:ext>
            </a:extLst>
          </xdr:cNvPr>
          <xdr:cNvSpPr/>
        </xdr:nvSpPr>
        <xdr:spPr>
          <a:xfrm>
            <a:off x="1390650" y="3667125"/>
            <a:ext cx="342900" cy="466725"/>
          </a:xfrm>
          <a:prstGeom prst="upArrow">
            <a:avLst/>
          </a:prstGeom>
          <a:solidFill>
            <a:srgbClr val="FFC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485900" y="3848100"/>
            <a:ext cx="26670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latin typeface="Courier New" panose="02070309020205020404" pitchFamily="49" charset="0"/>
                <a:cs typeface="Courier New" panose="02070309020205020404" pitchFamily="49" charset="0"/>
              </a:rPr>
              <a:t>INSERT</a:t>
            </a:r>
            <a:r>
              <a:rPr lang="en-US" sz="1100" b="1" baseline="0">
                <a:latin typeface="Courier New" panose="02070309020205020404" pitchFamily="49" charset="0"/>
                <a:cs typeface="Courier New" panose="02070309020205020404" pitchFamily="49" charset="0"/>
              </a:rPr>
              <a:t> HERE THE INPUT DATA </a:t>
            </a:r>
            <a:endParaRPr lang="en-US" sz="1100" b="1">
              <a:latin typeface="Courier New" panose="02070309020205020404" pitchFamily="49" charset="0"/>
              <a:cs typeface="Courier New" panose="02070309020205020404" pitchFamily="49" charset="0"/>
            </a:endParaRPr>
          </a:p>
        </xdr:txBody>
      </xdr:sp>
    </xdr:grpSp>
    <xdr:clientData/>
  </xdr:twoCellAnchor>
  <xdr:twoCellAnchor editAs="absolute">
    <xdr:from>
      <xdr:col>1</xdr:col>
      <xdr:colOff>123825</xdr:colOff>
      <xdr:row>1</xdr:row>
      <xdr:rowOff>47625</xdr:rowOff>
    </xdr:from>
    <xdr:to>
      <xdr:col>3</xdr:col>
      <xdr:colOff>561974</xdr:colOff>
      <xdr:row>2</xdr:row>
      <xdr:rowOff>350031</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 y="47625"/>
          <a:ext cx="1809749" cy="521481"/>
        </a:xfrm>
        <a:prstGeom prst="rect">
          <a:avLst/>
        </a:prstGeom>
        <a:ln>
          <a:noFill/>
        </a:ln>
      </xdr:spPr>
    </xdr:pic>
    <xdr:clientData/>
  </xdr:twoCellAnchor>
  <xdr:twoCellAnchor editAs="oneCell">
    <xdr:from>
      <xdr:col>53</xdr:col>
      <xdr:colOff>9525</xdr:colOff>
      <xdr:row>20</xdr:row>
      <xdr:rowOff>28575</xdr:rowOff>
    </xdr:from>
    <xdr:to>
      <xdr:col>64</xdr:col>
      <xdr:colOff>238125</xdr:colOff>
      <xdr:row>50</xdr:row>
      <xdr:rowOff>48668</xdr:rowOff>
    </xdr:to>
    <xdr:pic>
      <xdr:nvPicPr>
        <xdr:cNvPr id="16" name="BOOM_FRONTAL">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7966650" y="4381500"/>
          <a:ext cx="7772400" cy="6592343"/>
        </a:xfrm>
        <a:prstGeom prst="rect">
          <a:avLst/>
        </a:prstGeom>
      </xdr:spPr>
    </xdr:pic>
    <xdr:clientData/>
  </xdr:twoCellAnchor>
  <xdr:twoCellAnchor editAs="oneCell">
    <xdr:from>
      <xdr:col>53</xdr:col>
      <xdr:colOff>9524</xdr:colOff>
      <xdr:row>0</xdr:row>
      <xdr:rowOff>0</xdr:rowOff>
    </xdr:from>
    <xdr:to>
      <xdr:col>71</xdr:col>
      <xdr:colOff>228417</xdr:colOff>
      <xdr:row>18</xdr:row>
      <xdr:rowOff>123825</xdr:rowOff>
    </xdr:to>
    <xdr:pic>
      <xdr:nvPicPr>
        <xdr:cNvPr id="25" name="BOOM_LATERAL">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7966649" y="0"/>
          <a:ext cx="12563293" cy="4038600"/>
        </a:xfrm>
        <a:prstGeom prst="rect">
          <a:avLst/>
        </a:prstGeom>
      </xdr:spPr>
    </xdr:pic>
    <xdr:clientData/>
  </xdr:twoCellAnchor>
  <xdr:twoCellAnchor editAs="absolute">
    <xdr:from>
      <xdr:col>71</xdr:col>
      <xdr:colOff>495296</xdr:colOff>
      <xdr:row>2</xdr:row>
      <xdr:rowOff>91108</xdr:rowOff>
    </xdr:from>
    <xdr:to>
      <xdr:col>74</xdr:col>
      <xdr:colOff>276221</xdr:colOff>
      <xdr:row>4</xdr:row>
      <xdr:rowOff>205411</xdr:rowOff>
    </xdr:to>
    <xdr:grpSp>
      <xdr:nvGrpSpPr>
        <xdr:cNvPr id="17" name="BACK_TO_DATA_BUTTON">
          <a:extLst>
            <a:ext uri="{FF2B5EF4-FFF2-40B4-BE49-F238E27FC236}">
              <a16:creationId xmlns:a16="http://schemas.microsoft.com/office/drawing/2014/main" id="{00000000-0008-0000-0800-000011000000}"/>
            </a:ext>
          </a:extLst>
        </xdr:cNvPr>
        <xdr:cNvGrpSpPr>
          <a:grpSpLocks noChangeAspect="1"/>
        </xdr:cNvGrpSpPr>
      </xdr:nvGrpSpPr>
      <xdr:grpSpPr>
        <a:xfrm>
          <a:off x="51082571" y="310183"/>
          <a:ext cx="1838325" cy="742953"/>
          <a:chOff x="28184474" y="180972"/>
          <a:chExt cx="1838325" cy="742953"/>
        </a:xfrm>
      </xdr:grpSpPr>
      <xdr:sp macro="[0]!BACK_TO_INPUT" textlink="">
        <xdr:nvSpPr>
          <xdr:cNvPr id="18" name="TextBox 17">
            <a:extLst>
              <a:ext uri="{FF2B5EF4-FFF2-40B4-BE49-F238E27FC236}">
                <a16:creationId xmlns:a16="http://schemas.microsoft.com/office/drawing/2014/main" id="{00000000-0008-0000-0800-000012000000}"/>
              </a:ext>
            </a:extLst>
          </xdr:cNvPr>
          <xdr:cNvSpPr txBox="1"/>
        </xdr:nvSpPr>
        <xdr:spPr>
          <a:xfrm>
            <a:off x="28184474" y="647700"/>
            <a:ext cx="1838325"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200" b="1">
                <a:solidFill>
                  <a:schemeClr val="accent1"/>
                </a:solidFill>
                <a:latin typeface="Courier New" panose="02070309020205020404" pitchFamily="49" charset="0"/>
                <a:cs typeface="Courier New" panose="02070309020205020404" pitchFamily="49" charset="0"/>
              </a:rPr>
              <a:t>Back To Data</a:t>
            </a:r>
            <a:r>
              <a:rPr lang="it-IT" sz="1200" b="1" baseline="0">
                <a:solidFill>
                  <a:schemeClr val="accent1"/>
                </a:solidFill>
                <a:latin typeface="Courier New" panose="02070309020205020404" pitchFamily="49" charset="0"/>
                <a:cs typeface="Courier New" panose="02070309020205020404" pitchFamily="49" charset="0"/>
              </a:rPr>
              <a:t> Input</a:t>
            </a:r>
            <a:endParaRPr lang="it-IT" sz="1200" b="1">
              <a:solidFill>
                <a:schemeClr val="accent1"/>
              </a:solidFill>
              <a:latin typeface="Courier New" panose="02070309020205020404" pitchFamily="49" charset="0"/>
              <a:cs typeface="Courier New" panose="02070309020205020404" pitchFamily="49" charset="0"/>
            </a:endParaRPr>
          </a:p>
        </xdr:txBody>
      </xdr:sp>
      <xdr:sp macro="[0]!BACK_TO_INPUT" textlink="">
        <xdr:nvSpPr>
          <xdr:cNvPr id="19" name="Arrow: Chevron 18">
            <a:extLst>
              <a:ext uri="{FF2B5EF4-FFF2-40B4-BE49-F238E27FC236}">
                <a16:creationId xmlns:a16="http://schemas.microsoft.com/office/drawing/2014/main" id="{00000000-0008-0000-0800-000013000000}"/>
              </a:ext>
            </a:extLst>
          </xdr:cNvPr>
          <xdr:cNvSpPr/>
        </xdr:nvSpPr>
        <xdr:spPr>
          <a:xfrm rot="10800000">
            <a:off x="29684346"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20" name="Arrow: Chevron 19">
            <a:extLst>
              <a:ext uri="{FF2B5EF4-FFF2-40B4-BE49-F238E27FC236}">
                <a16:creationId xmlns:a16="http://schemas.microsoft.com/office/drawing/2014/main" id="{00000000-0008-0000-0800-000014000000}"/>
              </a:ext>
            </a:extLst>
          </xdr:cNvPr>
          <xdr:cNvSpPr/>
        </xdr:nvSpPr>
        <xdr:spPr>
          <a:xfrm rot="10800000">
            <a:off x="29498923"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21" name="Arrow: Chevron 20">
            <a:extLst>
              <a:ext uri="{FF2B5EF4-FFF2-40B4-BE49-F238E27FC236}">
                <a16:creationId xmlns:a16="http://schemas.microsoft.com/office/drawing/2014/main" id="{00000000-0008-0000-0800-000015000000}"/>
              </a:ext>
            </a:extLst>
          </xdr:cNvPr>
          <xdr:cNvSpPr/>
        </xdr:nvSpPr>
        <xdr:spPr>
          <a:xfrm rot="10800000">
            <a:off x="29316438"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grpSp>
    <xdr:clientData/>
  </xdr:twoCellAnchor>
  <xdr:twoCellAnchor editAs="oneCell">
    <xdr:from>
      <xdr:col>11</xdr:col>
      <xdr:colOff>9525</xdr:colOff>
      <xdr:row>2</xdr:row>
      <xdr:rowOff>104775</xdr:rowOff>
    </xdr:from>
    <xdr:to>
      <xdr:col>15</xdr:col>
      <xdr:colOff>28575</xdr:colOff>
      <xdr:row>5</xdr:row>
      <xdr:rowOff>3</xdr:rowOff>
    </xdr:to>
    <xdr:grpSp>
      <xdr:nvGrpSpPr>
        <xdr:cNvPr id="22" name="BACK_TO_DATA_BUTTON">
          <a:extLst>
            <a:ext uri="{FF2B5EF4-FFF2-40B4-BE49-F238E27FC236}">
              <a16:creationId xmlns:a16="http://schemas.microsoft.com/office/drawing/2014/main" id="{00000000-0008-0000-0800-000016000000}"/>
            </a:ext>
          </a:extLst>
        </xdr:cNvPr>
        <xdr:cNvGrpSpPr>
          <a:grpSpLocks noChangeAspect="1"/>
        </xdr:cNvGrpSpPr>
      </xdr:nvGrpSpPr>
      <xdr:grpSpPr>
        <a:xfrm>
          <a:off x="8639175" y="323850"/>
          <a:ext cx="3209925" cy="742953"/>
          <a:chOff x="27679649" y="180972"/>
          <a:chExt cx="3209925" cy="742953"/>
        </a:xfrm>
      </xdr:grpSpPr>
      <xdr:sp macro="[0]!TO_REF_SCHEME" textlink="">
        <xdr:nvSpPr>
          <xdr:cNvPr id="23" name="TextBox 22">
            <a:extLst>
              <a:ext uri="{FF2B5EF4-FFF2-40B4-BE49-F238E27FC236}">
                <a16:creationId xmlns:a16="http://schemas.microsoft.com/office/drawing/2014/main" id="{00000000-0008-0000-0800-000017000000}"/>
              </a:ext>
            </a:extLst>
          </xdr:cNvPr>
          <xdr:cNvSpPr txBox="1"/>
        </xdr:nvSpPr>
        <xdr:spPr>
          <a:xfrm>
            <a:off x="27679649" y="647700"/>
            <a:ext cx="3209925" cy="276225"/>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it-IT" sz="1200" b="1" i="0" u="none" strike="noStrike" kern="0" cap="none" spc="0" normalizeH="0" baseline="0" noProof="0">
                <a:ln>
                  <a:noFill/>
                </a:ln>
                <a:solidFill>
                  <a:srgbClr val="4472C4"/>
                </a:solidFill>
                <a:effectLst/>
                <a:uLnTx/>
                <a:uFillTx/>
                <a:latin typeface="Courier New" panose="02070309020205020404" pitchFamily="49" charset="0"/>
                <a:ea typeface="+mn-ea"/>
                <a:cs typeface="Courier New" panose="02070309020205020404" pitchFamily="49" charset="0"/>
              </a:rPr>
              <a:t>To Boom Reference Scheme</a:t>
            </a:r>
          </a:p>
        </xdr:txBody>
      </xdr:sp>
      <xdr:sp macro="[0]!TO_REF_SCHEME" textlink="">
        <xdr:nvSpPr>
          <xdr:cNvPr id="24" name="Arrow: Chevron 23">
            <a:extLst>
              <a:ext uri="{FF2B5EF4-FFF2-40B4-BE49-F238E27FC236}">
                <a16:creationId xmlns:a16="http://schemas.microsoft.com/office/drawing/2014/main" id="{00000000-0008-0000-0800-000018000000}"/>
              </a:ext>
            </a:extLst>
          </xdr:cNvPr>
          <xdr:cNvSpPr/>
        </xdr:nvSpPr>
        <xdr:spPr>
          <a:xfrm>
            <a:off x="28122246"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0]!TO_REF_SCHEME" textlink="">
        <xdr:nvSpPr>
          <xdr:cNvPr id="26" name="Arrow: Chevron 25">
            <a:extLst>
              <a:ext uri="{FF2B5EF4-FFF2-40B4-BE49-F238E27FC236}">
                <a16:creationId xmlns:a16="http://schemas.microsoft.com/office/drawing/2014/main" id="{00000000-0008-0000-0800-00001A000000}"/>
              </a:ext>
            </a:extLst>
          </xdr:cNvPr>
          <xdr:cNvSpPr/>
        </xdr:nvSpPr>
        <xdr:spPr>
          <a:xfrm>
            <a:off x="27936823"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0]!TO_REF_SCHEME" textlink="">
        <xdr:nvSpPr>
          <xdr:cNvPr id="32" name="Arrow: Chevron 31">
            <a:extLst>
              <a:ext uri="{FF2B5EF4-FFF2-40B4-BE49-F238E27FC236}">
                <a16:creationId xmlns:a16="http://schemas.microsoft.com/office/drawing/2014/main" id="{00000000-0008-0000-0800-000020000000}"/>
              </a:ext>
            </a:extLst>
          </xdr:cNvPr>
          <xdr:cNvSpPr/>
        </xdr:nvSpPr>
        <xdr:spPr>
          <a:xfrm>
            <a:off x="27754338"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xdr:from>
      <xdr:col>5</xdr:col>
      <xdr:colOff>0</xdr:colOff>
      <xdr:row>24</xdr:row>
      <xdr:rowOff>0</xdr:rowOff>
    </xdr:from>
    <xdr:to>
      <xdr:col>11</xdr:col>
      <xdr:colOff>593550</xdr:colOff>
      <xdr:row>43</xdr:row>
      <xdr:rowOff>73832</xdr:rowOff>
    </xdr:to>
    <xdr:grpSp>
      <xdr:nvGrpSpPr>
        <xdr:cNvPr id="8" name="Group 7">
          <a:extLst>
            <a:ext uri="{FF2B5EF4-FFF2-40B4-BE49-F238E27FC236}">
              <a16:creationId xmlns:a16="http://schemas.microsoft.com/office/drawing/2014/main" id="{00000000-0008-0000-0800-000008000000}"/>
            </a:ext>
          </a:extLst>
        </xdr:cNvPr>
        <xdr:cNvGrpSpPr/>
      </xdr:nvGrpSpPr>
      <xdr:grpSpPr>
        <a:xfrm>
          <a:off x="2743200" y="5229225"/>
          <a:ext cx="6480000" cy="4236257"/>
          <a:chOff x="2743200" y="5229225"/>
          <a:chExt cx="6480000" cy="4236257"/>
        </a:xfrm>
      </xdr:grpSpPr>
      <xdr:pic>
        <xdr:nvPicPr>
          <xdr:cNvPr id="9" name="Picture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5"/>
          <a:stretch>
            <a:fillRect/>
          </a:stretch>
        </xdr:blipFill>
        <xdr:spPr>
          <a:xfrm>
            <a:off x="2743200" y="5229225"/>
            <a:ext cx="6480000" cy="4236257"/>
          </a:xfrm>
          <a:prstGeom prst="rect">
            <a:avLst/>
          </a:prstGeom>
        </xdr:spPr>
      </xdr:pic>
      <xdr:pic>
        <xdr:nvPicPr>
          <xdr:cNvPr id="7" name="Graphic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743200" y="5229225"/>
            <a:ext cx="3095625" cy="3429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85726</xdr:colOff>
      <xdr:row>7</xdr:row>
      <xdr:rowOff>196444</xdr:rowOff>
    </xdr:from>
    <xdr:to>
      <xdr:col>1</xdr:col>
      <xdr:colOff>571500</xdr:colOff>
      <xdr:row>10</xdr:row>
      <xdr:rowOff>45666</xdr:rowOff>
    </xdr:to>
    <xdr:pic macro="[0]!Call_Python.Call_Python">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6" y="1701394"/>
          <a:ext cx="485774" cy="506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304800</xdr:colOff>
      <xdr:row>13</xdr:row>
      <xdr:rowOff>47625</xdr:rowOff>
    </xdr:from>
    <xdr:to>
      <xdr:col>8</xdr:col>
      <xdr:colOff>1162050</xdr:colOff>
      <xdr:row>15</xdr:row>
      <xdr:rowOff>85725</xdr:rowOff>
    </xdr:to>
    <xdr:grpSp>
      <xdr:nvGrpSpPr>
        <xdr:cNvPr id="3" name="Group 2">
          <a:extLst>
            <a:ext uri="{FF2B5EF4-FFF2-40B4-BE49-F238E27FC236}">
              <a16:creationId xmlns:a16="http://schemas.microsoft.com/office/drawing/2014/main" id="{00000000-0008-0000-0900-000003000000}"/>
            </a:ext>
          </a:extLst>
        </xdr:cNvPr>
        <xdr:cNvGrpSpPr>
          <a:grpSpLocks noChangeAspect="1"/>
        </xdr:cNvGrpSpPr>
      </xdr:nvGrpSpPr>
      <xdr:grpSpPr>
        <a:xfrm>
          <a:off x="3762375" y="2867025"/>
          <a:ext cx="2762250" cy="476250"/>
          <a:chOff x="1390650" y="3667125"/>
          <a:chExt cx="2762250" cy="476250"/>
        </a:xfrm>
      </xdr:grpSpPr>
      <xdr:sp macro="" textlink="">
        <xdr:nvSpPr>
          <xdr:cNvPr id="4" name="Arrow: Up 3">
            <a:extLst>
              <a:ext uri="{FF2B5EF4-FFF2-40B4-BE49-F238E27FC236}">
                <a16:creationId xmlns:a16="http://schemas.microsoft.com/office/drawing/2014/main" id="{00000000-0008-0000-0900-000004000000}"/>
              </a:ext>
            </a:extLst>
          </xdr:cNvPr>
          <xdr:cNvSpPr/>
        </xdr:nvSpPr>
        <xdr:spPr>
          <a:xfrm>
            <a:off x="1390650" y="3667125"/>
            <a:ext cx="342900" cy="466725"/>
          </a:xfrm>
          <a:prstGeom prst="upArrow">
            <a:avLst/>
          </a:prstGeom>
          <a:solidFill>
            <a:srgbClr val="FFC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1485900" y="3848100"/>
            <a:ext cx="26670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latin typeface="Courier New" panose="02070309020205020404" pitchFamily="49" charset="0"/>
                <a:cs typeface="Courier New" panose="02070309020205020404" pitchFamily="49" charset="0"/>
              </a:rPr>
              <a:t>INSERT</a:t>
            </a:r>
            <a:r>
              <a:rPr lang="en-US" sz="1100" b="1" baseline="0">
                <a:latin typeface="Courier New" panose="02070309020205020404" pitchFamily="49" charset="0"/>
                <a:cs typeface="Courier New" panose="02070309020205020404" pitchFamily="49" charset="0"/>
              </a:rPr>
              <a:t> HERE THE INPUT DATA </a:t>
            </a:r>
            <a:endParaRPr lang="en-US" sz="1100" b="1">
              <a:latin typeface="Courier New" panose="02070309020205020404" pitchFamily="49" charset="0"/>
              <a:cs typeface="Courier New" panose="02070309020205020404" pitchFamily="49" charset="0"/>
            </a:endParaRPr>
          </a:p>
        </xdr:txBody>
      </xdr:sp>
    </xdr:grpSp>
    <xdr:clientData/>
  </xdr:twoCellAnchor>
  <xdr:twoCellAnchor editAs="absolute">
    <xdr:from>
      <xdr:col>1</xdr:col>
      <xdr:colOff>123825</xdr:colOff>
      <xdr:row>1</xdr:row>
      <xdr:rowOff>47625</xdr:rowOff>
    </xdr:from>
    <xdr:to>
      <xdr:col>3</xdr:col>
      <xdr:colOff>561974</xdr:colOff>
      <xdr:row>2</xdr:row>
      <xdr:rowOff>350031</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 y="47625"/>
          <a:ext cx="1809749" cy="521481"/>
        </a:xfrm>
        <a:prstGeom prst="rect">
          <a:avLst/>
        </a:prstGeom>
        <a:ln>
          <a:noFill/>
        </a:ln>
      </xdr:spPr>
    </xdr:pic>
    <xdr:clientData/>
  </xdr:twoCellAnchor>
  <xdr:twoCellAnchor editAs="absolute">
    <xdr:from>
      <xdr:col>5</xdr:col>
      <xdr:colOff>0</xdr:colOff>
      <xdr:row>17</xdr:row>
      <xdr:rowOff>123825</xdr:rowOff>
    </xdr:from>
    <xdr:to>
      <xdr:col>12</xdr:col>
      <xdr:colOff>1200150</xdr:colOff>
      <xdr:row>36</xdr:row>
      <xdr:rowOff>149045</xdr:rowOff>
    </xdr:to>
    <xdr:pic>
      <xdr:nvPicPr>
        <xdr:cNvPr id="8" name="TYRE_SCHEME" hidden="1">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743200" y="3819525"/>
          <a:ext cx="7772400" cy="4187645"/>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695325</xdr:colOff>
          <xdr:row>3</xdr:row>
          <xdr:rowOff>114300</xdr:rowOff>
        </xdr:from>
        <xdr:to>
          <xdr:col>13</xdr:col>
          <xdr:colOff>647700</xdr:colOff>
          <xdr:row>4</xdr:row>
          <xdr:rowOff>219075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1" i="1" u="none" strike="noStrike" baseline="0">
                  <a:solidFill>
                    <a:srgbClr val="000080"/>
                  </a:solidFill>
                  <a:latin typeface="Courier New"/>
                  <a:cs typeface="Courier New"/>
                </a:rPr>
                <a:t>SHOW/HIDE TIRE SCHEME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1</xdr:col>
      <xdr:colOff>85726</xdr:colOff>
      <xdr:row>7</xdr:row>
      <xdr:rowOff>196444</xdr:rowOff>
    </xdr:from>
    <xdr:to>
      <xdr:col>1</xdr:col>
      <xdr:colOff>571500</xdr:colOff>
      <xdr:row>10</xdr:row>
      <xdr:rowOff>45666</xdr:rowOff>
    </xdr:to>
    <xdr:pic macro="[0]!Call_Python.Call_Python">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6" y="1701394"/>
          <a:ext cx="485774" cy="506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123825</xdr:colOff>
      <xdr:row>1</xdr:row>
      <xdr:rowOff>47625</xdr:rowOff>
    </xdr:from>
    <xdr:to>
      <xdr:col>3</xdr:col>
      <xdr:colOff>561974</xdr:colOff>
      <xdr:row>2</xdr:row>
      <xdr:rowOff>350031</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 y="47625"/>
          <a:ext cx="1809749" cy="521481"/>
        </a:xfrm>
        <a:prstGeom prst="rect">
          <a:avLst/>
        </a:prstGeom>
        <a:ln>
          <a:noFill/>
        </a:ln>
      </xdr:spPr>
    </xdr:pic>
    <xdr:clientData/>
  </xdr:twoCellAnchor>
  <xdr:twoCellAnchor editAs="absolute">
    <xdr:from>
      <xdr:col>6</xdr:col>
      <xdr:colOff>295275</xdr:colOff>
      <xdr:row>25</xdr:row>
      <xdr:rowOff>47625</xdr:rowOff>
    </xdr:from>
    <xdr:to>
      <xdr:col>8</xdr:col>
      <xdr:colOff>1152525</xdr:colOff>
      <xdr:row>27</xdr:row>
      <xdr:rowOff>85725</xdr:rowOff>
    </xdr:to>
    <xdr:grpSp>
      <xdr:nvGrpSpPr>
        <xdr:cNvPr id="4" name="Group 3">
          <a:extLst>
            <a:ext uri="{FF2B5EF4-FFF2-40B4-BE49-F238E27FC236}">
              <a16:creationId xmlns:a16="http://schemas.microsoft.com/office/drawing/2014/main" id="{00000000-0008-0000-0A00-000004000000}"/>
            </a:ext>
          </a:extLst>
        </xdr:cNvPr>
        <xdr:cNvGrpSpPr>
          <a:grpSpLocks noChangeAspect="1"/>
        </xdr:cNvGrpSpPr>
      </xdr:nvGrpSpPr>
      <xdr:grpSpPr>
        <a:xfrm>
          <a:off x="3752850" y="5495925"/>
          <a:ext cx="2762250" cy="476250"/>
          <a:chOff x="1390650" y="3667125"/>
          <a:chExt cx="2762250" cy="476250"/>
        </a:xfrm>
      </xdr:grpSpPr>
      <xdr:sp macro="" textlink="">
        <xdr:nvSpPr>
          <xdr:cNvPr id="5" name="Arrow: Up 4">
            <a:extLst>
              <a:ext uri="{FF2B5EF4-FFF2-40B4-BE49-F238E27FC236}">
                <a16:creationId xmlns:a16="http://schemas.microsoft.com/office/drawing/2014/main" id="{00000000-0008-0000-0A00-000005000000}"/>
              </a:ext>
            </a:extLst>
          </xdr:cNvPr>
          <xdr:cNvSpPr/>
        </xdr:nvSpPr>
        <xdr:spPr>
          <a:xfrm>
            <a:off x="1390650" y="3667125"/>
            <a:ext cx="342900" cy="466725"/>
          </a:xfrm>
          <a:prstGeom prst="upArrow">
            <a:avLst/>
          </a:prstGeom>
          <a:solidFill>
            <a:srgbClr val="FFC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1485900" y="3848100"/>
            <a:ext cx="26670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latin typeface="Courier New" panose="02070309020205020404" pitchFamily="49" charset="0"/>
                <a:cs typeface="Courier New" panose="02070309020205020404" pitchFamily="49" charset="0"/>
              </a:rPr>
              <a:t>INSERT</a:t>
            </a:r>
            <a:r>
              <a:rPr lang="en-US" sz="1100" b="1" baseline="0">
                <a:latin typeface="Courier New" panose="02070309020205020404" pitchFamily="49" charset="0"/>
                <a:cs typeface="Courier New" panose="02070309020205020404" pitchFamily="49" charset="0"/>
              </a:rPr>
              <a:t> HERE THE INPUT DATA </a:t>
            </a:r>
            <a:endParaRPr lang="en-US" sz="1100" b="1">
              <a:latin typeface="Courier New" panose="02070309020205020404" pitchFamily="49" charset="0"/>
              <a:cs typeface="Courier New" panose="02070309020205020404" pitchFamily="49" charset="0"/>
            </a:endParaRPr>
          </a:p>
        </xdr:txBody>
      </xdr:sp>
    </xdr:grpSp>
    <xdr:clientData/>
  </xdr:twoCellAnchor>
  <xdr:twoCellAnchor editAs="oneCell">
    <xdr:from>
      <xdr:col>56</xdr:col>
      <xdr:colOff>9525</xdr:colOff>
      <xdr:row>2</xdr:row>
      <xdr:rowOff>114300</xdr:rowOff>
    </xdr:from>
    <xdr:to>
      <xdr:col>68</xdr:col>
      <xdr:colOff>419925</xdr:colOff>
      <xdr:row>35</xdr:row>
      <xdr:rowOff>56509</xdr:rowOff>
    </xdr:to>
    <xdr:pic>
      <xdr:nvPicPr>
        <xdr:cNvPr id="8" name="OSCILLATE_SCHEME">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0309800" y="333375"/>
          <a:ext cx="8640000" cy="7362184"/>
        </a:xfrm>
        <a:prstGeom prst="rect">
          <a:avLst/>
        </a:prstGeom>
      </xdr:spPr>
    </xdr:pic>
    <xdr:clientData/>
  </xdr:twoCellAnchor>
  <xdr:twoCellAnchor editAs="oneCell">
    <xdr:from>
      <xdr:col>10</xdr:col>
      <xdr:colOff>723571</xdr:colOff>
      <xdr:row>2</xdr:row>
      <xdr:rowOff>104118</xdr:rowOff>
    </xdr:from>
    <xdr:to>
      <xdr:col>14</xdr:col>
      <xdr:colOff>599746</xdr:colOff>
      <xdr:row>4</xdr:row>
      <xdr:rowOff>216121</xdr:rowOff>
    </xdr:to>
    <xdr:grpSp>
      <xdr:nvGrpSpPr>
        <xdr:cNvPr id="13" name="BACK_TO_DATA_BUTTON">
          <a:extLst>
            <a:ext uri="{FF2B5EF4-FFF2-40B4-BE49-F238E27FC236}">
              <a16:creationId xmlns:a16="http://schemas.microsoft.com/office/drawing/2014/main" id="{00000000-0008-0000-0A00-00000D000000}"/>
            </a:ext>
          </a:extLst>
        </xdr:cNvPr>
        <xdr:cNvGrpSpPr>
          <a:grpSpLocks noChangeAspect="1"/>
        </xdr:cNvGrpSpPr>
      </xdr:nvGrpSpPr>
      <xdr:grpSpPr>
        <a:xfrm>
          <a:off x="8610271" y="323193"/>
          <a:ext cx="3209925" cy="740653"/>
          <a:chOff x="27679649" y="180972"/>
          <a:chExt cx="3209925" cy="742953"/>
        </a:xfrm>
      </xdr:grpSpPr>
      <xdr:sp macro="[0]!TO_REF_SCHEME" textlink="">
        <xdr:nvSpPr>
          <xdr:cNvPr id="14" name="TextBox 13">
            <a:extLst>
              <a:ext uri="{FF2B5EF4-FFF2-40B4-BE49-F238E27FC236}">
                <a16:creationId xmlns:a16="http://schemas.microsoft.com/office/drawing/2014/main" id="{00000000-0008-0000-0A00-00000E000000}"/>
              </a:ext>
            </a:extLst>
          </xdr:cNvPr>
          <xdr:cNvSpPr txBox="1"/>
        </xdr:nvSpPr>
        <xdr:spPr>
          <a:xfrm>
            <a:off x="27679649" y="647700"/>
            <a:ext cx="3209925" cy="276225"/>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it-IT" sz="1200" b="1" i="0" u="none" strike="noStrike" kern="0" cap="none" spc="0" normalizeH="0" baseline="0" noProof="0">
                <a:ln>
                  <a:noFill/>
                </a:ln>
                <a:solidFill>
                  <a:srgbClr val="4472C4"/>
                </a:solidFill>
                <a:effectLst/>
                <a:uLnTx/>
                <a:uFillTx/>
                <a:latin typeface="Courier New" panose="02070309020205020404" pitchFamily="49" charset="0"/>
                <a:ea typeface="+mn-ea"/>
                <a:cs typeface="Courier New" panose="02070309020205020404" pitchFamily="49" charset="0"/>
              </a:rPr>
              <a:t>To Oscillate Reference Scheme</a:t>
            </a:r>
          </a:p>
        </xdr:txBody>
      </xdr:sp>
      <xdr:sp macro="[0]!TO_REF_SCHEME" textlink="">
        <xdr:nvSpPr>
          <xdr:cNvPr id="15" name="Arrow: Chevron 14">
            <a:extLst>
              <a:ext uri="{FF2B5EF4-FFF2-40B4-BE49-F238E27FC236}">
                <a16:creationId xmlns:a16="http://schemas.microsoft.com/office/drawing/2014/main" id="{00000000-0008-0000-0A00-00000F000000}"/>
              </a:ext>
            </a:extLst>
          </xdr:cNvPr>
          <xdr:cNvSpPr/>
        </xdr:nvSpPr>
        <xdr:spPr>
          <a:xfrm>
            <a:off x="28122246"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0]!TO_REF_SCHEME" textlink="">
        <xdr:nvSpPr>
          <xdr:cNvPr id="16" name="Arrow: Chevron 15">
            <a:extLst>
              <a:ext uri="{FF2B5EF4-FFF2-40B4-BE49-F238E27FC236}">
                <a16:creationId xmlns:a16="http://schemas.microsoft.com/office/drawing/2014/main" id="{00000000-0008-0000-0A00-000010000000}"/>
              </a:ext>
            </a:extLst>
          </xdr:cNvPr>
          <xdr:cNvSpPr/>
        </xdr:nvSpPr>
        <xdr:spPr>
          <a:xfrm>
            <a:off x="27936823"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0]!TO_REF_SCHEME" textlink="">
        <xdr:nvSpPr>
          <xdr:cNvPr id="17" name="Arrow: Chevron 16">
            <a:extLst>
              <a:ext uri="{FF2B5EF4-FFF2-40B4-BE49-F238E27FC236}">
                <a16:creationId xmlns:a16="http://schemas.microsoft.com/office/drawing/2014/main" id="{00000000-0008-0000-0A00-000011000000}"/>
              </a:ext>
            </a:extLst>
          </xdr:cNvPr>
          <xdr:cNvSpPr/>
        </xdr:nvSpPr>
        <xdr:spPr>
          <a:xfrm>
            <a:off x="27754338" y="180972"/>
            <a:ext cx="209551" cy="449395"/>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editAs="absolute">
    <xdr:from>
      <xdr:col>68</xdr:col>
      <xdr:colOff>133350</xdr:colOff>
      <xdr:row>2</xdr:row>
      <xdr:rowOff>85725</xdr:rowOff>
    </xdr:from>
    <xdr:to>
      <xdr:col>70</xdr:col>
      <xdr:colOff>600075</xdr:colOff>
      <xdr:row>4</xdr:row>
      <xdr:rowOff>200028</xdr:rowOff>
    </xdr:to>
    <xdr:grpSp>
      <xdr:nvGrpSpPr>
        <xdr:cNvPr id="18" name="BACK_TO_DATA_BUTTON">
          <a:extLst>
            <a:ext uri="{FF2B5EF4-FFF2-40B4-BE49-F238E27FC236}">
              <a16:creationId xmlns:a16="http://schemas.microsoft.com/office/drawing/2014/main" id="{00000000-0008-0000-0A00-000012000000}"/>
            </a:ext>
          </a:extLst>
        </xdr:cNvPr>
        <xdr:cNvGrpSpPr>
          <a:grpSpLocks noChangeAspect="1"/>
        </xdr:cNvGrpSpPr>
      </xdr:nvGrpSpPr>
      <xdr:grpSpPr>
        <a:xfrm>
          <a:off x="49015650" y="304800"/>
          <a:ext cx="1838325" cy="742953"/>
          <a:chOff x="28184474" y="180972"/>
          <a:chExt cx="1838325" cy="742953"/>
        </a:xfrm>
      </xdr:grpSpPr>
      <xdr:sp macro="[0]!BACK_TO_INPUT" textlink="">
        <xdr:nvSpPr>
          <xdr:cNvPr id="19" name="TextBox 18">
            <a:extLst>
              <a:ext uri="{FF2B5EF4-FFF2-40B4-BE49-F238E27FC236}">
                <a16:creationId xmlns:a16="http://schemas.microsoft.com/office/drawing/2014/main" id="{00000000-0008-0000-0A00-000013000000}"/>
              </a:ext>
            </a:extLst>
          </xdr:cNvPr>
          <xdr:cNvSpPr txBox="1"/>
        </xdr:nvSpPr>
        <xdr:spPr>
          <a:xfrm>
            <a:off x="28184474" y="647700"/>
            <a:ext cx="1838325"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200" b="1">
                <a:solidFill>
                  <a:schemeClr val="accent1"/>
                </a:solidFill>
                <a:latin typeface="Courier New" panose="02070309020205020404" pitchFamily="49" charset="0"/>
                <a:cs typeface="Courier New" panose="02070309020205020404" pitchFamily="49" charset="0"/>
              </a:rPr>
              <a:t>Back To Data</a:t>
            </a:r>
            <a:r>
              <a:rPr lang="it-IT" sz="1200" b="1" baseline="0">
                <a:solidFill>
                  <a:schemeClr val="accent1"/>
                </a:solidFill>
                <a:latin typeface="Courier New" panose="02070309020205020404" pitchFamily="49" charset="0"/>
                <a:cs typeface="Courier New" panose="02070309020205020404" pitchFamily="49" charset="0"/>
              </a:rPr>
              <a:t> Input</a:t>
            </a:r>
            <a:endParaRPr lang="it-IT" sz="1200" b="1">
              <a:solidFill>
                <a:schemeClr val="accent1"/>
              </a:solidFill>
              <a:latin typeface="Courier New" panose="02070309020205020404" pitchFamily="49" charset="0"/>
              <a:cs typeface="Courier New" panose="02070309020205020404" pitchFamily="49" charset="0"/>
            </a:endParaRPr>
          </a:p>
        </xdr:txBody>
      </xdr:sp>
      <xdr:sp macro="[0]!BACK_TO_INPUT" textlink="">
        <xdr:nvSpPr>
          <xdr:cNvPr id="20" name="Arrow: Chevron 19">
            <a:extLst>
              <a:ext uri="{FF2B5EF4-FFF2-40B4-BE49-F238E27FC236}">
                <a16:creationId xmlns:a16="http://schemas.microsoft.com/office/drawing/2014/main" id="{00000000-0008-0000-0A00-000014000000}"/>
              </a:ext>
            </a:extLst>
          </xdr:cNvPr>
          <xdr:cNvSpPr/>
        </xdr:nvSpPr>
        <xdr:spPr>
          <a:xfrm rot="10800000">
            <a:off x="29684346"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21" name="Arrow: Chevron 20">
            <a:extLst>
              <a:ext uri="{FF2B5EF4-FFF2-40B4-BE49-F238E27FC236}">
                <a16:creationId xmlns:a16="http://schemas.microsoft.com/office/drawing/2014/main" id="{00000000-0008-0000-0A00-000015000000}"/>
              </a:ext>
            </a:extLst>
          </xdr:cNvPr>
          <xdr:cNvSpPr/>
        </xdr:nvSpPr>
        <xdr:spPr>
          <a:xfrm rot="10800000">
            <a:off x="29498923"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22" name="Arrow: Chevron 21">
            <a:extLst>
              <a:ext uri="{FF2B5EF4-FFF2-40B4-BE49-F238E27FC236}">
                <a16:creationId xmlns:a16="http://schemas.microsoft.com/office/drawing/2014/main" id="{00000000-0008-0000-0A00-000016000000}"/>
              </a:ext>
            </a:extLst>
          </xdr:cNvPr>
          <xdr:cNvSpPr/>
        </xdr:nvSpPr>
        <xdr:spPr>
          <a:xfrm rot="10800000">
            <a:off x="29316438"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85726</xdr:colOff>
      <xdr:row>7</xdr:row>
      <xdr:rowOff>196444</xdr:rowOff>
    </xdr:from>
    <xdr:to>
      <xdr:col>1</xdr:col>
      <xdr:colOff>571500</xdr:colOff>
      <xdr:row>10</xdr:row>
      <xdr:rowOff>45666</xdr:rowOff>
    </xdr:to>
    <xdr:pic macro="[0]!Call_Python.Call_Python">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6" y="1701394"/>
          <a:ext cx="485774" cy="506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123825</xdr:colOff>
      <xdr:row>1</xdr:row>
      <xdr:rowOff>47625</xdr:rowOff>
    </xdr:from>
    <xdr:to>
      <xdr:col>3</xdr:col>
      <xdr:colOff>561974</xdr:colOff>
      <xdr:row>2</xdr:row>
      <xdr:rowOff>350031</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 y="47625"/>
          <a:ext cx="1809749" cy="521481"/>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9</xdr:col>
          <xdr:colOff>0</xdr:colOff>
          <xdr:row>11</xdr:row>
          <xdr:rowOff>9525</xdr:rowOff>
        </xdr:to>
        <xdr:sp macro="" textlink="">
          <xdr:nvSpPr>
            <xdr:cNvPr id="11267" name="curbs_check_box" hidden="1">
              <a:extLst>
                <a:ext uri="{63B3BB69-23CF-44E3-9099-C40C66FF867C}">
                  <a14:compatExt spid="_x0000_s11267"/>
                </a:ext>
                <a:ext uri="{FF2B5EF4-FFF2-40B4-BE49-F238E27FC236}">
                  <a16:creationId xmlns:a16="http://schemas.microsoft.com/office/drawing/2014/main" id="{00000000-0008-0000-0B00-0000032C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Segoe UI"/>
                  <a:cs typeface="Segoe UI"/>
                </a:rPr>
                <a:t>CURBS TRACK</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942975</xdr:colOff>
          <xdr:row>11</xdr:row>
          <xdr:rowOff>209550</xdr:rowOff>
        </xdr:from>
        <xdr:to>
          <xdr:col>8</xdr:col>
          <xdr:colOff>1228725</xdr:colOff>
          <xdr:row>13</xdr:row>
          <xdr:rowOff>0</xdr:rowOff>
        </xdr:to>
        <xdr:sp macro="" textlink="">
          <xdr:nvSpPr>
            <xdr:cNvPr id="11269" name="potholes_check_box" hidden="1">
              <a:extLst>
                <a:ext uri="{63B3BB69-23CF-44E3-9099-C40C66FF867C}">
                  <a14:compatExt spid="_x0000_s11269"/>
                </a:ext>
                <a:ext uri="{FF2B5EF4-FFF2-40B4-BE49-F238E27FC236}">
                  <a16:creationId xmlns:a16="http://schemas.microsoft.com/office/drawing/2014/main" id="{00000000-0008-0000-0B00-0000052C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Segoe UI"/>
                  <a:cs typeface="Segoe UI"/>
                </a:rPr>
                <a:t>POTHOLES TRACK</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xdr:row>
          <xdr:rowOff>0</xdr:rowOff>
        </xdr:from>
        <xdr:to>
          <xdr:col>9</xdr:col>
          <xdr:colOff>0</xdr:colOff>
          <xdr:row>15</xdr:row>
          <xdr:rowOff>9525</xdr:rowOff>
        </xdr:to>
        <xdr:sp macro="" textlink="">
          <xdr:nvSpPr>
            <xdr:cNvPr id="11270" name="roughterrain_check_box" hidden="1">
              <a:extLst>
                <a:ext uri="{63B3BB69-23CF-44E3-9099-C40C66FF867C}">
                  <a14:compatExt spid="_x0000_s11270"/>
                </a:ext>
                <a:ext uri="{FF2B5EF4-FFF2-40B4-BE49-F238E27FC236}">
                  <a16:creationId xmlns:a16="http://schemas.microsoft.com/office/drawing/2014/main" id="{00000000-0008-0000-0B00-0000062C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Segoe UI"/>
                  <a:cs typeface="Segoe UI"/>
                </a:rPr>
                <a:t>ROUGH TERRAIN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209550</xdr:rowOff>
        </xdr:from>
        <xdr:to>
          <xdr:col>9</xdr:col>
          <xdr:colOff>0</xdr:colOff>
          <xdr:row>17</xdr:row>
          <xdr:rowOff>0</xdr:rowOff>
        </xdr:to>
        <xdr:sp macro="" textlink="">
          <xdr:nvSpPr>
            <xdr:cNvPr id="11271" name="allinput_check_box" hidden="1">
              <a:extLst>
                <a:ext uri="{63B3BB69-23CF-44E3-9099-C40C66FF867C}">
                  <a14:compatExt spid="_x0000_s11271"/>
                </a:ext>
                <a:ext uri="{FF2B5EF4-FFF2-40B4-BE49-F238E27FC236}">
                  <a16:creationId xmlns:a16="http://schemas.microsoft.com/office/drawing/2014/main" id="{00000000-0008-0000-0B00-0000072C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Segoe UI"/>
                  <a:cs typeface="Segoe UI"/>
                </a:rPr>
                <a:t>ALL THE ABOVE</a:t>
              </a:r>
            </a:p>
          </xdr:txBody>
        </xdr:sp>
        <xdr:clientData fLocksWithSheet="0"/>
      </xdr:twoCellAnchor>
    </mc:Choice>
    <mc:Fallback/>
  </mc:AlternateContent>
  <xdr:twoCellAnchor editAs="absolute">
    <xdr:from>
      <xdr:col>37</xdr:col>
      <xdr:colOff>666750</xdr:colOff>
      <xdr:row>2</xdr:row>
      <xdr:rowOff>104775</xdr:rowOff>
    </xdr:from>
    <xdr:to>
      <xdr:col>40</xdr:col>
      <xdr:colOff>676275</xdr:colOff>
      <xdr:row>5</xdr:row>
      <xdr:rowOff>3</xdr:rowOff>
    </xdr:to>
    <xdr:grpSp>
      <xdr:nvGrpSpPr>
        <xdr:cNvPr id="9" name="back_to_choise_from_curbs">
          <a:extLst>
            <a:ext uri="{FF2B5EF4-FFF2-40B4-BE49-F238E27FC236}">
              <a16:creationId xmlns:a16="http://schemas.microsoft.com/office/drawing/2014/main" id="{00000000-0008-0000-0B00-000009000000}"/>
            </a:ext>
          </a:extLst>
        </xdr:cNvPr>
        <xdr:cNvGrpSpPr>
          <a:grpSpLocks noChangeAspect="1"/>
        </xdr:cNvGrpSpPr>
      </xdr:nvGrpSpPr>
      <xdr:grpSpPr>
        <a:xfrm>
          <a:off x="27936825" y="323850"/>
          <a:ext cx="2066925" cy="742953"/>
          <a:chOff x="28013024" y="180972"/>
          <a:chExt cx="2066925" cy="742953"/>
        </a:xfrm>
      </xdr:grpSpPr>
      <xdr:sp macro="[0]!BACK_TO_INPUT" textlink="">
        <xdr:nvSpPr>
          <xdr:cNvPr id="10" name="TextBox 9">
            <a:extLst>
              <a:ext uri="{FF2B5EF4-FFF2-40B4-BE49-F238E27FC236}">
                <a16:creationId xmlns:a16="http://schemas.microsoft.com/office/drawing/2014/main" id="{00000000-0008-0000-0B00-00000A000000}"/>
              </a:ext>
            </a:extLst>
          </xdr:cNvPr>
          <xdr:cNvSpPr txBox="1"/>
        </xdr:nvSpPr>
        <xdr:spPr>
          <a:xfrm>
            <a:off x="28013024" y="647700"/>
            <a:ext cx="2066925"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200" b="1">
                <a:solidFill>
                  <a:schemeClr val="accent1"/>
                </a:solidFill>
                <a:latin typeface="Courier New" panose="02070309020205020404" pitchFamily="49" charset="0"/>
                <a:cs typeface="Courier New" panose="02070309020205020404" pitchFamily="49" charset="0"/>
              </a:rPr>
              <a:t>Back To Input Choise</a:t>
            </a:r>
          </a:p>
        </xdr:txBody>
      </xdr:sp>
      <xdr:sp macro="[0]!BACK_TO_INPUT" textlink="">
        <xdr:nvSpPr>
          <xdr:cNvPr id="11" name="Arrow: Chevron 10">
            <a:extLst>
              <a:ext uri="{FF2B5EF4-FFF2-40B4-BE49-F238E27FC236}">
                <a16:creationId xmlns:a16="http://schemas.microsoft.com/office/drawing/2014/main" id="{00000000-0008-0000-0B00-00000B000000}"/>
              </a:ext>
            </a:extLst>
          </xdr:cNvPr>
          <xdr:cNvSpPr/>
        </xdr:nvSpPr>
        <xdr:spPr>
          <a:xfrm rot="10800000">
            <a:off x="29684346"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12" name="Arrow: Chevron 11">
            <a:extLst>
              <a:ext uri="{FF2B5EF4-FFF2-40B4-BE49-F238E27FC236}">
                <a16:creationId xmlns:a16="http://schemas.microsoft.com/office/drawing/2014/main" id="{00000000-0008-0000-0B00-00000C000000}"/>
              </a:ext>
            </a:extLst>
          </xdr:cNvPr>
          <xdr:cNvSpPr/>
        </xdr:nvSpPr>
        <xdr:spPr>
          <a:xfrm rot="10800000">
            <a:off x="29498923"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13" name="Arrow: Chevron 12">
            <a:extLst>
              <a:ext uri="{FF2B5EF4-FFF2-40B4-BE49-F238E27FC236}">
                <a16:creationId xmlns:a16="http://schemas.microsoft.com/office/drawing/2014/main" id="{00000000-0008-0000-0B00-00000D000000}"/>
              </a:ext>
            </a:extLst>
          </xdr:cNvPr>
          <xdr:cNvSpPr/>
        </xdr:nvSpPr>
        <xdr:spPr>
          <a:xfrm rot="10800000">
            <a:off x="29316438"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grpSp>
    <xdr:clientData/>
  </xdr:twoCellAnchor>
  <xdr:twoCellAnchor editAs="absolute">
    <xdr:from>
      <xdr:col>7</xdr:col>
      <xdr:colOff>885825</xdr:colOff>
      <xdr:row>17</xdr:row>
      <xdr:rowOff>47625</xdr:rowOff>
    </xdr:from>
    <xdr:to>
      <xdr:col>10</xdr:col>
      <xdr:colOff>133350</xdr:colOff>
      <xdr:row>19</xdr:row>
      <xdr:rowOff>85725</xdr:rowOff>
    </xdr:to>
    <xdr:grpSp>
      <xdr:nvGrpSpPr>
        <xdr:cNvPr id="17" name="Group 16">
          <a:extLst>
            <a:ext uri="{FF2B5EF4-FFF2-40B4-BE49-F238E27FC236}">
              <a16:creationId xmlns:a16="http://schemas.microsoft.com/office/drawing/2014/main" id="{00000000-0008-0000-0B00-000011000000}"/>
            </a:ext>
          </a:extLst>
        </xdr:cNvPr>
        <xdr:cNvGrpSpPr>
          <a:grpSpLocks noChangeAspect="1"/>
        </xdr:cNvGrpSpPr>
      </xdr:nvGrpSpPr>
      <xdr:grpSpPr>
        <a:xfrm>
          <a:off x="5295900" y="3743325"/>
          <a:ext cx="2724150" cy="476250"/>
          <a:chOff x="1390650" y="3667125"/>
          <a:chExt cx="2724150" cy="476250"/>
        </a:xfrm>
      </xdr:grpSpPr>
      <xdr:sp macro="" textlink="">
        <xdr:nvSpPr>
          <xdr:cNvPr id="19" name="Arrow: Up 18">
            <a:extLst>
              <a:ext uri="{FF2B5EF4-FFF2-40B4-BE49-F238E27FC236}">
                <a16:creationId xmlns:a16="http://schemas.microsoft.com/office/drawing/2014/main" id="{00000000-0008-0000-0B00-000013000000}"/>
              </a:ext>
            </a:extLst>
          </xdr:cNvPr>
          <xdr:cNvSpPr/>
        </xdr:nvSpPr>
        <xdr:spPr>
          <a:xfrm>
            <a:off x="1390650" y="3667125"/>
            <a:ext cx="342900" cy="466725"/>
          </a:xfrm>
          <a:prstGeom prst="upArrow">
            <a:avLst/>
          </a:prstGeom>
          <a:solidFill>
            <a:srgbClr val="FFC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TextBox 19">
            <a:extLst>
              <a:ext uri="{FF2B5EF4-FFF2-40B4-BE49-F238E27FC236}">
                <a16:creationId xmlns:a16="http://schemas.microsoft.com/office/drawing/2014/main" id="{00000000-0008-0000-0B00-000014000000}"/>
              </a:ext>
            </a:extLst>
          </xdr:cNvPr>
          <xdr:cNvSpPr txBox="1"/>
        </xdr:nvSpPr>
        <xdr:spPr>
          <a:xfrm>
            <a:off x="1485899" y="3848100"/>
            <a:ext cx="2628901"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latin typeface="Courier New" panose="02070309020205020404" pitchFamily="49" charset="0"/>
                <a:cs typeface="Courier New" panose="02070309020205020404" pitchFamily="49" charset="0"/>
              </a:rPr>
              <a:t>CHOOSE</a:t>
            </a:r>
            <a:r>
              <a:rPr lang="en-US" sz="1100" b="1" baseline="0">
                <a:latin typeface="Courier New" panose="02070309020205020404" pitchFamily="49" charset="0"/>
                <a:cs typeface="Courier New" panose="02070309020205020404" pitchFamily="49" charset="0"/>
              </a:rPr>
              <a:t> INPUT TYPE HERE</a:t>
            </a:r>
            <a:endParaRPr lang="en-US" sz="1100" b="1">
              <a:latin typeface="Courier New" panose="02070309020205020404" pitchFamily="49" charset="0"/>
              <a:cs typeface="Courier New" panose="02070309020205020404" pitchFamily="49" charset="0"/>
            </a:endParaRPr>
          </a:p>
        </xdr:txBody>
      </xdr:sp>
    </xdr:grpSp>
    <xdr:clientData/>
  </xdr:twoCellAnchor>
  <xdr:twoCellAnchor editAs="absolute">
    <xdr:from>
      <xdr:col>10</xdr:col>
      <xdr:colOff>723901</xdr:colOff>
      <xdr:row>2</xdr:row>
      <xdr:rowOff>104775</xdr:rowOff>
    </xdr:from>
    <xdr:to>
      <xdr:col>12</xdr:col>
      <xdr:colOff>685801</xdr:colOff>
      <xdr:row>4</xdr:row>
      <xdr:rowOff>216778</xdr:rowOff>
    </xdr:to>
    <xdr:grpSp>
      <xdr:nvGrpSpPr>
        <xdr:cNvPr id="4" name="Group 3">
          <a:extLst>
            <a:ext uri="{FF2B5EF4-FFF2-40B4-BE49-F238E27FC236}">
              <a16:creationId xmlns:a16="http://schemas.microsoft.com/office/drawing/2014/main" id="{00000000-0008-0000-0B00-000004000000}"/>
            </a:ext>
          </a:extLst>
        </xdr:cNvPr>
        <xdr:cNvGrpSpPr>
          <a:grpSpLocks noChangeAspect="1"/>
        </xdr:cNvGrpSpPr>
      </xdr:nvGrpSpPr>
      <xdr:grpSpPr>
        <a:xfrm>
          <a:off x="8610601" y="323850"/>
          <a:ext cx="1390650" cy="740653"/>
          <a:chOff x="8610601" y="323850"/>
          <a:chExt cx="1390650" cy="740653"/>
        </a:xfrm>
      </xdr:grpSpPr>
      <xdr:sp macro="[0]!TO_PROFILE_CHECK" textlink="">
        <xdr:nvSpPr>
          <xdr:cNvPr id="22" name="TextBox 21">
            <a:extLst>
              <a:ext uri="{FF2B5EF4-FFF2-40B4-BE49-F238E27FC236}">
                <a16:creationId xmlns:a16="http://schemas.microsoft.com/office/drawing/2014/main" id="{00000000-0008-0000-0B00-000016000000}"/>
              </a:ext>
            </a:extLst>
          </xdr:cNvPr>
          <xdr:cNvSpPr txBox="1"/>
        </xdr:nvSpPr>
        <xdr:spPr>
          <a:xfrm>
            <a:off x="8610601" y="789133"/>
            <a:ext cx="1390650" cy="275370"/>
          </a:xfrm>
          <a:prstGeom prst="rect">
            <a:avLst/>
          </a:prstGeom>
          <a:solidFill>
            <a:schemeClr val="bg1"/>
          </a:solid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it-IT" sz="1200" b="1" i="0" u="none" strike="noStrike" kern="0" cap="none" spc="0" normalizeH="0" baseline="0" noProof="0">
                <a:ln>
                  <a:noFill/>
                </a:ln>
                <a:solidFill>
                  <a:srgbClr val="4472C4"/>
                </a:solidFill>
                <a:effectLst/>
                <a:uLnTx/>
                <a:uFillTx/>
                <a:latin typeface="Courier New" panose="02070309020205020404" pitchFamily="49" charset="0"/>
                <a:ea typeface="+mn-ea"/>
                <a:cs typeface="Courier New" panose="02070309020205020404" pitchFamily="49" charset="0"/>
              </a:rPr>
              <a:t>To Input Data</a:t>
            </a:r>
          </a:p>
        </xdr:txBody>
      </xdr:sp>
      <xdr:sp macro="[0]!TO_PROFILE_CHECK" textlink="">
        <xdr:nvSpPr>
          <xdr:cNvPr id="23" name="Arrow: Chevron 22">
            <a:extLst>
              <a:ext uri="{FF2B5EF4-FFF2-40B4-BE49-F238E27FC236}">
                <a16:creationId xmlns:a16="http://schemas.microsoft.com/office/drawing/2014/main" id="{00000000-0008-0000-0B00-000017000000}"/>
              </a:ext>
            </a:extLst>
          </xdr:cNvPr>
          <xdr:cNvSpPr/>
        </xdr:nvSpPr>
        <xdr:spPr>
          <a:xfrm>
            <a:off x="9053197" y="323850"/>
            <a:ext cx="209551" cy="448004"/>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0]!TO_PROFILE_CHECK" textlink="">
        <xdr:nvSpPr>
          <xdr:cNvPr id="24" name="Arrow: Chevron 23">
            <a:extLst>
              <a:ext uri="{FF2B5EF4-FFF2-40B4-BE49-F238E27FC236}">
                <a16:creationId xmlns:a16="http://schemas.microsoft.com/office/drawing/2014/main" id="{00000000-0008-0000-0B00-000018000000}"/>
              </a:ext>
            </a:extLst>
          </xdr:cNvPr>
          <xdr:cNvSpPr/>
        </xdr:nvSpPr>
        <xdr:spPr>
          <a:xfrm>
            <a:off x="8867774" y="323850"/>
            <a:ext cx="209551" cy="448004"/>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0]!TO_PROFILE_CHECK" textlink="">
        <xdr:nvSpPr>
          <xdr:cNvPr id="25" name="Arrow: Chevron 24">
            <a:extLst>
              <a:ext uri="{FF2B5EF4-FFF2-40B4-BE49-F238E27FC236}">
                <a16:creationId xmlns:a16="http://schemas.microsoft.com/office/drawing/2014/main" id="{00000000-0008-0000-0B00-000019000000}"/>
              </a:ext>
            </a:extLst>
          </xdr:cNvPr>
          <xdr:cNvSpPr/>
        </xdr:nvSpPr>
        <xdr:spPr>
          <a:xfrm>
            <a:off x="8685289" y="323850"/>
            <a:ext cx="209551" cy="448004"/>
          </a:xfrm>
          <a:prstGeom prst="chevron">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it-I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grpSp>
    <xdr:clientData/>
  </xdr:twoCellAnchor>
  <xdr:twoCellAnchor editAs="absolute">
    <xdr:from>
      <xdr:col>38</xdr:col>
      <xdr:colOff>28575</xdr:colOff>
      <xdr:row>22</xdr:row>
      <xdr:rowOff>49899</xdr:rowOff>
    </xdr:from>
    <xdr:to>
      <xdr:col>45</xdr:col>
      <xdr:colOff>390525</xdr:colOff>
      <xdr:row>36</xdr:row>
      <xdr:rowOff>133865</xdr:rowOff>
    </xdr:to>
    <xdr:pic>
      <xdr:nvPicPr>
        <xdr:cNvPr id="5" name="curbs_track">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7984450" y="4840974"/>
          <a:ext cx="5162550" cy="3151016"/>
        </a:xfrm>
        <a:prstGeom prst="rect">
          <a:avLst/>
        </a:prstGeom>
      </xdr:spPr>
    </xdr:pic>
    <xdr:clientData/>
  </xdr:twoCellAnchor>
  <xdr:twoCellAnchor editAs="absolute">
    <xdr:from>
      <xdr:col>4</xdr:col>
      <xdr:colOff>676275</xdr:colOff>
      <xdr:row>19</xdr:row>
      <xdr:rowOff>171450</xdr:rowOff>
    </xdr:from>
    <xdr:to>
      <xdr:col>9</xdr:col>
      <xdr:colOff>1266825</xdr:colOff>
      <xdr:row>23</xdr:row>
      <xdr:rowOff>85726</xdr:rowOff>
    </xdr:to>
    <xdr:sp macro="" textlink="">
      <xdr:nvSpPr>
        <xdr:cNvPr id="7" name="TextBox 6">
          <a:extLst>
            <a:ext uri="{FF2B5EF4-FFF2-40B4-BE49-F238E27FC236}">
              <a16:creationId xmlns:a16="http://schemas.microsoft.com/office/drawing/2014/main" id="{00000000-0008-0000-0B00-000007000000}"/>
            </a:ext>
          </a:extLst>
        </xdr:cNvPr>
        <xdr:cNvSpPr txBox="1">
          <a:spLocks noChangeAspect="1"/>
        </xdr:cNvSpPr>
      </xdr:nvSpPr>
      <xdr:spPr>
        <a:xfrm>
          <a:off x="2733675" y="4305300"/>
          <a:ext cx="5133975" cy="790576"/>
        </a:xfrm>
        <a:prstGeom prst="rect">
          <a:avLst/>
        </a:prstGeom>
        <a:solidFill>
          <a:schemeClr val="accent1">
            <a:lumMod val="20000"/>
            <a:lumOff val="80000"/>
          </a:schemeClr>
        </a:solidFill>
        <a:ln w="28575" cmpd="sng">
          <a:solidFill>
            <a:srgbClr val="4472C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200" b="1" u="sng">
              <a:solidFill>
                <a:schemeClr val="accent1">
                  <a:lumMod val="75000"/>
                </a:schemeClr>
              </a:solidFill>
              <a:latin typeface="Courier New" panose="02070309020205020404" pitchFamily="49" charset="0"/>
              <a:cs typeface="Courier New" panose="02070309020205020404" pitchFamily="49" charset="0"/>
            </a:rPr>
            <a:t>Note: </a:t>
          </a:r>
        </a:p>
        <a:p>
          <a:r>
            <a:rPr lang="it-IT" sz="1100" b="0" i="0">
              <a:solidFill>
                <a:schemeClr val="dk1"/>
              </a:solidFill>
              <a:effectLst/>
              <a:latin typeface="Courier New" panose="02070309020205020404" pitchFamily="49" charset="0"/>
              <a:ea typeface="+mn-ea"/>
              <a:cs typeface="Courier New" panose="02070309020205020404" pitchFamily="49" charset="0"/>
            </a:rPr>
            <a:t>After selecting the input, utilize the 'To Input Data' button to access numerical value adjustments. Otherwise, the default values below will be used.</a:t>
          </a:r>
          <a:endParaRPr lang="it-IT" sz="1200" i="1" u="sng" baseline="0">
            <a:latin typeface="Courier New" panose="02070309020205020404" pitchFamily="49" charset="0"/>
            <a:cs typeface="Courier New" panose="02070309020205020404" pitchFamily="49" charset="0"/>
          </a:endParaRPr>
        </a:p>
      </xdr:txBody>
    </xdr:sp>
    <xdr:clientData/>
  </xdr:twoCellAnchor>
  <xdr:twoCellAnchor>
    <xdr:from>
      <xdr:col>12</xdr:col>
      <xdr:colOff>962025</xdr:colOff>
      <xdr:row>1</xdr:row>
      <xdr:rowOff>142875</xdr:rowOff>
    </xdr:from>
    <xdr:to>
      <xdr:col>17</xdr:col>
      <xdr:colOff>790574</xdr:colOff>
      <xdr:row>5</xdr:row>
      <xdr:rowOff>95250</xdr:rowOff>
    </xdr:to>
    <xdr:sp macro="" textlink="">
      <xdr:nvSpPr>
        <xdr:cNvPr id="8" name="Speech Bubble: Rectangle with Corners Rounded 7">
          <a:extLst>
            <a:ext uri="{FF2B5EF4-FFF2-40B4-BE49-F238E27FC236}">
              <a16:creationId xmlns:a16="http://schemas.microsoft.com/office/drawing/2014/main" id="{00000000-0008-0000-0B00-000008000000}"/>
            </a:ext>
          </a:extLst>
        </xdr:cNvPr>
        <xdr:cNvSpPr/>
      </xdr:nvSpPr>
      <xdr:spPr>
        <a:xfrm>
          <a:off x="10277475" y="142875"/>
          <a:ext cx="3848099" cy="1019175"/>
        </a:xfrm>
        <a:prstGeom prst="wedgeRoundRectCallout">
          <a:avLst>
            <a:gd name="adj1" fmla="val -61911"/>
            <a:gd name="adj2" fmla="val -19791"/>
            <a:gd name="adj3" fmla="val 16667"/>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it-IT" sz="2400"/>
            <a:t>FIX THE MACRO</a:t>
          </a:r>
          <a:r>
            <a:rPr lang="it-IT" sz="2400" baseline="0"/>
            <a:t> BEHIND THE BUTTON </a:t>
          </a:r>
          <a:endParaRPr lang="it-IT" sz="2400"/>
        </a:p>
      </xdr:txBody>
    </xdr:sp>
    <xdr:clientData/>
  </xdr:twoCellAnchor>
  <xdr:twoCellAnchor>
    <xdr:from>
      <xdr:col>6</xdr:col>
      <xdr:colOff>400707</xdr:colOff>
      <xdr:row>10</xdr:row>
      <xdr:rowOff>113150</xdr:rowOff>
    </xdr:from>
    <xdr:to>
      <xdr:col>7</xdr:col>
      <xdr:colOff>0</xdr:colOff>
      <xdr:row>10</xdr:row>
      <xdr:rowOff>114300</xdr:rowOff>
    </xdr:to>
    <xdr:cxnSp macro="">
      <xdr:nvCxnSpPr>
        <xdr:cNvPr id="15" name="Straight Connector 14">
          <a:extLst>
            <a:ext uri="{FF2B5EF4-FFF2-40B4-BE49-F238E27FC236}">
              <a16:creationId xmlns:a16="http://schemas.microsoft.com/office/drawing/2014/main" id="{00000000-0008-0000-0B00-00000F000000}"/>
            </a:ext>
          </a:extLst>
        </xdr:cNvPr>
        <xdr:cNvCxnSpPr/>
      </xdr:nvCxnSpPr>
      <xdr:spPr>
        <a:xfrm flipV="1">
          <a:off x="3849414" y="2254633"/>
          <a:ext cx="551793" cy="1150"/>
        </a:xfrm>
        <a:prstGeom prst="line">
          <a:avLst/>
        </a:prstGeom>
        <a:ln w="28575">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417634</xdr:colOff>
      <xdr:row>10</xdr:row>
      <xdr:rowOff>117231</xdr:rowOff>
    </xdr:from>
    <xdr:to>
      <xdr:col>6</xdr:col>
      <xdr:colOff>942975</xdr:colOff>
      <xdr:row>12</xdr:row>
      <xdr:rowOff>104774</xdr:rowOff>
    </xdr:to>
    <xdr:cxnSp macro="">
      <xdr:nvCxnSpPr>
        <xdr:cNvPr id="21" name="Connector: Curved 20">
          <a:extLst>
            <a:ext uri="{FF2B5EF4-FFF2-40B4-BE49-F238E27FC236}">
              <a16:creationId xmlns:a16="http://schemas.microsoft.com/office/drawing/2014/main" id="{00000000-0008-0000-0B00-000015000000}"/>
            </a:ext>
          </a:extLst>
        </xdr:cNvPr>
        <xdr:cNvCxnSpPr/>
      </xdr:nvCxnSpPr>
      <xdr:spPr>
        <a:xfrm>
          <a:off x="3890596" y="2286000"/>
          <a:ext cx="525341" cy="427159"/>
        </a:xfrm>
        <a:prstGeom prst="curvedConnector3">
          <a:avLst/>
        </a:prstGeom>
        <a:ln w="28575">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410306</xdr:colOff>
      <xdr:row>10</xdr:row>
      <xdr:rowOff>117231</xdr:rowOff>
    </xdr:from>
    <xdr:to>
      <xdr:col>6</xdr:col>
      <xdr:colOff>952499</xdr:colOff>
      <xdr:row>14</xdr:row>
      <xdr:rowOff>114666</xdr:rowOff>
    </xdr:to>
    <xdr:cxnSp macro="">
      <xdr:nvCxnSpPr>
        <xdr:cNvPr id="32" name="Connector: Curved 31">
          <a:extLst>
            <a:ext uri="{FF2B5EF4-FFF2-40B4-BE49-F238E27FC236}">
              <a16:creationId xmlns:a16="http://schemas.microsoft.com/office/drawing/2014/main" id="{00000000-0008-0000-0B00-000020000000}"/>
            </a:ext>
          </a:extLst>
        </xdr:cNvPr>
        <xdr:cNvCxnSpPr/>
      </xdr:nvCxnSpPr>
      <xdr:spPr>
        <a:xfrm rot="16200000" flipH="1">
          <a:off x="3716032" y="2453236"/>
          <a:ext cx="876666" cy="542193"/>
        </a:xfrm>
        <a:prstGeom prst="curvedConnector2">
          <a:avLst/>
        </a:prstGeom>
        <a:ln w="28575">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410307</xdr:colOff>
      <xdr:row>10</xdr:row>
      <xdr:rowOff>124557</xdr:rowOff>
    </xdr:from>
    <xdr:to>
      <xdr:col>7</xdr:col>
      <xdr:colOff>0</xdr:colOff>
      <xdr:row>16</xdr:row>
      <xdr:rowOff>104774</xdr:rowOff>
    </xdr:to>
    <xdr:cxnSp macro="">
      <xdr:nvCxnSpPr>
        <xdr:cNvPr id="37" name="Connector: Curved 36">
          <a:extLst>
            <a:ext uri="{FF2B5EF4-FFF2-40B4-BE49-F238E27FC236}">
              <a16:creationId xmlns:a16="http://schemas.microsoft.com/office/drawing/2014/main" id="{00000000-0008-0000-0B00-000025000000}"/>
            </a:ext>
          </a:extLst>
        </xdr:cNvPr>
        <xdr:cNvCxnSpPr/>
      </xdr:nvCxnSpPr>
      <xdr:spPr>
        <a:xfrm rot="16200000" flipH="1">
          <a:off x="3504834" y="2671761"/>
          <a:ext cx="1299063" cy="542193"/>
        </a:xfrm>
        <a:prstGeom prst="curvedConnector2">
          <a:avLst/>
        </a:prstGeom>
        <a:ln w="28575">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56</xdr:col>
      <xdr:colOff>76200</xdr:colOff>
      <xdr:row>2</xdr:row>
      <xdr:rowOff>104775</xdr:rowOff>
    </xdr:from>
    <xdr:to>
      <xdr:col>59</xdr:col>
      <xdr:colOff>85725</xdr:colOff>
      <xdr:row>5</xdr:row>
      <xdr:rowOff>3</xdr:rowOff>
    </xdr:to>
    <xdr:grpSp>
      <xdr:nvGrpSpPr>
        <xdr:cNvPr id="33" name="back_to_choise_from_potholes">
          <a:extLst>
            <a:ext uri="{FF2B5EF4-FFF2-40B4-BE49-F238E27FC236}">
              <a16:creationId xmlns:a16="http://schemas.microsoft.com/office/drawing/2014/main" id="{00000000-0008-0000-0B00-000021000000}"/>
            </a:ext>
          </a:extLst>
        </xdr:cNvPr>
        <xdr:cNvGrpSpPr>
          <a:grpSpLocks noChangeAspect="1"/>
        </xdr:cNvGrpSpPr>
      </xdr:nvGrpSpPr>
      <xdr:grpSpPr>
        <a:xfrm>
          <a:off x="40376475" y="323850"/>
          <a:ext cx="2066925" cy="742953"/>
          <a:chOff x="28013024" y="180972"/>
          <a:chExt cx="2066925" cy="742953"/>
        </a:xfrm>
      </xdr:grpSpPr>
      <xdr:sp macro="[0]!BACK_TO_INPUT" textlink="">
        <xdr:nvSpPr>
          <xdr:cNvPr id="34" name="TextBox 33">
            <a:extLst>
              <a:ext uri="{FF2B5EF4-FFF2-40B4-BE49-F238E27FC236}">
                <a16:creationId xmlns:a16="http://schemas.microsoft.com/office/drawing/2014/main" id="{00000000-0008-0000-0B00-000022000000}"/>
              </a:ext>
            </a:extLst>
          </xdr:cNvPr>
          <xdr:cNvSpPr txBox="1"/>
        </xdr:nvSpPr>
        <xdr:spPr>
          <a:xfrm>
            <a:off x="28013024" y="647700"/>
            <a:ext cx="2066925"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200" b="1">
                <a:solidFill>
                  <a:schemeClr val="accent1"/>
                </a:solidFill>
                <a:latin typeface="Courier New" panose="02070309020205020404" pitchFamily="49" charset="0"/>
                <a:cs typeface="Courier New" panose="02070309020205020404" pitchFamily="49" charset="0"/>
              </a:rPr>
              <a:t>Back To Input Choise</a:t>
            </a:r>
          </a:p>
        </xdr:txBody>
      </xdr:sp>
      <xdr:sp macro="[0]!BACK_TO_INPUT" textlink="">
        <xdr:nvSpPr>
          <xdr:cNvPr id="35" name="Arrow: Chevron 34">
            <a:extLst>
              <a:ext uri="{FF2B5EF4-FFF2-40B4-BE49-F238E27FC236}">
                <a16:creationId xmlns:a16="http://schemas.microsoft.com/office/drawing/2014/main" id="{00000000-0008-0000-0B00-000023000000}"/>
              </a:ext>
            </a:extLst>
          </xdr:cNvPr>
          <xdr:cNvSpPr/>
        </xdr:nvSpPr>
        <xdr:spPr>
          <a:xfrm rot="10800000">
            <a:off x="29684346"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38" name="Arrow: Chevron 37">
            <a:extLst>
              <a:ext uri="{FF2B5EF4-FFF2-40B4-BE49-F238E27FC236}">
                <a16:creationId xmlns:a16="http://schemas.microsoft.com/office/drawing/2014/main" id="{00000000-0008-0000-0B00-000026000000}"/>
              </a:ext>
            </a:extLst>
          </xdr:cNvPr>
          <xdr:cNvSpPr/>
        </xdr:nvSpPr>
        <xdr:spPr>
          <a:xfrm rot="10800000">
            <a:off x="29498923"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sp macro="[0]!BACK_TO_INPUT" textlink="">
        <xdr:nvSpPr>
          <xdr:cNvPr id="39" name="Arrow: Chevron 38">
            <a:extLst>
              <a:ext uri="{FF2B5EF4-FFF2-40B4-BE49-F238E27FC236}">
                <a16:creationId xmlns:a16="http://schemas.microsoft.com/office/drawing/2014/main" id="{00000000-0008-0000-0B00-000027000000}"/>
              </a:ext>
            </a:extLst>
          </xdr:cNvPr>
          <xdr:cNvSpPr/>
        </xdr:nvSpPr>
        <xdr:spPr>
          <a:xfrm rot="10800000">
            <a:off x="29316438" y="180972"/>
            <a:ext cx="209551" cy="449395"/>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chemeClr val="tx1"/>
              </a:solidFill>
            </a:endParaRPr>
          </a:p>
        </xdr:txBody>
      </xdr:sp>
    </xdr:grpSp>
    <xdr:clientData/>
  </xdr:twoCellAnchor>
  <xdr:twoCellAnchor editAs="oneCell">
    <xdr:from>
      <xdr:col>48</xdr:col>
      <xdr:colOff>309562</xdr:colOff>
      <xdr:row>13</xdr:row>
      <xdr:rowOff>128586</xdr:rowOff>
    </xdr:from>
    <xdr:to>
      <xdr:col>57</xdr:col>
      <xdr:colOff>302860</xdr:colOff>
      <xdr:row>28</xdr:row>
      <xdr:rowOff>76199</xdr:rowOff>
    </xdr:to>
    <xdr:pic>
      <xdr:nvPicPr>
        <xdr:cNvPr id="41" name="Picture 40">
          <a:extLst>
            <a:ext uri="{FF2B5EF4-FFF2-40B4-BE49-F238E27FC236}">
              <a16:creationId xmlns:a16="http://schemas.microsoft.com/office/drawing/2014/main" id="{00000000-0008-0000-0B00-000029000000}"/>
            </a:ext>
          </a:extLst>
        </xdr:cNvPr>
        <xdr:cNvPicPr>
          <a:picLocks noChangeAspect="1"/>
        </xdr:cNvPicPr>
      </xdr:nvPicPr>
      <xdr:blipFill>
        <a:blip xmlns:r="http://schemas.openxmlformats.org/officeDocument/2006/relationships" r:embed="rId4">
          <a:alphaModFix amt="50000"/>
          <a:extLst>
            <a:ext uri="{28A0092B-C50C-407E-A947-70E740481C1C}">
              <a14:useLocalDpi xmlns:a14="http://schemas.microsoft.com/office/drawing/2010/main" val="0"/>
            </a:ext>
          </a:extLst>
        </a:blip>
        <a:stretch>
          <a:fillRect/>
        </a:stretch>
      </xdr:blipFill>
      <xdr:spPr>
        <a:xfrm rot="19771209">
          <a:off x="35123437" y="2947986"/>
          <a:ext cx="6165498" cy="3233738"/>
        </a:xfrm>
        <a:prstGeom prst="rect">
          <a:avLst/>
        </a:prstGeom>
      </xdr:spPr>
    </xdr:pic>
    <xdr:clientData/>
  </xdr:twoCellAnchor>
  <xdr:twoCellAnchor editAs="oneCell">
    <xdr:from>
      <xdr:col>67</xdr:col>
      <xdr:colOff>85725</xdr:colOff>
      <xdr:row>6</xdr:row>
      <xdr:rowOff>47343</xdr:rowOff>
    </xdr:from>
    <xdr:to>
      <xdr:col>76</xdr:col>
      <xdr:colOff>69498</xdr:colOff>
      <xdr:row>21</xdr:row>
      <xdr:rowOff>61631</xdr:rowOff>
    </xdr:to>
    <xdr:pic>
      <xdr:nvPicPr>
        <xdr:cNvPr id="42" name="Picture 41">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4">
          <a:alphaModFix amt="50000"/>
          <a:extLst>
            <a:ext uri="{28A0092B-C50C-407E-A947-70E740481C1C}">
              <a14:useLocalDpi xmlns:a14="http://schemas.microsoft.com/office/drawing/2010/main" val="0"/>
            </a:ext>
          </a:extLst>
        </a:blip>
        <a:stretch>
          <a:fillRect/>
        </a:stretch>
      </xdr:blipFill>
      <xdr:spPr>
        <a:xfrm rot="19771209">
          <a:off x="47929800" y="1333218"/>
          <a:ext cx="6155973" cy="3300413"/>
        </a:xfrm>
        <a:prstGeom prst="rect">
          <a:avLst/>
        </a:prstGeom>
      </xdr:spPr>
    </xdr:pic>
    <xdr:clientData/>
  </xdr:twoCellAnchor>
  <xdr:twoCellAnchor editAs="absolute">
    <xdr:from>
      <xdr:col>30</xdr:col>
      <xdr:colOff>0</xdr:colOff>
      <xdr:row>23</xdr:row>
      <xdr:rowOff>76200</xdr:rowOff>
    </xdr:from>
    <xdr:to>
      <xdr:col>36</xdr:col>
      <xdr:colOff>14400</xdr:colOff>
      <xdr:row>35</xdr:row>
      <xdr:rowOff>166365</xdr:rowOff>
    </xdr:to>
    <xdr:pic>
      <xdr:nvPicPr>
        <xdr:cNvPr id="14" name="Picture 13">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469475" y="5086350"/>
          <a:ext cx="4129200" cy="2719065"/>
        </a:xfrm>
        <a:prstGeom prst="rect">
          <a:avLst/>
        </a:prstGeom>
      </xdr:spPr>
    </xdr:pic>
    <xdr:clientData/>
  </xdr:twoCellAnchor>
  <xdr:twoCellAnchor editAs="oneCell">
    <xdr:from>
      <xdr:col>12</xdr:col>
      <xdr:colOff>452199</xdr:colOff>
      <xdr:row>20</xdr:row>
      <xdr:rowOff>161879</xdr:rowOff>
    </xdr:from>
    <xdr:to>
      <xdr:col>17</xdr:col>
      <xdr:colOff>657109</xdr:colOff>
      <xdr:row>29</xdr:row>
      <xdr:rowOff>52419</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6" cstate="print">
          <a:alphaModFix amt="50000"/>
          <a:extLst>
            <a:ext uri="{28A0092B-C50C-407E-A947-70E740481C1C}">
              <a14:useLocalDpi xmlns:a14="http://schemas.microsoft.com/office/drawing/2010/main" val="0"/>
            </a:ext>
          </a:extLst>
        </a:blip>
        <a:stretch>
          <a:fillRect/>
        </a:stretch>
      </xdr:blipFill>
      <xdr:spPr>
        <a:xfrm rot="20353101">
          <a:off x="9767649" y="4514804"/>
          <a:ext cx="4224460" cy="1862215"/>
        </a:xfrm>
        <a:prstGeom prst="rect">
          <a:avLst/>
        </a:prstGeom>
      </xdr:spPr>
    </xdr:pic>
    <xdr:clientData/>
  </xdr:twoCellAnchor>
  <xdr:twoCellAnchor editAs="oneCell">
    <xdr:from>
      <xdr:col>7</xdr:col>
      <xdr:colOff>111035</xdr:colOff>
      <xdr:row>11</xdr:row>
      <xdr:rowOff>129148</xdr:rowOff>
    </xdr:from>
    <xdr:to>
      <xdr:col>8</xdr:col>
      <xdr:colOff>1083072</xdr:colOff>
      <xdr:row>15</xdr:row>
      <xdr:rowOff>101218</xdr:rowOff>
    </xdr:to>
    <xdr:pic>
      <xdr:nvPicPr>
        <xdr:cNvPr id="16" name="Picture 15">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6" cstate="print">
          <a:alphaModFix amt="50000"/>
          <a:extLst>
            <a:ext uri="{28A0092B-C50C-407E-A947-70E740481C1C}">
              <a14:useLocalDpi xmlns:a14="http://schemas.microsoft.com/office/drawing/2010/main" val="0"/>
            </a:ext>
          </a:extLst>
        </a:blip>
        <a:stretch>
          <a:fillRect/>
        </a:stretch>
      </xdr:blipFill>
      <xdr:spPr>
        <a:xfrm rot="20353101">
          <a:off x="4521110" y="2510398"/>
          <a:ext cx="1924537" cy="84837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523875</xdr:colOff>
      <xdr:row>6</xdr:row>
      <xdr:rowOff>104775</xdr:rowOff>
    </xdr:to>
    <xdr:sp macro="" textlink="">
      <xdr:nvSpPr>
        <xdr:cNvPr id="2" name="TextBox 1">
          <a:extLst>
            <a:ext uri="{FF2B5EF4-FFF2-40B4-BE49-F238E27FC236}">
              <a16:creationId xmlns:a16="http://schemas.microsoft.com/office/drawing/2014/main" id="{00000000-0008-0000-0C00-000002000000}"/>
            </a:ext>
          </a:extLst>
        </xdr:cNvPr>
        <xdr:cNvSpPr txBox="1">
          <a:spLocks noChangeAspect="1"/>
        </xdr:cNvSpPr>
      </xdr:nvSpPr>
      <xdr:spPr>
        <a:xfrm>
          <a:off x="0" y="0"/>
          <a:ext cx="6753225" cy="1304925"/>
        </a:xfrm>
        <a:prstGeom prst="rect">
          <a:avLst/>
        </a:prstGeom>
        <a:solidFill>
          <a:schemeClr val="accent2">
            <a:lumMod val="20000"/>
            <a:lumOff val="80000"/>
          </a:schemeClr>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FF0000"/>
              </a:solidFill>
              <a:latin typeface="Courier New" panose="02070309020205020404" pitchFamily="49" charset="0"/>
              <a:cs typeface="Courier New" panose="02070309020205020404" pitchFamily="49" charset="0"/>
            </a:rPr>
            <a:t>THIS SHEET IS RESERVED ONLY TO</a:t>
          </a:r>
          <a:r>
            <a:rPr lang="en-US" sz="1600" b="1" baseline="0">
              <a:solidFill>
                <a:srgbClr val="FF0000"/>
              </a:solidFill>
              <a:latin typeface="Courier New" panose="02070309020205020404" pitchFamily="49" charset="0"/>
              <a:cs typeface="Courier New" panose="02070309020205020404" pitchFamily="49" charset="0"/>
            </a:rPr>
            <a:t> THE AUTHORS. </a:t>
          </a:r>
        </a:p>
        <a:p>
          <a:endParaRPr lang="en-US" sz="1600" b="1" baseline="0">
            <a:solidFill>
              <a:srgbClr val="FF0000"/>
            </a:solidFill>
            <a:latin typeface="Courier New" panose="02070309020205020404" pitchFamily="49" charset="0"/>
            <a:cs typeface="Courier New" panose="02070309020205020404" pitchFamily="49" charset="0"/>
          </a:endParaRPr>
        </a:p>
        <a:p>
          <a:r>
            <a:rPr lang="en-US" sz="1600" b="1" u="sng" baseline="0">
              <a:solidFill>
                <a:srgbClr val="FF0000"/>
              </a:solidFill>
              <a:latin typeface="Courier New" panose="02070309020205020404" pitchFamily="49" charset="0"/>
              <a:cs typeface="Courier New" panose="02070309020205020404" pitchFamily="49" charset="0"/>
            </a:rPr>
            <a:t>FOR ANY ISSUE PLEASE CONTACT: </a:t>
          </a:r>
        </a:p>
        <a:p>
          <a:r>
            <a:rPr lang="en-US" sz="1600" b="1" baseline="0">
              <a:solidFill>
                <a:srgbClr val="FF0000"/>
              </a:solidFill>
              <a:latin typeface="Courier New" panose="02070309020205020404" pitchFamily="49" charset="0"/>
              <a:cs typeface="Courier New" panose="02070309020205020404" pitchFamily="49" charset="0"/>
            </a:rPr>
            <a:t>GIACOMO CANGI - </a:t>
          </a:r>
          <a:r>
            <a:rPr lang="en-US" sz="1600" b="1" u="sng" baseline="0">
              <a:solidFill>
                <a:srgbClr val="FF0000"/>
              </a:solidFill>
              <a:latin typeface="Courier New" panose="02070309020205020404" pitchFamily="49" charset="0"/>
              <a:cs typeface="Courier New" panose="02070309020205020404" pitchFamily="49" charset="0"/>
            </a:rPr>
            <a:t>Giacomo.Cangi@terex.com</a:t>
          </a:r>
        </a:p>
        <a:p>
          <a:r>
            <a:rPr lang="en-US" sz="1600" b="1" baseline="0">
              <a:solidFill>
                <a:srgbClr val="FF0000"/>
              </a:solidFill>
              <a:latin typeface="Courier New" panose="02070309020205020404" pitchFamily="49" charset="0"/>
              <a:cs typeface="Courier New" panose="02070309020205020404" pitchFamily="49" charset="0"/>
            </a:rPr>
            <a:t>ALESSANDRO ANGELETTI - </a:t>
          </a:r>
          <a:r>
            <a:rPr lang="en-US" sz="1600" b="1" u="sng" baseline="0">
              <a:solidFill>
                <a:srgbClr val="FF0000"/>
              </a:solidFill>
              <a:latin typeface="Courier New" panose="02070309020205020404" pitchFamily="49" charset="0"/>
              <a:cs typeface="Courier New" panose="02070309020205020404" pitchFamily="49" charset="0"/>
            </a:rPr>
            <a:t>Alessandro.Angeletti@terex.com</a:t>
          </a:r>
          <a:endParaRPr lang="en-US" sz="1600" b="1" u="sng">
            <a:solidFill>
              <a:srgbClr val="FF0000"/>
            </a:solidFill>
            <a:latin typeface="Courier New" panose="02070309020205020404" pitchFamily="49" charset="0"/>
            <a:cs typeface="Courier New" panose="02070309020205020404" pitchFamily="49"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CDC81D-AD3D-4AD0-88E8-46DF31C7BDD8}" name="Table1" displayName="Table1" ref="A9:B16" totalsRowShown="0" headerRowDxfId="6" dataDxfId="5">
  <autoFilter ref="A9:B16" xr:uid="{60CDC81D-AD3D-4AD0-88E8-46DF31C7BDD8}"/>
  <tableColumns count="2">
    <tableColumn id="1" xr3:uid="{2A6B71EA-F4C0-4AA0-9E75-D25893A8EE30}" name="CONVERSION FACTORS" dataDxfId="4"/>
    <tableColumn id="2" xr3:uid="{1E9B026C-B6C5-4AE1-91A5-65F65236D27C}" name="DESCRIPTION" dataDxfId="3"/>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0D7C6E5-F170-43FE-A4C4-22CFB20224C0}" name="Table2" displayName="Table2" ref="D9:D12" totalsRowShown="0" headerRowDxfId="2" dataDxfId="1">
  <autoFilter ref="D9:D12" xr:uid="{40D7C6E5-F170-43FE-A4C4-22CFB20224C0}"/>
  <tableColumns count="1">
    <tableColumn id="1" xr3:uid="{C8C25D45-9ED8-4231-80E7-0390DCA949A3}" name="SIDE INPUT FOR THE MODEL"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53C4D39-807D-472F-BDC9-AAB6EA34C989}">
  <we:reference id="wa200003696" version="1.3.0.0" store="en-US" storeType="OMEX"/>
  <we:alternateReferences>
    <we:reference id="wa200003696" version="1.3.0.0" store="wa200003696" storeType="OMEX"/>
  </we:alternateReferences>
  <we:properties>
    <we:property name="projectV0_1-56c6e055-265e-4713-816e-a646dbb708de" value="{&quot;kind&quot;:&quot;AFEJSONBlobNode&quot;,&quot;id&quot;:&quot;{B4CEF34A-1276-4F65-8244-7C8DA76A6BF5}&quot;}"/>
  </we:properties>
  <we:bindings/>
  <we:snapshot xmlns:r="http://schemas.openxmlformats.org/officeDocument/2006/relationships"/>
  <we:extLs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5.xml"/><Relationship Id="rId2" Type="http://schemas.openxmlformats.org/officeDocument/2006/relationships/drawing" Target="../drawings/drawing12.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7.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3F625-0B67-428C-968F-57B0E65EFF8A}">
  <sheetPr codeName="USAGE">
    <tabColor rgb="FF92D050"/>
  </sheetPr>
  <dimension ref="B1:J16"/>
  <sheetViews>
    <sheetView showGridLines="0" topLeftCell="B2" workbookViewId="0">
      <pane xSplit="3" topLeftCell="E1" activePane="topRight" state="frozen"/>
      <selection activeCell="B2" sqref="B2"/>
      <selection pane="topRight" activeCell="B12" sqref="B12:D12"/>
    </sheetView>
  </sheetViews>
  <sheetFormatPr defaultColWidth="10.28515625" defaultRowHeight="17.25" customHeight="1" x14ac:dyDescent="0.3"/>
  <cols>
    <col min="1" max="1" width="0" style="6" hidden="1" customWidth="1"/>
    <col min="2" max="4" width="10.28515625" style="7"/>
    <col min="5" max="16384" width="10.28515625" style="6"/>
  </cols>
  <sheetData>
    <row r="1" spans="2:10" ht="17.25" hidden="1" customHeight="1" x14ac:dyDescent="0.3"/>
    <row r="3" spans="2:10" ht="32.25" thickBot="1" x14ac:dyDescent="0.55000000000000004">
      <c r="F3" s="171" t="s">
        <v>0</v>
      </c>
      <c r="G3" s="171"/>
      <c r="H3" s="171"/>
      <c r="I3" s="171"/>
      <c r="J3" s="171"/>
    </row>
    <row r="4" spans="2:10" ht="17.25" customHeight="1" thickTop="1" x14ac:dyDescent="0.3">
      <c r="B4" s="170" t="s">
        <v>1</v>
      </c>
      <c r="C4" s="170"/>
      <c r="D4" s="170"/>
    </row>
    <row r="5" spans="2:10" ht="17.25" customHeight="1" x14ac:dyDescent="0.3">
      <c r="B5" s="170"/>
      <c r="C5" s="170"/>
      <c r="D5" s="170"/>
    </row>
    <row r="7" spans="2:10" ht="17.25" customHeight="1" x14ac:dyDescent="0.3">
      <c r="B7" s="175" t="s">
        <v>0</v>
      </c>
      <c r="C7" s="175"/>
      <c r="D7" s="175"/>
    </row>
    <row r="9" spans="2:10" ht="17.25" customHeight="1" x14ac:dyDescent="0.3">
      <c r="B9" s="176"/>
      <c r="C9" s="174" t="s">
        <v>2</v>
      </c>
      <c r="D9" s="174"/>
    </row>
    <row r="10" spans="2:10" ht="17.25" customHeight="1" x14ac:dyDescent="0.3">
      <c r="B10" s="176"/>
      <c r="C10" s="174"/>
      <c r="D10" s="174"/>
    </row>
    <row r="12" spans="2:10" ht="17.25" customHeight="1" x14ac:dyDescent="0.3">
      <c r="B12" s="173" t="s">
        <v>3</v>
      </c>
      <c r="C12" s="173"/>
      <c r="D12" s="173"/>
    </row>
    <row r="14" spans="2:10" ht="17.25" customHeight="1" x14ac:dyDescent="0.3">
      <c r="B14" s="173" t="s">
        <v>4</v>
      </c>
      <c r="C14" s="173"/>
      <c r="D14" s="173"/>
    </row>
    <row r="16" spans="2:10" ht="17.25" customHeight="1" x14ac:dyDescent="0.3">
      <c r="B16" s="172" t="s">
        <v>5</v>
      </c>
      <c r="C16" s="172"/>
      <c r="D16" s="172"/>
    </row>
  </sheetData>
  <mergeCells count="8">
    <mergeCell ref="B4:D5"/>
    <mergeCell ref="F3:J3"/>
    <mergeCell ref="B16:D16"/>
    <mergeCell ref="B14:D14"/>
    <mergeCell ref="B12:D12"/>
    <mergeCell ref="C9:D10"/>
    <mergeCell ref="B7:D7"/>
    <mergeCell ref="B9:B10"/>
  </mergeCells>
  <hyperlinks>
    <hyperlink ref="B12:D12" location="RESULTS!A1" display="Results" xr:uid="{D1132E3C-EEB8-40B2-B609-84851D49EF9F}"/>
    <hyperlink ref="B14:D14" location="DASHBOARD!A1" display="Dashboard" xr:uid="{D923A860-CD27-41E1-A5CE-562FFAD0C2A7}"/>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12599-B7EC-4CBD-A062-4DC598CD683F}">
  <sheetPr codeName="DASHBOARD">
    <tabColor rgb="FFC00000"/>
  </sheetPr>
  <dimension ref="A1:AB40"/>
  <sheetViews>
    <sheetView showGridLines="0" tabSelected="1" topLeftCell="B2" zoomScaleNormal="100" workbookViewId="0">
      <pane xSplit="3" topLeftCell="E1" activePane="topRight" state="frozen"/>
      <selection activeCell="B2" sqref="B2"/>
      <selection pane="topRight" activeCell="F24" sqref="F24"/>
    </sheetView>
  </sheetViews>
  <sheetFormatPr defaultColWidth="10.28515625" defaultRowHeight="17.850000000000001" customHeight="1" x14ac:dyDescent="0.3"/>
  <cols>
    <col min="1" max="1" width="0" style="6" hidden="1" customWidth="1"/>
    <col min="2" max="4" width="10.28515625" style="7"/>
    <col min="5" max="5" width="10.28515625" style="35"/>
    <col min="6" max="6" width="18.28515625" style="35" bestFit="1" customWidth="1"/>
    <col min="7" max="7" width="10.28515625" style="35"/>
    <col min="8" max="8" width="15.28515625" style="44" customWidth="1"/>
    <col min="9" max="9" width="9.85546875" style="44" bestFit="1" customWidth="1"/>
    <col min="10" max="10" width="19.5703125" style="44" customWidth="1"/>
    <col min="11" max="11" width="11.140625" style="44" bestFit="1" customWidth="1"/>
    <col min="12" max="12" width="11.140625" style="76" customWidth="1"/>
    <col min="13" max="13" width="3.28515625" customWidth="1"/>
    <col min="14" max="17" width="11.140625" customWidth="1"/>
    <col min="18" max="18" width="14.5703125" customWidth="1"/>
    <col min="19" max="19" width="3.28515625" style="76" customWidth="1"/>
    <col min="20" max="20" width="10.28515625" style="35"/>
    <col min="21" max="21" width="18.28515625" style="35" bestFit="1" customWidth="1"/>
    <col min="22" max="22" width="10.28515625" style="35"/>
    <col min="23" max="23" width="15.28515625" style="44" customWidth="1"/>
    <col min="24" max="24" width="9.85546875" style="44" bestFit="1" customWidth="1"/>
    <col min="25" max="25" width="19.5703125" style="44" customWidth="1"/>
    <col min="26" max="26" width="13.5703125" style="44" bestFit="1" customWidth="1"/>
    <col min="27" max="16384" width="10.28515625" style="6"/>
  </cols>
  <sheetData>
    <row r="1" spans="1:28" ht="17.850000000000001" hidden="1" customHeight="1" x14ac:dyDescent="0.3">
      <c r="A1" s="5"/>
    </row>
    <row r="3" spans="1:28" ht="32.25" thickBot="1" x14ac:dyDescent="0.35">
      <c r="F3" s="177" t="s">
        <v>213</v>
      </c>
      <c r="G3" s="177"/>
      <c r="H3" s="177"/>
      <c r="I3" s="177"/>
      <c r="J3" s="177"/>
      <c r="S3" s="38"/>
    </row>
    <row r="4" spans="1:28" ht="17.25" customHeight="1" thickTop="1" thickBot="1" x14ac:dyDescent="0.35">
      <c r="B4" s="170" t="s">
        <v>1</v>
      </c>
      <c r="C4" s="170"/>
      <c r="D4" s="170"/>
      <c r="F4" s="38"/>
      <c r="G4" s="38"/>
    </row>
    <row r="5" spans="1:28" ht="17.25" customHeight="1" thickBot="1" x14ac:dyDescent="0.35">
      <c r="B5" s="170"/>
      <c r="C5" s="170"/>
      <c r="D5" s="170"/>
      <c r="F5" s="9"/>
      <c r="G5" s="9"/>
      <c r="H5" s="180" t="s">
        <v>6</v>
      </c>
      <c r="I5" s="181"/>
      <c r="J5" s="182" t="s">
        <v>7</v>
      </c>
      <c r="K5" s="181"/>
      <c r="L5" s="77"/>
      <c r="S5" s="77"/>
      <c r="T5" s="9"/>
      <c r="U5" s="9"/>
      <c r="V5" s="9"/>
      <c r="W5" s="180" t="s">
        <v>6</v>
      </c>
      <c r="X5" s="181"/>
      <c r="Y5" s="178" t="s">
        <v>7</v>
      </c>
      <c r="Z5" s="179"/>
      <c r="AA5" s="5"/>
      <c r="AB5" s="5"/>
    </row>
    <row r="6" spans="1:28" ht="17.850000000000001" customHeight="1" thickBot="1" x14ac:dyDescent="0.35">
      <c r="F6" s="124" t="s">
        <v>242</v>
      </c>
      <c r="G6" s="125" t="s">
        <v>197</v>
      </c>
      <c r="H6" s="26">
        <f>machine_wheelbase</f>
        <v>2.476</v>
      </c>
      <c r="I6" s="18" t="s">
        <v>22</v>
      </c>
      <c r="J6" s="26">
        <f>H6*from_m_to_in</f>
        <v>97.480367600000008</v>
      </c>
      <c r="K6" s="18" t="s">
        <v>23</v>
      </c>
      <c r="L6" s="78"/>
      <c r="M6" s="183" t="s">
        <v>209</v>
      </c>
      <c r="S6" s="183" t="s">
        <v>209</v>
      </c>
      <c r="T6" s="9"/>
      <c r="U6" s="124" t="s">
        <v>12</v>
      </c>
      <c r="V6" s="125" t="s">
        <v>9</v>
      </c>
      <c r="W6" s="26">
        <f>swing_chassis_mass</f>
        <v>3061</v>
      </c>
      <c r="X6" s="18" t="s">
        <v>10</v>
      </c>
      <c r="Y6" s="29">
        <f>'BODY 4'!$I$7</f>
        <v>6748.3498453297998</v>
      </c>
      <c r="Z6" s="18" t="s">
        <v>11</v>
      </c>
      <c r="AA6" s="5"/>
      <c r="AB6" s="5"/>
    </row>
    <row r="7" spans="1:28" ht="17.850000000000001" customHeight="1" x14ac:dyDescent="0.3">
      <c r="B7" s="173" t="s">
        <v>0</v>
      </c>
      <c r="C7" s="173"/>
      <c r="D7" s="173"/>
      <c r="F7" s="9"/>
      <c r="G7" s="126" t="s">
        <v>198</v>
      </c>
      <c r="H7" s="27">
        <f>machine_wheeltrack</f>
        <v>2.129</v>
      </c>
      <c r="I7" s="19" t="s">
        <v>22</v>
      </c>
      <c r="J7" s="27">
        <f>H7*from_m_to_in</f>
        <v>83.818942899999996</v>
      </c>
      <c r="K7" s="19" t="s">
        <v>23</v>
      </c>
      <c r="L7" s="75"/>
      <c r="M7" s="183"/>
      <c r="S7" s="183"/>
      <c r="T7" s="9"/>
      <c r="U7" s="9"/>
      <c r="V7" s="126" t="s">
        <v>16</v>
      </c>
      <c r="W7" s="27">
        <f>swing_chassis_Ixx</f>
        <v>849.37</v>
      </c>
      <c r="X7" s="14" t="s">
        <v>14</v>
      </c>
      <c r="Y7" s="30">
        <f>'BODY 4'!$I$9</f>
        <v>2902443.2992511098</v>
      </c>
      <c r="Z7" s="14" t="s">
        <v>15</v>
      </c>
      <c r="AA7" s="5"/>
    </row>
    <row r="8" spans="1:28" ht="17.850000000000001" customHeight="1" x14ac:dyDescent="0.3">
      <c r="F8" s="9"/>
      <c r="G8" s="126" t="s">
        <v>199</v>
      </c>
      <c r="H8" s="27">
        <f>machine_xg</f>
        <v>0.29037552367222008</v>
      </c>
      <c r="I8" s="19" t="s">
        <v>22</v>
      </c>
      <c r="J8" s="27">
        <f>H8*from_m_to_in</f>
        <v>11.432113404527673</v>
      </c>
      <c r="K8" s="19" t="s">
        <v>23</v>
      </c>
      <c r="L8" s="75"/>
      <c r="M8" s="184">
        <f>machine_RFL</f>
        <v>19837.674193012925</v>
      </c>
      <c r="S8" s="184">
        <f>machine_RFR</f>
        <v>19837.674193012925</v>
      </c>
      <c r="T8" s="9"/>
      <c r="U8" s="9"/>
      <c r="V8" s="126" t="s">
        <v>18</v>
      </c>
      <c r="W8" s="27">
        <f>swing_chassis_Iyy</f>
        <v>4566.3100000000004</v>
      </c>
      <c r="X8" s="14" t="s">
        <v>14</v>
      </c>
      <c r="Y8" s="30">
        <f>'BODY 4'!$I$11</f>
        <v>15603866.23238793</v>
      </c>
      <c r="Z8" s="14" t="s">
        <v>15</v>
      </c>
      <c r="AA8" s="5"/>
    </row>
    <row r="9" spans="1:28" ht="17.850000000000001" customHeight="1" x14ac:dyDescent="0.3">
      <c r="C9" s="174" t="s">
        <v>2</v>
      </c>
      <c r="D9" s="174"/>
      <c r="F9" s="9"/>
      <c r="G9" s="126" t="s">
        <v>200</v>
      </c>
      <c r="H9" s="27">
        <f>machine_yg</f>
        <v>0</v>
      </c>
      <c r="I9" s="19" t="s">
        <v>22</v>
      </c>
      <c r="J9" s="27">
        <f>H9*from_m_to_in</f>
        <v>0</v>
      </c>
      <c r="K9" s="19" t="s">
        <v>23</v>
      </c>
      <c r="L9" s="75"/>
      <c r="M9" s="184"/>
      <c r="S9" s="184"/>
      <c r="T9" s="9"/>
      <c r="U9" s="9"/>
      <c r="V9" s="126" t="s">
        <v>20</v>
      </c>
      <c r="W9" s="27">
        <f>swing_chassis_Izz</f>
        <v>4830.13</v>
      </c>
      <c r="X9" s="14" t="s">
        <v>14</v>
      </c>
      <c r="Y9" s="30">
        <f>'BODY 4'!$I$13</f>
        <v>16505384.523837389</v>
      </c>
      <c r="Z9" s="14" t="s">
        <v>15</v>
      </c>
      <c r="AA9" s="5"/>
    </row>
    <row r="10" spans="1:28" ht="17.850000000000001" customHeight="1" thickBot="1" x14ac:dyDescent="0.35">
      <c r="C10" s="174"/>
      <c r="D10" s="174"/>
      <c r="F10" s="9"/>
      <c r="G10" s="126" t="s">
        <v>201</v>
      </c>
      <c r="H10" s="27">
        <f>machine_zg</f>
        <v>0.67851391962007268</v>
      </c>
      <c r="I10" s="19" t="s">
        <v>22</v>
      </c>
      <c r="J10" s="27">
        <f>H10*from_m_to_in</f>
        <v>26.713160866834222</v>
      </c>
      <c r="K10" s="19" t="s">
        <v>23</v>
      </c>
      <c r="L10" s="78"/>
      <c r="M10" s="184"/>
      <c r="S10" s="184"/>
      <c r="T10" s="9"/>
      <c r="U10" s="9"/>
      <c r="V10" s="126" t="s">
        <v>21</v>
      </c>
      <c r="W10" s="27">
        <f>swing_chassis_xg</f>
        <v>1.2949999999999999</v>
      </c>
      <c r="X10" s="19" t="s">
        <v>22</v>
      </c>
      <c r="Y10" s="30">
        <f>'BODY 4'!$I$15</f>
        <v>50.9842795</v>
      </c>
      <c r="Z10" s="19" t="s">
        <v>23</v>
      </c>
      <c r="AA10" s="5"/>
    </row>
    <row r="11" spans="1:28" ht="17.850000000000001" customHeight="1" thickTop="1" x14ac:dyDescent="0.3">
      <c r="F11" s="9"/>
      <c r="G11" s="149" t="s">
        <v>240</v>
      </c>
      <c r="H11" s="27">
        <f>machine_mass</f>
        <v>6485.45</v>
      </c>
      <c r="I11" s="19" t="s">
        <v>10</v>
      </c>
      <c r="J11" s="27">
        <f>H11*from_kg_to_lb</f>
        <v>14297.969782552809</v>
      </c>
      <c r="K11" s="19" t="s">
        <v>11</v>
      </c>
      <c r="L11" s="78"/>
      <c r="M11" s="185" t="s">
        <v>243</v>
      </c>
      <c r="S11" s="185" t="s">
        <v>254</v>
      </c>
      <c r="T11" s="9"/>
      <c r="U11" s="9"/>
      <c r="V11" s="126" t="s">
        <v>24</v>
      </c>
      <c r="W11" s="27">
        <f>swing_chassis_yg</f>
        <v>0</v>
      </c>
      <c r="X11" s="19" t="s">
        <v>22</v>
      </c>
      <c r="Y11" s="30">
        <f>'BODY 4'!$I$17</f>
        <v>0</v>
      </c>
      <c r="Z11" s="19" t="s">
        <v>23</v>
      </c>
      <c r="AA11" s="5"/>
    </row>
    <row r="12" spans="1:28" ht="17.850000000000001" customHeight="1" thickBot="1" x14ac:dyDescent="0.35">
      <c r="B12" s="173" t="s">
        <v>3</v>
      </c>
      <c r="C12" s="173"/>
      <c r="D12" s="173"/>
      <c r="G12" s="149" t="s">
        <v>241</v>
      </c>
      <c r="H12" s="27">
        <f>machine_RFR</f>
        <v>19837.674193012925</v>
      </c>
      <c r="I12" s="19" t="s">
        <v>209</v>
      </c>
      <c r="J12" s="27">
        <f>H12*from_N_to_lbf</f>
        <v>4459.5091585893051</v>
      </c>
      <c r="K12" s="19" t="s">
        <v>236</v>
      </c>
      <c r="L12" s="78"/>
      <c r="M12" s="186"/>
      <c r="S12" s="186"/>
      <c r="T12" s="9"/>
      <c r="U12" s="9"/>
      <c r="V12" s="127" t="s">
        <v>25</v>
      </c>
      <c r="W12" s="28">
        <f>swing_chassis_zg</f>
        <v>0.89800000000000002</v>
      </c>
      <c r="X12" s="20" t="s">
        <v>22</v>
      </c>
      <c r="Y12" s="31">
        <f>'BODY 4'!$I$19</f>
        <v>35.354349800000001</v>
      </c>
      <c r="Z12" s="20" t="s">
        <v>23</v>
      </c>
      <c r="AA12" s="5"/>
    </row>
    <row r="13" spans="1:28" ht="17.850000000000001" customHeight="1" thickBot="1" x14ac:dyDescent="0.35">
      <c r="G13" s="149" t="s">
        <v>237</v>
      </c>
      <c r="H13" s="27">
        <f>machine_RFL</f>
        <v>19837.674193012925</v>
      </c>
      <c r="I13" s="19" t="s">
        <v>209</v>
      </c>
      <c r="J13" s="27">
        <f>H13*from_N_to_lbf</f>
        <v>4459.5091585893051</v>
      </c>
      <c r="K13" s="19" t="s">
        <v>236</v>
      </c>
      <c r="L13" s="79"/>
      <c r="S13" s="79"/>
      <c r="T13" s="9"/>
      <c r="U13" s="9"/>
      <c r="V13" s="9"/>
      <c r="W13" s="21"/>
      <c r="X13" s="21"/>
      <c r="Y13" s="21"/>
      <c r="Z13" s="21"/>
      <c r="AA13" s="5"/>
    </row>
    <row r="14" spans="1:28" ht="17.850000000000001" customHeight="1" thickBot="1" x14ac:dyDescent="0.35">
      <c r="B14" s="175" t="s">
        <v>4</v>
      </c>
      <c r="C14" s="175"/>
      <c r="D14" s="175"/>
      <c r="G14" s="149" t="s">
        <v>238</v>
      </c>
      <c r="H14" s="27">
        <f>machine_RRR</f>
        <v>11973.458056987078</v>
      </c>
      <c r="I14" s="19" t="s">
        <v>209</v>
      </c>
      <c r="J14" s="27">
        <f>H14*from_N_to_lbf</f>
        <v>2691.6333712106953</v>
      </c>
      <c r="K14" s="19" t="s">
        <v>236</v>
      </c>
      <c r="L14" s="78"/>
      <c r="S14" s="78"/>
      <c r="T14" s="9"/>
      <c r="U14" s="124" t="s">
        <v>27</v>
      </c>
      <c r="V14" s="125" t="s">
        <v>9</v>
      </c>
      <c r="W14" s="26">
        <f>boom_mass</f>
        <v>1105</v>
      </c>
      <c r="X14" s="18" t="s">
        <v>10</v>
      </c>
      <c r="Y14" s="29">
        <f>'BODY 5'!$I$7</f>
        <v>2436.107997089</v>
      </c>
      <c r="Z14" s="18" t="s">
        <v>11</v>
      </c>
      <c r="AA14" s="5"/>
    </row>
    <row r="15" spans="1:28" ht="17.850000000000001" customHeight="1" x14ac:dyDescent="0.3">
      <c r="B15" s="176" t="s">
        <v>251</v>
      </c>
      <c r="C15" s="176"/>
      <c r="D15" s="176"/>
      <c r="G15" s="149" t="s">
        <v>239</v>
      </c>
      <c r="H15" s="27">
        <f>machine_RRL</f>
        <v>11973.458056987078</v>
      </c>
      <c r="I15" s="19" t="s">
        <v>209</v>
      </c>
      <c r="J15" s="27">
        <f>H15*from_N_to_lbf</f>
        <v>2691.6333712106953</v>
      </c>
      <c r="K15" s="19" t="s">
        <v>236</v>
      </c>
      <c r="L15" s="75"/>
      <c r="M15" s="183" t="s">
        <v>209</v>
      </c>
      <c r="S15" s="183" t="s">
        <v>209</v>
      </c>
      <c r="T15" s="9"/>
      <c r="U15" s="9"/>
      <c r="V15" s="126" t="s">
        <v>16</v>
      </c>
      <c r="W15" s="27">
        <f>boom_Ixx</f>
        <v>143.19999999999999</v>
      </c>
      <c r="X15" s="14" t="s">
        <v>14</v>
      </c>
      <c r="Y15" s="30">
        <f>'BODY 5'!$I$9</f>
        <v>489339.01650959993</v>
      </c>
      <c r="Z15" s="14" t="s">
        <v>15</v>
      </c>
      <c r="AA15" s="5"/>
    </row>
    <row r="16" spans="1:28" ht="17.850000000000001" customHeight="1" thickBot="1" x14ac:dyDescent="0.35">
      <c r="A16" s="8"/>
      <c r="B16" s="176" t="s">
        <v>28</v>
      </c>
      <c r="C16" s="176"/>
      <c r="D16" s="176"/>
      <c r="G16" s="130" t="s">
        <v>214</v>
      </c>
      <c r="H16" s="28">
        <f>machine_gap</f>
        <v>3</v>
      </c>
      <c r="I16" s="20" t="s">
        <v>195</v>
      </c>
      <c r="J16" s="28">
        <f>H16</f>
        <v>3</v>
      </c>
      <c r="K16" s="20" t="s">
        <v>195</v>
      </c>
      <c r="L16" s="75"/>
      <c r="M16" s="183"/>
      <c r="S16" s="183"/>
      <c r="T16" s="9"/>
      <c r="U16" s="9"/>
      <c r="V16" s="126" t="s">
        <v>18</v>
      </c>
      <c r="W16" s="27">
        <f>boom_Iyy</f>
        <v>11943.6</v>
      </c>
      <c r="X16" s="14" t="s">
        <v>14</v>
      </c>
      <c r="Y16" s="30">
        <f>'BODY 5'!$I$11</f>
        <v>40813334.340670802</v>
      </c>
      <c r="Z16" s="14" t="s">
        <v>15</v>
      </c>
      <c r="AA16" s="5"/>
    </row>
    <row r="17" spans="1:28" ht="17.850000000000001" customHeight="1" thickBot="1" x14ac:dyDescent="0.35">
      <c r="A17" s="8"/>
      <c r="B17" s="176" t="s">
        <v>29</v>
      </c>
      <c r="C17" s="176"/>
      <c r="D17" s="176"/>
      <c r="L17" s="75"/>
      <c r="M17" s="184">
        <f>machine_RRL</f>
        <v>11973.458056987078</v>
      </c>
      <c r="S17" s="184">
        <f>machine_RRL</f>
        <v>11973.458056987078</v>
      </c>
      <c r="T17" s="9"/>
      <c r="U17" s="9"/>
      <c r="V17" s="126" t="s">
        <v>20</v>
      </c>
      <c r="W17" s="27">
        <f>boom_Izz</f>
        <v>11951.8</v>
      </c>
      <c r="X17" s="14" t="s">
        <v>14</v>
      </c>
      <c r="Y17" s="30">
        <f>'BODY 5'!$I$13</f>
        <v>40841355.150275394</v>
      </c>
      <c r="Z17" s="14" t="s">
        <v>15</v>
      </c>
      <c r="AA17" s="5"/>
    </row>
    <row r="18" spans="1:28" ht="17.850000000000001" customHeight="1" thickBot="1" x14ac:dyDescent="0.35">
      <c r="A18" s="8"/>
      <c r="B18" s="176" t="s">
        <v>30</v>
      </c>
      <c r="C18" s="176"/>
      <c r="D18" s="176"/>
      <c r="F18" s="124" t="s">
        <v>8</v>
      </c>
      <c r="G18" s="125" t="s">
        <v>9</v>
      </c>
      <c r="H18" s="26">
        <f>drive_chassis_mass</f>
        <v>783.5</v>
      </c>
      <c r="I18" s="18" t="s">
        <v>10</v>
      </c>
      <c r="J18" s="29">
        <f>'BODY 1'!$I$7</f>
        <v>1727.3218241802999</v>
      </c>
      <c r="K18" s="18" t="s">
        <v>11</v>
      </c>
      <c r="L18" s="78"/>
      <c r="M18" s="184"/>
      <c r="S18" s="184"/>
      <c r="T18" s="9"/>
      <c r="U18" s="9"/>
      <c r="V18" s="126" t="s">
        <v>21</v>
      </c>
      <c r="W18" s="27">
        <f>boom_xg</f>
        <v>-1.9850000000000001</v>
      </c>
      <c r="X18" s="19" t="s">
        <v>22</v>
      </c>
      <c r="Y18" s="30">
        <f>'BODY 5'!$I$15</f>
        <v>-78.149648500000012</v>
      </c>
      <c r="Z18" s="19" t="s">
        <v>23</v>
      </c>
      <c r="AA18" s="5"/>
    </row>
    <row r="19" spans="1:28" ht="17.850000000000001" customHeight="1" thickBot="1" x14ac:dyDescent="0.35">
      <c r="A19" s="132" t="s">
        <v>31</v>
      </c>
      <c r="B19" s="176" t="s">
        <v>31</v>
      </c>
      <c r="C19" s="176"/>
      <c r="D19" s="176"/>
      <c r="F19" s="9"/>
      <c r="G19" s="126" t="s">
        <v>13</v>
      </c>
      <c r="H19" s="27">
        <f>drive_chassis_Ixx</f>
        <v>136.82</v>
      </c>
      <c r="I19" s="14" t="s">
        <v>14</v>
      </c>
      <c r="J19" s="30">
        <f>'BODY 1'!$I$9</f>
        <v>467537.45976845996</v>
      </c>
      <c r="K19" s="14" t="s">
        <v>15</v>
      </c>
      <c r="L19" s="78"/>
      <c r="M19" s="184"/>
      <c r="S19" s="184"/>
      <c r="T19" s="9"/>
      <c r="U19" s="9"/>
      <c r="V19" s="126" t="s">
        <v>24</v>
      </c>
      <c r="W19" s="27">
        <f>boom_yg</f>
        <v>0</v>
      </c>
      <c r="X19" s="19" t="s">
        <v>22</v>
      </c>
      <c r="Y19" s="30">
        <f>'BODY 5'!$I$17</f>
        <v>0</v>
      </c>
      <c r="Z19" s="19" t="s">
        <v>23</v>
      </c>
      <c r="AA19" s="5"/>
    </row>
    <row r="20" spans="1:28" ht="17.850000000000001" customHeight="1" thickTop="1" thickBot="1" x14ac:dyDescent="0.35">
      <c r="A20" s="8"/>
      <c r="B20" s="176" t="s">
        <v>32</v>
      </c>
      <c r="C20" s="176"/>
      <c r="D20" s="176"/>
      <c r="F20" s="9"/>
      <c r="G20" s="126" t="s">
        <v>17</v>
      </c>
      <c r="H20" s="27">
        <f>drive_chassis_Iyy</f>
        <v>655.29999999999995</v>
      </c>
      <c r="I20" s="14" t="s">
        <v>14</v>
      </c>
      <c r="J20" s="30">
        <f>'BODY 1'!$I$11</f>
        <v>2239272.7480358998</v>
      </c>
      <c r="K20" s="14" t="s">
        <v>15</v>
      </c>
      <c r="L20" s="78"/>
      <c r="M20" s="185" t="s">
        <v>244</v>
      </c>
      <c r="S20" s="185" t="s">
        <v>245</v>
      </c>
      <c r="T20" s="9"/>
      <c r="U20" s="9"/>
      <c r="V20" s="127" t="s">
        <v>25</v>
      </c>
      <c r="W20" s="28">
        <f>swing_chassis_zg</f>
        <v>0.89800000000000002</v>
      </c>
      <c r="X20" s="20" t="s">
        <v>22</v>
      </c>
      <c r="Y20" s="31">
        <f>'BODY 5'!$I$19</f>
        <v>64.25200319999999</v>
      </c>
      <c r="Z20" s="20" t="s">
        <v>23</v>
      </c>
      <c r="AA20" s="5"/>
    </row>
    <row r="21" spans="1:28" ht="17.850000000000001" customHeight="1" thickBot="1" x14ac:dyDescent="0.35">
      <c r="A21" s="8"/>
      <c r="B21" s="176" t="s">
        <v>33</v>
      </c>
      <c r="C21" s="176"/>
      <c r="D21" s="176"/>
      <c r="F21" s="9"/>
      <c r="G21" s="126" t="s">
        <v>19</v>
      </c>
      <c r="H21" s="27">
        <f>drive_chassis_Izz</f>
        <v>650.4</v>
      </c>
      <c r="I21" s="14" t="s">
        <v>14</v>
      </c>
      <c r="J21" s="30">
        <f>'BODY 1'!$I$13</f>
        <v>2222528.6057111998</v>
      </c>
      <c r="K21" s="14" t="s">
        <v>15</v>
      </c>
      <c r="L21" s="79"/>
      <c r="M21" s="186"/>
      <c r="S21" s="186"/>
      <c r="T21" s="9"/>
      <c r="U21" s="9"/>
      <c r="V21" s="9"/>
      <c r="W21" s="21"/>
      <c r="X21" s="21"/>
      <c r="Y21" s="21"/>
      <c r="Z21" s="21"/>
      <c r="AA21" s="5"/>
    </row>
    <row r="22" spans="1:28" ht="17.850000000000001" customHeight="1" thickBot="1" x14ac:dyDescent="0.35">
      <c r="A22" s="8"/>
      <c r="B22" s="176" t="s">
        <v>34</v>
      </c>
      <c r="C22" s="176"/>
      <c r="D22" s="176"/>
      <c r="F22" s="9"/>
      <c r="G22" s="126" t="s">
        <v>21</v>
      </c>
      <c r="H22" s="27">
        <f>drive_chassis_xg</f>
        <v>1.4E-2</v>
      </c>
      <c r="I22" s="19" t="s">
        <v>22</v>
      </c>
      <c r="J22" s="30">
        <f>'BODY 1'!$I$15</f>
        <v>0.55118140000000004</v>
      </c>
      <c r="K22" s="19" t="s">
        <v>23</v>
      </c>
      <c r="L22" s="78"/>
      <c r="S22" s="78"/>
      <c r="T22" s="9"/>
      <c r="U22" s="124" t="s">
        <v>36</v>
      </c>
      <c r="V22" s="125" t="s">
        <v>206</v>
      </c>
      <c r="W22" s="26">
        <f>wheel_ktire</f>
        <v>2200000</v>
      </c>
      <c r="X22" s="24" t="s">
        <v>37</v>
      </c>
      <c r="Y22" s="26">
        <f>WHEELS!$I$7</f>
        <v>12562.33</v>
      </c>
      <c r="Z22" s="22" t="s">
        <v>38</v>
      </c>
      <c r="AA22" s="5"/>
    </row>
    <row r="23" spans="1:28" ht="17.850000000000001" customHeight="1" thickBot="1" x14ac:dyDescent="0.35">
      <c r="B23" s="176" t="s">
        <v>136</v>
      </c>
      <c r="C23" s="176"/>
      <c r="D23" s="176"/>
      <c r="F23" s="9"/>
      <c r="G23" s="126" t="s">
        <v>24</v>
      </c>
      <c r="H23" s="27">
        <f>drive_chassis_yg</f>
        <v>0</v>
      </c>
      <c r="I23" s="19" t="s">
        <v>22</v>
      </c>
      <c r="J23" s="30">
        <f>'BODY 1'!$I$17</f>
        <v>0</v>
      </c>
      <c r="K23" s="19" t="s">
        <v>23</v>
      </c>
      <c r="L23" s="75"/>
      <c r="S23" s="75"/>
      <c r="T23" s="9"/>
      <c r="U23" s="9"/>
      <c r="V23" s="127" t="s">
        <v>207</v>
      </c>
      <c r="W23" s="28">
        <f>wheel_ctire</f>
        <v>50000</v>
      </c>
      <c r="X23" s="25" t="s">
        <v>39</v>
      </c>
      <c r="Y23" s="28">
        <f>WHEELS!$I$9</f>
        <v>285.50749999999999</v>
      </c>
      <c r="Z23" s="23" t="s">
        <v>40</v>
      </c>
      <c r="AA23" s="5"/>
    </row>
    <row r="24" spans="1:28" ht="17.850000000000001" customHeight="1" thickBot="1" x14ac:dyDescent="0.35">
      <c r="B24" s="134"/>
      <c r="C24" s="134"/>
      <c r="D24" s="134"/>
      <c r="F24" s="9"/>
      <c r="G24" s="127" t="s">
        <v>25</v>
      </c>
      <c r="H24" s="28">
        <f>drive_chassis_zg</f>
        <v>0.124</v>
      </c>
      <c r="I24" s="20" t="s">
        <v>22</v>
      </c>
      <c r="J24" s="31">
        <f>'BODY 1'!$I$19</f>
        <v>4.8818923999999999</v>
      </c>
      <c r="K24" s="20" t="s">
        <v>23</v>
      </c>
      <c r="L24" s="75"/>
      <c r="S24" s="75"/>
      <c r="T24" s="9"/>
      <c r="U24" s="9"/>
      <c r="V24" s="38"/>
      <c r="W24" s="12"/>
      <c r="X24" s="12"/>
      <c r="Y24" s="12"/>
      <c r="Z24" s="12"/>
      <c r="AA24" s="5"/>
    </row>
    <row r="25" spans="1:28" ht="17.850000000000001" customHeight="1" thickBot="1" x14ac:dyDescent="0.35">
      <c r="B25" s="172" t="s">
        <v>5</v>
      </c>
      <c r="C25" s="172"/>
      <c r="D25" s="172"/>
      <c r="F25" s="9"/>
      <c r="G25" s="9"/>
      <c r="H25" s="21"/>
      <c r="I25" s="21"/>
      <c r="J25" s="21"/>
      <c r="K25" s="21"/>
      <c r="L25" s="75"/>
      <c r="S25" s="75"/>
      <c r="T25" s="9"/>
      <c r="U25" s="124" t="s">
        <v>41</v>
      </c>
      <c r="V25" s="128" t="s">
        <v>42</v>
      </c>
      <c r="W25" s="26">
        <f>oscillate_bulk_modulus</f>
        <v>1500</v>
      </c>
      <c r="X25" s="18" t="s">
        <v>43</v>
      </c>
      <c r="Y25" s="26">
        <f>'OSCILLATE HC'!$I$7</f>
        <v>217557.00000000003</v>
      </c>
      <c r="Z25" s="18" t="s">
        <v>44</v>
      </c>
      <c r="AA25" s="5"/>
    </row>
    <row r="26" spans="1:28" ht="17.850000000000001" customHeight="1" thickBot="1" x14ac:dyDescent="0.35">
      <c r="F26" s="124" t="s">
        <v>26</v>
      </c>
      <c r="G26" s="125" t="s">
        <v>9</v>
      </c>
      <c r="H26" s="26">
        <f>front_axle_mass</f>
        <v>809.04</v>
      </c>
      <c r="I26" s="18" t="s">
        <v>10</v>
      </c>
      <c r="J26" s="29">
        <f>'BODY 2'!$I$7</f>
        <v>1783.627885941072</v>
      </c>
      <c r="K26" s="18" t="s">
        <v>11</v>
      </c>
      <c r="L26" s="78"/>
      <c r="S26" s="78"/>
      <c r="T26" s="9"/>
      <c r="U26" s="9"/>
      <c r="V26" s="129" t="s">
        <v>45</v>
      </c>
      <c r="W26" s="27">
        <f>oscillate_od_rod</f>
        <v>50.012599999999999</v>
      </c>
      <c r="X26" s="14" t="s">
        <v>46</v>
      </c>
      <c r="Y26" s="27">
        <f>'OSCILLATE HC'!$I$9</f>
        <v>1.9690000000000001</v>
      </c>
      <c r="Z26" s="14" t="s">
        <v>23</v>
      </c>
      <c r="AA26" s="5"/>
    </row>
    <row r="27" spans="1:28" ht="17.850000000000001" customHeight="1" x14ac:dyDescent="0.3">
      <c r="F27" s="9"/>
      <c r="G27" s="126" t="s">
        <v>16</v>
      </c>
      <c r="H27" s="27">
        <f>front_axle_Ixx</f>
        <v>650.32000000000005</v>
      </c>
      <c r="I27" s="14" t="s">
        <v>14</v>
      </c>
      <c r="J27" s="30">
        <f>'BODY 2'!$I$9</f>
        <v>2222255.2319589602</v>
      </c>
      <c r="K27" s="14" t="s">
        <v>15</v>
      </c>
      <c r="L27" s="78"/>
      <c r="S27" s="78"/>
      <c r="T27" s="9"/>
      <c r="U27" s="9"/>
      <c r="V27" s="129" t="s">
        <v>47</v>
      </c>
      <c r="W27" s="27">
        <f>oscillate_id_barrel</f>
        <v>100.051</v>
      </c>
      <c r="X27" s="14" t="s">
        <v>46</v>
      </c>
      <c r="Y27" s="27">
        <f>'OSCILLATE HC'!$I$11</f>
        <v>3.9390157480314962</v>
      </c>
      <c r="Z27" s="14" t="s">
        <v>23</v>
      </c>
      <c r="AA27" s="5"/>
    </row>
    <row r="28" spans="1:28" ht="17.850000000000001" customHeight="1" x14ac:dyDescent="0.3">
      <c r="F28" s="9"/>
      <c r="G28" s="126" t="s">
        <v>18</v>
      </c>
      <c r="H28" s="27">
        <f>front_axle_Iyy</f>
        <v>55.35</v>
      </c>
      <c r="I28" s="14" t="s">
        <v>14</v>
      </c>
      <c r="J28" s="30">
        <f>'BODY 2'!$I$11</f>
        <v>189140.46483104999</v>
      </c>
      <c r="K28" s="14" t="s">
        <v>15</v>
      </c>
      <c r="L28" s="78"/>
      <c r="S28" s="78"/>
      <c r="T28" s="9"/>
      <c r="U28" s="9"/>
      <c r="V28" s="129" t="s">
        <v>48</v>
      </c>
      <c r="W28" s="27">
        <f>oscillate_length_closed</f>
        <v>406.5016</v>
      </c>
      <c r="X28" s="14" t="s">
        <v>46</v>
      </c>
      <c r="Y28" s="27">
        <f>'OSCILLATE HC'!$I$13</f>
        <v>16.004000000000001</v>
      </c>
      <c r="Z28" s="14" t="s">
        <v>23</v>
      </c>
      <c r="AA28" s="5"/>
    </row>
    <row r="29" spans="1:28" ht="17.850000000000001" customHeight="1" x14ac:dyDescent="0.3">
      <c r="F29" s="9"/>
      <c r="G29" s="126" t="s">
        <v>20</v>
      </c>
      <c r="H29" s="27">
        <f>front_axle_Izz</f>
        <v>653.58000000000004</v>
      </c>
      <c r="I29" s="14" t="s">
        <v>14</v>
      </c>
      <c r="J29" s="30">
        <f>'BODY 2'!$I$13</f>
        <v>2233395.2123627402</v>
      </c>
      <c r="K29" s="14" t="s">
        <v>15</v>
      </c>
      <c r="U29" s="9"/>
      <c r="V29" s="129" t="s">
        <v>49</v>
      </c>
      <c r="W29" s="27">
        <f>oscillate_stroke</f>
        <v>88.9</v>
      </c>
      <c r="X29" s="14" t="s">
        <v>46</v>
      </c>
      <c r="Y29" s="27">
        <f>'OSCILLATE HC'!$I$15</f>
        <v>3.5000000000000004</v>
      </c>
      <c r="Z29" s="14" t="s">
        <v>23</v>
      </c>
    </row>
    <row r="30" spans="1:28" ht="17.850000000000001" customHeight="1" x14ac:dyDescent="0.3">
      <c r="F30" s="9"/>
      <c r="G30" s="126" t="s">
        <v>21</v>
      </c>
      <c r="H30" s="27">
        <f>front_axle_xg</f>
        <v>1.238</v>
      </c>
      <c r="I30" s="19" t="s">
        <v>22</v>
      </c>
      <c r="J30" s="30">
        <f>'BODY 2'!$I$15</f>
        <v>48.740183800000004</v>
      </c>
      <c r="K30" s="19" t="s">
        <v>23</v>
      </c>
      <c r="U30" s="9"/>
      <c r="V30" s="129" t="s">
        <v>50</v>
      </c>
      <c r="W30" s="27">
        <f>oscillate_length_l1</f>
        <v>469.9</v>
      </c>
      <c r="X30" s="14" t="s">
        <v>46</v>
      </c>
      <c r="Y30" s="27">
        <f>'OSCILLATE HC'!$I$17</f>
        <v>18.5</v>
      </c>
      <c r="Z30" s="14" t="s">
        <v>23</v>
      </c>
    </row>
    <row r="31" spans="1:28" ht="17.850000000000001" customHeight="1" x14ac:dyDescent="0.3">
      <c r="F31" s="9"/>
      <c r="G31" s="126" t="s">
        <v>24</v>
      </c>
      <c r="H31" s="27">
        <f>front_axle_yg</f>
        <v>0</v>
      </c>
      <c r="I31" s="19" t="s">
        <v>22</v>
      </c>
      <c r="J31" s="30">
        <f>'BODY 2'!$I$17</f>
        <v>0</v>
      </c>
      <c r="K31" s="19" t="s">
        <v>23</v>
      </c>
      <c r="L31" s="79"/>
      <c r="S31" s="79"/>
      <c r="T31" s="9"/>
      <c r="U31" s="9"/>
      <c r="V31" s="129" t="s">
        <v>51</v>
      </c>
      <c r="W31" s="27">
        <f>oscillate_length_l2</f>
        <v>228.6</v>
      </c>
      <c r="X31" s="14" t="s">
        <v>46</v>
      </c>
      <c r="Y31" s="27">
        <f>'OSCILLATE HC'!$I$19</f>
        <v>9</v>
      </c>
      <c r="Z31" s="14" t="s">
        <v>23</v>
      </c>
      <c r="AA31" s="5"/>
      <c r="AB31" s="5"/>
    </row>
    <row r="32" spans="1:28" ht="17.850000000000001" customHeight="1" thickBot="1" x14ac:dyDescent="0.35">
      <c r="F32" s="9"/>
      <c r="G32" s="127" t="s">
        <v>25</v>
      </c>
      <c r="H32" s="28">
        <f>front_axle_zg</f>
        <v>-0.16200000000000001</v>
      </c>
      <c r="I32" s="20" t="s">
        <v>22</v>
      </c>
      <c r="J32" s="31">
        <f>'BODY 2'!$I$19</f>
        <v>-6.3779562000000007</v>
      </c>
      <c r="K32" s="20" t="s">
        <v>23</v>
      </c>
      <c r="L32" s="38"/>
      <c r="S32" s="79"/>
      <c r="T32" s="9"/>
      <c r="U32" s="9"/>
      <c r="V32" s="129" t="s">
        <v>52</v>
      </c>
      <c r="W32" s="27">
        <f>oscillate_length_l3</f>
        <v>221.23</v>
      </c>
      <c r="X32" s="14" t="s">
        <v>46</v>
      </c>
      <c r="Y32" s="27">
        <f>'OSCILLATE HC'!I21</f>
        <v>8.70984251968504</v>
      </c>
      <c r="Z32" s="14" t="s">
        <v>23</v>
      </c>
      <c r="AA32" s="5"/>
      <c r="AB32" s="5"/>
    </row>
    <row r="33" spans="2:26" ht="17.850000000000001" customHeight="1" thickBot="1" x14ac:dyDescent="0.35">
      <c r="F33" s="9"/>
      <c r="G33" s="9"/>
      <c r="H33" s="21"/>
      <c r="I33" s="21"/>
      <c r="J33" s="21"/>
      <c r="K33" s="21"/>
      <c r="L33" s="38"/>
      <c r="V33" s="129" t="s">
        <v>53</v>
      </c>
      <c r="W33" s="27">
        <f>oscillate_length_l4</f>
        <v>495.3</v>
      </c>
      <c r="X33" s="14" t="s">
        <v>46</v>
      </c>
      <c r="Y33" s="27">
        <f>'OSCILLATE HC'!I23</f>
        <v>19.5</v>
      </c>
      <c r="Z33" s="14" t="s">
        <v>23</v>
      </c>
    </row>
    <row r="34" spans="2:26" ht="17.850000000000001" customHeight="1" thickBot="1" x14ac:dyDescent="0.35">
      <c r="F34" s="124" t="s">
        <v>35</v>
      </c>
      <c r="G34" s="125" t="s">
        <v>9</v>
      </c>
      <c r="H34" s="26">
        <f>rear_axle_mass</f>
        <v>726.91</v>
      </c>
      <c r="I34" s="18" t="s">
        <v>10</v>
      </c>
      <c r="J34" s="29">
        <f>'BODY 3'!$I$7</f>
        <v>1602.5622300126379</v>
      </c>
      <c r="K34" s="18" t="s">
        <v>11</v>
      </c>
      <c r="L34" s="38"/>
      <c r="V34" s="130" t="s">
        <v>54</v>
      </c>
      <c r="W34" s="28">
        <f>oscillate_csi</f>
        <v>0</v>
      </c>
      <c r="X34" s="17"/>
      <c r="Y34" s="28">
        <f>'OSCILLATE HC'!I25</f>
        <v>0</v>
      </c>
      <c r="Z34" s="17"/>
    </row>
    <row r="35" spans="2:26" customFormat="1" ht="17.850000000000001" customHeight="1" x14ac:dyDescent="0.25">
      <c r="B35" s="80"/>
      <c r="C35" s="80"/>
      <c r="D35" s="80"/>
      <c r="E35" s="38"/>
      <c r="F35" s="9"/>
      <c r="G35" s="126" t="s">
        <v>16</v>
      </c>
      <c r="H35" s="27">
        <f>rear_axle_Ixx</f>
        <v>617.80999999999995</v>
      </c>
      <c r="I35" s="14" t="s">
        <v>14</v>
      </c>
      <c r="J35" s="30">
        <f>'BODY 3'!$I$9</f>
        <v>2111162.9733924298</v>
      </c>
      <c r="K35" s="14" t="s">
        <v>15</v>
      </c>
      <c r="L35" s="38"/>
      <c r="S35" s="38"/>
      <c r="T35" s="38"/>
      <c r="U35" s="35"/>
      <c r="V35" s="38"/>
      <c r="W35" s="12"/>
      <c r="X35" s="12"/>
      <c r="Y35" s="12"/>
      <c r="Z35" s="12"/>
    </row>
    <row r="36" spans="2:26" ht="17.850000000000001" customHeight="1" x14ac:dyDescent="0.3">
      <c r="F36" s="9"/>
      <c r="G36" s="126" t="s">
        <v>18</v>
      </c>
      <c r="H36" s="27">
        <f>rear_axle_Iyy</f>
        <v>55.39</v>
      </c>
      <c r="I36" s="14" t="s">
        <v>14</v>
      </c>
      <c r="J36" s="30">
        <f>'BODY 3'!$I$11</f>
        <v>189277.15170717001</v>
      </c>
      <c r="K36" s="14" t="s">
        <v>15</v>
      </c>
      <c r="L36" s="38"/>
    </row>
    <row r="37" spans="2:26" ht="17.850000000000001" customHeight="1" x14ac:dyDescent="0.3">
      <c r="F37" s="9"/>
      <c r="G37" s="126" t="s">
        <v>20</v>
      </c>
      <c r="H37" s="27">
        <f>rear_axle_Izz</f>
        <v>619.66</v>
      </c>
      <c r="I37" s="14" t="s">
        <v>14</v>
      </c>
      <c r="J37" s="30">
        <f>'BODY 3'!$I$13</f>
        <v>2117484.74141298</v>
      </c>
      <c r="K37" s="14" t="s">
        <v>15</v>
      </c>
    </row>
    <row r="38" spans="2:26" ht="17.850000000000001" customHeight="1" x14ac:dyDescent="0.3">
      <c r="F38" s="9"/>
      <c r="G38" s="126" t="s">
        <v>21</v>
      </c>
      <c r="H38" s="27">
        <f>rear_axle_xg</f>
        <v>-1.238</v>
      </c>
      <c r="I38" s="19" t="s">
        <v>22</v>
      </c>
      <c r="J38" s="30">
        <f>'BODY 3'!$I$15</f>
        <v>-48.740183800000004</v>
      </c>
      <c r="K38" s="19" t="s">
        <v>23</v>
      </c>
    </row>
    <row r="39" spans="2:26" ht="17.850000000000001" customHeight="1" x14ac:dyDescent="0.3">
      <c r="F39" s="9"/>
      <c r="G39" s="126" t="s">
        <v>24</v>
      </c>
      <c r="H39" s="27">
        <f>rear_axle_yg</f>
        <v>0</v>
      </c>
      <c r="I39" s="19" t="s">
        <v>22</v>
      </c>
      <c r="J39" s="30">
        <f>'BODY 3'!$I$17</f>
        <v>0</v>
      </c>
      <c r="K39" s="19" t="s">
        <v>23</v>
      </c>
    </row>
    <row r="40" spans="2:26" ht="17.850000000000001" customHeight="1" thickBot="1" x14ac:dyDescent="0.35">
      <c r="F40" s="9"/>
      <c r="G40" s="127" t="s">
        <v>25</v>
      </c>
      <c r="H40" s="28">
        <f>rear_axle_zg</f>
        <v>-0.16200000000000001</v>
      </c>
      <c r="I40" s="20" t="s">
        <v>22</v>
      </c>
      <c r="J40" s="31">
        <f>'BODY 3'!$I$19</f>
        <v>-6.3779562000000007</v>
      </c>
      <c r="K40" s="20" t="s">
        <v>23</v>
      </c>
    </row>
  </sheetData>
  <mergeCells count="32">
    <mergeCell ref="B22:D22"/>
    <mergeCell ref="B23:D23"/>
    <mergeCell ref="M6:M7"/>
    <mergeCell ref="S6:S7"/>
    <mergeCell ref="S15:S16"/>
    <mergeCell ref="S17:S19"/>
    <mergeCell ref="S20:S21"/>
    <mergeCell ref="S8:S10"/>
    <mergeCell ref="S11:S12"/>
    <mergeCell ref="B16:D16"/>
    <mergeCell ref="B20:D20"/>
    <mergeCell ref="M8:M10"/>
    <mergeCell ref="M11:M12"/>
    <mergeCell ref="M17:M19"/>
    <mergeCell ref="M20:M21"/>
    <mergeCell ref="M15:M16"/>
    <mergeCell ref="B25:D25"/>
    <mergeCell ref="F3:J3"/>
    <mergeCell ref="Y5:Z5"/>
    <mergeCell ref="H5:I5"/>
    <mergeCell ref="J5:K5"/>
    <mergeCell ref="W5:X5"/>
    <mergeCell ref="B4:D5"/>
    <mergeCell ref="B15:D15"/>
    <mergeCell ref="B18:D18"/>
    <mergeCell ref="B7:D7"/>
    <mergeCell ref="C9:D10"/>
    <mergeCell ref="B12:D12"/>
    <mergeCell ref="B14:D14"/>
    <mergeCell ref="B17:D17"/>
    <mergeCell ref="B19:D19"/>
    <mergeCell ref="B21:D21"/>
  </mergeCells>
  <conditionalFormatting sqref="W23">
    <cfRule type="containsBlanks" dxfId="20" priority="14">
      <formula>LEN(TRIM(W23))=0</formula>
    </cfRule>
  </conditionalFormatting>
  <conditionalFormatting sqref="H26:H32">
    <cfRule type="containsBlanks" dxfId="19" priority="13">
      <formula>LEN(TRIM(H26))=0</formula>
    </cfRule>
  </conditionalFormatting>
  <conditionalFormatting sqref="H18:H24">
    <cfRule type="containsBlanks" dxfId="18" priority="12">
      <formula>LEN(TRIM(H18))=0</formula>
    </cfRule>
  </conditionalFormatting>
  <conditionalFormatting sqref="H34:H40">
    <cfRule type="containsBlanks" dxfId="17" priority="11">
      <formula>LEN(TRIM(H34))=0</formula>
    </cfRule>
  </conditionalFormatting>
  <conditionalFormatting sqref="W6:W12">
    <cfRule type="containsBlanks" dxfId="16" priority="10">
      <formula>LEN(TRIM(W6))=0</formula>
    </cfRule>
  </conditionalFormatting>
  <conditionalFormatting sqref="W14:W20">
    <cfRule type="containsBlanks" dxfId="15" priority="9">
      <formula>LEN(TRIM(W14))=0</formula>
    </cfRule>
  </conditionalFormatting>
  <conditionalFormatting sqref="W22">
    <cfRule type="containsBlanks" dxfId="14" priority="8">
      <formula>LEN(TRIM(W22))=0</formula>
    </cfRule>
  </conditionalFormatting>
  <conditionalFormatting sqref="Y23">
    <cfRule type="containsBlanks" dxfId="13" priority="7">
      <formula>LEN(TRIM(Y23))=0</formula>
    </cfRule>
  </conditionalFormatting>
  <conditionalFormatting sqref="Y22">
    <cfRule type="containsBlanks" dxfId="12" priority="6">
      <formula>LEN(TRIM(Y22))=0</formula>
    </cfRule>
  </conditionalFormatting>
  <conditionalFormatting sqref="W25:W33">
    <cfRule type="containsBlanks" dxfId="11" priority="5">
      <formula>LEN(TRIM(W25))=0</formula>
    </cfRule>
  </conditionalFormatting>
  <conditionalFormatting sqref="W34">
    <cfRule type="containsBlanks" dxfId="10" priority="4">
      <formula>LEN(TRIM(W34))=0</formula>
    </cfRule>
  </conditionalFormatting>
  <conditionalFormatting sqref="H6:H7">
    <cfRule type="containsBlanks" dxfId="9" priority="3">
      <formula>LEN(TRIM(H6))=0</formula>
    </cfRule>
  </conditionalFormatting>
  <conditionalFormatting sqref="H8:H10">
    <cfRule type="containsBlanks" dxfId="8" priority="2">
      <formula>LEN(TRIM(H8))=0</formula>
    </cfRule>
  </conditionalFormatting>
  <conditionalFormatting sqref="H11:H16">
    <cfRule type="containsBlanks" dxfId="7" priority="1">
      <formula>LEN(TRIM(H11))=0</formula>
    </cfRule>
  </conditionalFormatting>
  <hyperlinks>
    <hyperlink ref="B12:D12" location="RESULTS!A1" display="Results" xr:uid="{9341A564-8575-4EEB-9826-233BD15E565B}"/>
    <hyperlink ref="B7:D7" location="USAGE!A1" display="Usage" xr:uid="{DD659B42-1981-41D8-9975-B32EEC33A4DD}"/>
    <hyperlink ref="B16:D16" location="'BODY 1'!A1" display="Drive Chassis" xr:uid="{1CADDF3A-A23F-44EF-9D92-5DE877D0B43E}"/>
    <hyperlink ref="B17:D17" location="'BODY 2'!A1" display="Front Axle" xr:uid="{7461503F-81FE-4FBF-8CBB-DA554698355D}"/>
    <hyperlink ref="B18:D18" location="'BODY 3'!A1" display="Rear Axle" xr:uid="{59B25FC5-0A3F-4E04-8428-E0DE5ADC7800}"/>
    <hyperlink ref="B19:D19" location="'BODY 5'!A1" display="Boom" xr:uid="{610C1D2F-A653-4D92-8F5B-1EAFFEA20BD0}"/>
    <hyperlink ref="B21:D21" location="WHEELS!A1" display="Wheels" xr:uid="{1EBF3A7C-ED60-407A-84C4-565823921FC4}"/>
    <hyperlink ref="A19:D19" location="'BODY 4'!A1" display="Swing Chassis" xr:uid="{E7AC6C05-0787-404C-810B-83042295F8AB}"/>
    <hyperlink ref="B15:D15" location="GENERIC!A1" display="Generic parameters" xr:uid="{FC74777B-57AD-4365-9AD0-703A13D21E68}"/>
    <hyperlink ref="B20:D20" location="'BODY 5'!A1" display="Boom" xr:uid="{E71CD79B-1E68-4986-812E-F1780E90286F}"/>
    <hyperlink ref="B22:D22" location="'OSCILLATE HC'!A1" display="Oscillate HC" xr:uid="{436FF944-E1A5-49B7-9440-BEAC46DFE83F}"/>
    <hyperlink ref="B23:D23" location="'BASE MOTION'!A1" display="Input (Base Motion)" xr:uid="{DAE1AAD6-6BBB-462E-A29D-DAADF0167139}"/>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61B09-7403-4627-9CC6-59F11A80C914}">
  <sheetPr codeName="USAGE1">
    <tabColor rgb="FF002060"/>
  </sheetPr>
  <dimension ref="B1:J16"/>
  <sheetViews>
    <sheetView showGridLines="0" topLeftCell="B2" workbookViewId="0">
      <pane xSplit="3" topLeftCell="E1" activePane="topRight" state="frozen"/>
      <selection activeCell="B2" sqref="B2"/>
      <selection pane="topRight" activeCell="B14" sqref="B14:D14"/>
    </sheetView>
  </sheetViews>
  <sheetFormatPr defaultColWidth="10.28515625" defaultRowHeight="17.25" customHeight="1" x14ac:dyDescent="0.3"/>
  <cols>
    <col min="1" max="1" width="0" style="6" hidden="1" customWidth="1"/>
    <col min="2" max="4" width="10.28515625" style="119"/>
    <col min="5" max="16384" width="10.28515625" style="6"/>
  </cols>
  <sheetData>
    <row r="1" spans="2:10" ht="17.25" hidden="1" customHeight="1" x14ac:dyDescent="0.3"/>
    <row r="3" spans="2:10" ht="32.25" thickBot="1" x14ac:dyDescent="0.55000000000000004">
      <c r="F3" s="171" t="s">
        <v>3</v>
      </c>
      <c r="G3" s="171"/>
      <c r="H3" s="171"/>
      <c r="I3" s="171"/>
      <c r="J3" s="171"/>
    </row>
    <row r="4" spans="2:10" ht="17.25" customHeight="1" thickTop="1" x14ac:dyDescent="0.3">
      <c r="B4" s="170" t="s">
        <v>1</v>
      </c>
      <c r="C4" s="170"/>
      <c r="D4" s="170"/>
    </row>
    <row r="5" spans="2:10" ht="17.25" customHeight="1" x14ac:dyDescent="0.3">
      <c r="B5" s="170"/>
      <c r="C5" s="170"/>
      <c r="D5" s="170"/>
    </row>
    <row r="7" spans="2:10" ht="17.25" customHeight="1" x14ac:dyDescent="0.3">
      <c r="B7" s="173" t="s">
        <v>0</v>
      </c>
      <c r="C7" s="173"/>
      <c r="D7" s="173"/>
    </row>
    <row r="9" spans="2:10" ht="17.25" customHeight="1" x14ac:dyDescent="0.3">
      <c r="B9" s="176"/>
      <c r="C9" s="174" t="s">
        <v>2</v>
      </c>
      <c r="D9" s="174"/>
    </row>
    <row r="10" spans="2:10" ht="17.25" customHeight="1" x14ac:dyDescent="0.3">
      <c r="B10" s="176"/>
      <c r="C10" s="174"/>
      <c r="D10" s="174"/>
    </row>
    <row r="12" spans="2:10" ht="17.25" customHeight="1" x14ac:dyDescent="0.3">
      <c r="B12" s="175" t="s">
        <v>3</v>
      </c>
      <c r="C12" s="175"/>
      <c r="D12" s="175"/>
    </row>
    <row r="14" spans="2:10" ht="17.25" customHeight="1" x14ac:dyDescent="0.3">
      <c r="B14" s="173" t="s">
        <v>4</v>
      </c>
      <c r="C14" s="173"/>
      <c r="D14" s="173"/>
    </row>
    <row r="16" spans="2:10" ht="17.25" customHeight="1" x14ac:dyDescent="0.3">
      <c r="B16" s="172" t="s">
        <v>5</v>
      </c>
      <c r="C16" s="172"/>
      <c r="D16" s="172"/>
    </row>
  </sheetData>
  <mergeCells count="8">
    <mergeCell ref="B14:D14"/>
    <mergeCell ref="B16:D16"/>
    <mergeCell ref="F3:J3"/>
    <mergeCell ref="B4:D5"/>
    <mergeCell ref="B7:D7"/>
    <mergeCell ref="B9:B10"/>
    <mergeCell ref="C9:D10"/>
    <mergeCell ref="B12:D12"/>
  </mergeCells>
  <hyperlinks>
    <hyperlink ref="B14:D14" location="DASHBOARD!A1" display="Dashboard" xr:uid="{7E5D7897-8019-4CA7-B493-9A88CDDB4228}"/>
    <hyperlink ref="B7:D7" location="USAGE!A1" display="USAGE" xr:uid="{0D851953-A565-4BFE-AD52-BC71226D2F63}"/>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87C84-B71A-4F07-909E-6DBEAF670D99}">
  <sheetPr codeName="GENERIC"/>
  <dimension ref="A1:AM34"/>
  <sheetViews>
    <sheetView showGridLines="0" topLeftCell="B2" zoomScaleNormal="100" workbookViewId="0">
      <pane xSplit="3" topLeftCell="E1" activePane="topRight" state="frozen"/>
      <selection activeCell="B2" sqref="B2"/>
      <selection pane="topRight" activeCell="B17" sqref="B17:D17"/>
    </sheetView>
  </sheetViews>
  <sheetFormatPr defaultColWidth="10.28515625" defaultRowHeight="17.850000000000001" customHeight="1" x14ac:dyDescent="0.25"/>
  <cols>
    <col min="1" max="1" width="0" style="35" hidden="1" customWidth="1"/>
    <col min="2" max="4" width="10.28515625" style="131"/>
    <col min="5" max="5" width="10.28515625" style="35"/>
    <col min="6" max="6" width="10.7109375" style="44" customWidth="1"/>
    <col min="7" max="7" width="14.28515625" style="35" customWidth="1"/>
    <col min="8" max="8" width="14.28515625" style="44" customWidth="1"/>
    <col min="9" max="9" width="18.5703125" style="35" customWidth="1"/>
    <col min="10" max="10" width="19.28515625" style="44" customWidth="1"/>
    <col min="11" max="11" width="11.140625" style="35" bestFit="1" customWidth="1"/>
    <col min="12" max="12" width="10.28515625" style="35"/>
    <col min="13" max="13" width="18.28515625" style="35" bestFit="1" customWidth="1"/>
    <col min="14" max="14" width="10.28515625" style="35"/>
    <col min="15" max="15" width="9" style="35" bestFit="1" customWidth="1"/>
    <col min="16" max="16" width="9.85546875" style="35" bestFit="1" customWidth="1"/>
    <col min="17" max="17" width="12.85546875" style="35" bestFit="1" customWidth="1"/>
    <col min="18" max="18" width="13.5703125" style="35" bestFit="1" customWidth="1"/>
    <col min="19" max="16384" width="10.28515625" style="35"/>
  </cols>
  <sheetData>
    <row r="1" spans="2:39" ht="17.850000000000001" hidden="1" customHeight="1" x14ac:dyDescent="0.25"/>
    <row r="2" spans="2:39" ht="17.850000000000001" customHeight="1" x14ac:dyDescent="0.25">
      <c r="L2" s="76"/>
      <c r="P2" s="145"/>
      <c r="AM2" s="76"/>
    </row>
    <row r="3" spans="2:39" ht="32.25" thickBot="1" x14ac:dyDescent="0.3">
      <c r="F3" s="191" t="s">
        <v>215</v>
      </c>
      <c r="G3" s="191"/>
      <c r="H3" s="191"/>
      <c r="I3" s="191"/>
      <c r="J3" s="191"/>
      <c r="L3" s="76"/>
    </row>
    <row r="4" spans="2:39" ht="17.25" thickTop="1" thickBot="1" x14ac:dyDescent="0.3">
      <c r="B4" s="170" t="s">
        <v>1</v>
      </c>
      <c r="C4" s="170"/>
      <c r="D4" s="170"/>
      <c r="L4" s="76"/>
    </row>
    <row r="5" spans="2:39" ht="17.25" thickBot="1" x14ac:dyDescent="0.3">
      <c r="B5" s="170"/>
      <c r="C5" s="170"/>
      <c r="D5" s="170"/>
      <c r="F5" s="187" t="s">
        <v>219</v>
      </c>
      <c r="G5" s="188"/>
      <c r="H5" s="188"/>
      <c r="I5" s="188"/>
      <c r="J5" s="189"/>
      <c r="K5" s="146"/>
      <c r="L5" s="146"/>
      <c r="M5" s="37"/>
      <c r="N5" s="37"/>
      <c r="O5" s="37"/>
      <c r="P5" s="37"/>
      <c r="Q5" s="37"/>
      <c r="R5" s="37"/>
      <c r="S5" s="37"/>
      <c r="T5" s="9"/>
    </row>
    <row r="6" spans="2:39" ht="17.850000000000001" customHeight="1" x14ac:dyDescent="0.25">
      <c r="F6" s="56"/>
      <c r="G6" s="36" t="s">
        <v>56</v>
      </c>
      <c r="H6" s="45"/>
      <c r="I6" s="36" t="s">
        <v>7</v>
      </c>
      <c r="J6" s="22"/>
      <c r="K6" s="37"/>
      <c r="L6" s="147"/>
      <c r="M6" s="148"/>
      <c r="N6" s="148"/>
      <c r="O6" s="148"/>
      <c r="P6" s="148"/>
      <c r="Q6" s="11"/>
      <c r="R6" s="37"/>
      <c r="S6" s="37"/>
      <c r="T6" s="9"/>
    </row>
    <row r="7" spans="2:39" ht="17.850000000000001" customHeight="1" x14ac:dyDescent="0.25">
      <c r="B7" s="173" t="s">
        <v>0</v>
      </c>
      <c r="C7" s="173"/>
      <c r="D7" s="173"/>
      <c r="F7" s="151" t="s">
        <v>249</v>
      </c>
      <c r="G7" s="139">
        <v>2.476</v>
      </c>
      <c r="H7" s="10" t="s">
        <v>22</v>
      </c>
      <c r="I7" s="117">
        <f>G7*from_m_to_in</f>
        <v>97.480367600000008</v>
      </c>
      <c r="J7" s="13" t="s">
        <v>23</v>
      </c>
      <c r="K7" s="37"/>
      <c r="L7" s="190" t="s">
        <v>216</v>
      </c>
      <c r="M7" s="190"/>
      <c r="N7" s="12"/>
      <c r="O7" s="12"/>
      <c r="P7" s="12"/>
      <c r="Q7" s="12"/>
      <c r="R7" s="38"/>
      <c r="S7" s="38"/>
      <c r="T7" s="38"/>
      <c r="U7" s="38"/>
    </row>
    <row r="8" spans="2:39" ht="17.850000000000001" customHeight="1" x14ac:dyDescent="0.25">
      <c r="F8" s="151"/>
      <c r="G8" s="140"/>
      <c r="H8" s="116"/>
      <c r="I8" s="140"/>
      <c r="J8" s="13"/>
      <c r="K8" s="37"/>
      <c r="L8" s="12"/>
      <c r="M8" s="12"/>
      <c r="N8" s="12"/>
      <c r="O8" s="12"/>
      <c r="P8" s="12"/>
      <c r="Q8" s="12"/>
      <c r="R8" s="38"/>
      <c r="S8" s="38"/>
      <c r="T8" s="38"/>
      <c r="U8" s="38"/>
    </row>
    <row r="9" spans="2:39" ht="17.850000000000001" customHeight="1" x14ac:dyDescent="0.25">
      <c r="C9" s="174" t="s">
        <v>2</v>
      </c>
      <c r="D9" s="174"/>
      <c r="F9" s="151" t="s">
        <v>250</v>
      </c>
      <c r="G9" s="139">
        <v>2.129</v>
      </c>
      <c r="H9" s="10" t="s">
        <v>22</v>
      </c>
      <c r="I9" s="117">
        <f>G9*from_m_to_in</f>
        <v>83.818942899999996</v>
      </c>
      <c r="J9" s="14" t="s">
        <v>23</v>
      </c>
      <c r="K9" s="37"/>
      <c r="L9" s="190" t="s">
        <v>217</v>
      </c>
      <c r="M9" s="190"/>
      <c r="N9" s="12"/>
      <c r="O9" s="12"/>
      <c r="P9" s="12"/>
      <c r="Q9" s="12"/>
      <c r="R9" s="38"/>
      <c r="S9" s="38"/>
      <c r="T9" s="38"/>
      <c r="U9" s="38"/>
    </row>
    <row r="10" spans="2:39" ht="17.850000000000001" customHeight="1" x14ac:dyDescent="0.25">
      <c r="C10" s="174"/>
      <c r="D10" s="174"/>
      <c r="F10" s="151"/>
      <c r="G10" s="140"/>
      <c r="H10" s="116"/>
      <c r="I10" s="140"/>
      <c r="J10" s="13"/>
      <c r="K10" s="37"/>
      <c r="L10" s="12"/>
      <c r="M10" s="12"/>
      <c r="N10" s="12"/>
      <c r="O10" s="12"/>
      <c r="P10" s="12"/>
      <c r="Q10" s="12"/>
      <c r="R10" s="38"/>
      <c r="S10" s="38"/>
      <c r="T10" s="38"/>
      <c r="U10" s="38"/>
    </row>
    <row r="11" spans="2:39" ht="17.850000000000001" customHeight="1" x14ac:dyDescent="0.25">
      <c r="F11" s="151" t="s">
        <v>214</v>
      </c>
      <c r="G11" s="139">
        <v>3</v>
      </c>
      <c r="H11" s="10" t="s">
        <v>195</v>
      </c>
      <c r="I11" s="117">
        <f>G11</f>
        <v>3</v>
      </c>
      <c r="J11" s="14" t="s">
        <v>195</v>
      </c>
      <c r="K11" s="37"/>
      <c r="L11" s="190" t="s">
        <v>218</v>
      </c>
      <c r="M11" s="190"/>
      <c r="N11" s="190"/>
      <c r="O11" s="190"/>
      <c r="P11" s="190"/>
      <c r="Q11" s="12"/>
      <c r="R11" s="38"/>
      <c r="S11" s="38"/>
      <c r="T11" s="38"/>
      <c r="U11" s="38"/>
    </row>
    <row r="12" spans="2:39" ht="17.850000000000001" customHeight="1" x14ac:dyDescent="0.25">
      <c r="B12" s="173" t="s">
        <v>3</v>
      </c>
      <c r="C12" s="173"/>
      <c r="D12" s="173"/>
      <c r="F12" s="151"/>
      <c r="G12" s="140"/>
      <c r="H12" s="116"/>
      <c r="I12" s="140"/>
      <c r="J12" s="13"/>
      <c r="K12" s="37"/>
      <c r="L12" s="12"/>
      <c r="M12" s="12"/>
      <c r="N12" s="12"/>
      <c r="O12" s="12"/>
      <c r="P12" s="12"/>
      <c r="Q12" s="12"/>
      <c r="R12" s="38"/>
      <c r="S12" s="38"/>
      <c r="T12" s="38"/>
      <c r="U12" s="38"/>
    </row>
    <row r="13" spans="2:39" ht="17.850000000000001" customHeight="1" x14ac:dyDescent="0.25">
      <c r="F13" s="151" t="s">
        <v>247</v>
      </c>
      <c r="G13" s="139">
        <v>0</v>
      </c>
      <c r="H13" s="10" t="s">
        <v>246</v>
      </c>
      <c r="I13" s="117">
        <f>(machine_k13xx*from_N_to_lbf)*from_m_to_in</f>
        <v>0</v>
      </c>
      <c r="J13" s="13" t="s">
        <v>133</v>
      </c>
      <c r="K13" s="37"/>
      <c r="L13" s="190" t="s">
        <v>248</v>
      </c>
      <c r="M13" s="190"/>
      <c r="N13" s="190"/>
      <c r="O13" s="190"/>
      <c r="P13" s="190"/>
      <c r="Q13" s="190"/>
      <c r="R13" s="190"/>
      <c r="S13" s="190"/>
      <c r="T13" s="190"/>
      <c r="U13" s="190"/>
      <c r="V13" s="190"/>
    </row>
    <row r="14" spans="2:39" ht="17.850000000000001" customHeight="1" thickBot="1" x14ac:dyDescent="0.3">
      <c r="B14" s="173" t="s">
        <v>4</v>
      </c>
      <c r="C14" s="173"/>
      <c r="D14" s="173"/>
      <c r="F14" s="59"/>
      <c r="G14" s="39"/>
      <c r="H14" s="50"/>
      <c r="I14" s="39"/>
      <c r="J14" s="47"/>
      <c r="K14" s="37"/>
      <c r="L14" s="12"/>
      <c r="M14" s="12"/>
      <c r="N14" s="12"/>
      <c r="O14" s="12"/>
      <c r="P14" s="12"/>
      <c r="Q14" s="12"/>
      <c r="R14" s="38"/>
      <c r="S14" s="38"/>
      <c r="T14" s="38"/>
      <c r="U14" s="38"/>
    </row>
    <row r="15" spans="2:39" ht="17.850000000000001" customHeight="1" x14ac:dyDescent="0.25">
      <c r="B15" s="192" t="s">
        <v>251</v>
      </c>
      <c r="C15" s="192"/>
      <c r="D15" s="192"/>
      <c r="F15" s="113"/>
      <c r="G15" s="94"/>
      <c r="H15" s="113"/>
      <c r="I15" s="94"/>
      <c r="J15" s="113"/>
      <c r="R15" s="38"/>
      <c r="S15" s="38"/>
      <c r="T15" s="38"/>
      <c r="U15" s="38"/>
    </row>
    <row r="16" spans="2:39" ht="17.850000000000001" customHeight="1" thickBot="1" x14ac:dyDescent="0.3">
      <c r="B16" s="176" t="s">
        <v>28</v>
      </c>
      <c r="C16" s="176"/>
      <c r="D16" s="176"/>
      <c r="R16" s="38"/>
      <c r="S16" s="38"/>
      <c r="T16" s="38"/>
      <c r="U16" s="38"/>
    </row>
    <row r="17" spans="1:21" ht="17.850000000000001" customHeight="1" thickBot="1" x14ac:dyDescent="0.3">
      <c r="B17" s="176" t="s">
        <v>29</v>
      </c>
      <c r="C17" s="176"/>
      <c r="D17" s="176"/>
      <c r="F17" s="187" t="s">
        <v>220</v>
      </c>
      <c r="G17" s="188"/>
      <c r="H17" s="188"/>
      <c r="I17" s="188"/>
      <c r="J17" s="189"/>
      <c r="K17" s="37"/>
      <c r="L17" s="12"/>
      <c r="M17" s="12"/>
      <c r="N17" s="12"/>
      <c r="O17" s="12"/>
      <c r="P17" s="12"/>
      <c r="Q17" s="12"/>
      <c r="R17" s="38"/>
      <c r="S17" s="38"/>
      <c r="T17" s="38"/>
      <c r="U17" s="38"/>
    </row>
    <row r="18" spans="1:21" ht="17.850000000000001" customHeight="1" x14ac:dyDescent="0.25">
      <c r="B18" s="176" t="s">
        <v>30</v>
      </c>
      <c r="C18" s="176"/>
      <c r="D18" s="176"/>
      <c r="F18" s="56"/>
      <c r="G18" s="36" t="s">
        <v>56</v>
      </c>
      <c r="H18" s="45"/>
      <c r="I18" s="36" t="s">
        <v>7</v>
      </c>
      <c r="J18" s="22"/>
      <c r="K18" s="37"/>
      <c r="L18" s="12"/>
      <c r="M18" s="12"/>
      <c r="N18" s="12"/>
      <c r="O18" s="12"/>
      <c r="P18" s="12"/>
      <c r="Q18" s="12"/>
      <c r="R18" s="38"/>
      <c r="S18" s="38"/>
      <c r="T18" s="38"/>
      <c r="U18" s="38"/>
    </row>
    <row r="19" spans="1:21" ht="17.850000000000001" customHeight="1" x14ac:dyDescent="0.25">
      <c r="A19" s="132" t="s">
        <v>31</v>
      </c>
      <c r="B19" s="176" t="s">
        <v>31</v>
      </c>
      <c r="C19" s="176"/>
      <c r="D19" s="176"/>
      <c r="F19" s="133" t="s">
        <v>221</v>
      </c>
      <c r="G19" s="143">
        <f>((drive_chassis_mass*drive_chassis_xg)+(front_axle_mass*front_axle_xg)+(rear_axle_mass*rear_axle_xg)+(swing_chassis_mass*swing_chassis_xg)+(boom_mass*boom_xg))/(drive_chassis_mass+front_axle_mass+rear_axle_mass+swing_chassis_mass+boom_mass)</f>
        <v>0.29037552367222008</v>
      </c>
      <c r="H19" s="10" t="s">
        <v>22</v>
      </c>
      <c r="I19" s="117">
        <f>G19*from_m_to_in</f>
        <v>11.432113404527673</v>
      </c>
      <c r="J19" s="13" t="s">
        <v>23</v>
      </c>
      <c r="K19" s="37"/>
      <c r="L19" s="190" t="s">
        <v>225</v>
      </c>
      <c r="M19" s="190"/>
      <c r="N19" s="190"/>
      <c r="O19" s="190"/>
      <c r="P19" s="190"/>
      <c r="Q19" s="12"/>
      <c r="R19" s="38"/>
      <c r="S19" s="38"/>
      <c r="T19" s="38"/>
      <c r="U19" s="38"/>
    </row>
    <row r="20" spans="1:21" ht="17.850000000000001" customHeight="1" x14ac:dyDescent="0.25">
      <c r="B20" s="176" t="s">
        <v>32</v>
      </c>
      <c r="C20" s="176"/>
      <c r="D20" s="176"/>
      <c r="F20" s="133"/>
      <c r="G20" s="140"/>
      <c r="H20" s="116"/>
      <c r="I20" s="140"/>
      <c r="J20" s="13"/>
      <c r="K20" s="37"/>
      <c r="L20" s="12"/>
      <c r="M20" s="12"/>
      <c r="N20" s="12"/>
      <c r="O20" s="12"/>
      <c r="P20" s="12"/>
      <c r="Q20" s="12"/>
      <c r="R20" s="37"/>
      <c r="S20" s="37"/>
    </row>
    <row r="21" spans="1:21" ht="17.850000000000001" customHeight="1" x14ac:dyDescent="0.25">
      <c r="B21" s="176" t="s">
        <v>33</v>
      </c>
      <c r="C21" s="176"/>
      <c r="D21" s="176"/>
      <c r="F21" s="133" t="s">
        <v>222</v>
      </c>
      <c r="G21" s="143">
        <f>((drive_chassis_mass*drive_chassis_yg)+(front_axle_mass*front_axle_yg)+(rear_axle_mass*rear_axle_yg)+(swing_chassis_mass*swing_chassis_yg)+(boom_mass*boom_yg))/(drive_chassis_mass+front_axle_mass+rear_axle_mass+swing_chassis_mass+boom_mass)</f>
        <v>0</v>
      </c>
      <c r="H21" s="10" t="s">
        <v>22</v>
      </c>
      <c r="I21" s="117">
        <f>G21*from_m_to_in</f>
        <v>0</v>
      </c>
      <c r="J21" s="14" t="s">
        <v>23</v>
      </c>
      <c r="K21" s="37"/>
      <c r="L21" s="190" t="s">
        <v>226</v>
      </c>
      <c r="M21" s="190"/>
      <c r="N21" s="190"/>
      <c r="O21" s="190"/>
      <c r="P21" s="190"/>
      <c r="Q21" s="12"/>
      <c r="R21" s="38"/>
      <c r="S21" s="38"/>
    </row>
    <row r="22" spans="1:21" ht="17.850000000000001" customHeight="1" x14ac:dyDescent="0.25">
      <c r="B22" s="176" t="s">
        <v>34</v>
      </c>
      <c r="C22" s="176"/>
      <c r="D22" s="176"/>
      <c r="F22" s="133"/>
      <c r="G22" s="140"/>
      <c r="H22" s="116"/>
      <c r="I22" s="140"/>
      <c r="J22" s="13"/>
      <c r="K22" s="37"/>
      <c r="L22" s="11"/>
      <c r="M22" s="11"/>
      <c r="N22" s="11"/>
      <c r="O22" s="11"/>
      <c r="P22" s="11"/>
      <c r="Q22" s="11"/>
      <c r="R22" s="38"/>
      <c r="S22" s="38"/>
    </row>
    <row r="23" spans="1:21" ht="17.850000000000001" customHeight="1" x14ac:dyDescent="0.25">
      <c r="B23" s="176" t="s">
        <v>136</v>
      </c>
      <c r="C23" s="176"/>
      <c r="D23" s="176"/>
      <c r="F23" s="133" t="s">
        <v>223</v>
      </c>
      <c r="G23" s="143">
        <f>((drive_chassis_mass*drive_chassis_zg)+(front_axle_mass*front_axle_zg)+(rear_axle_mass*rear_axle_zg)+(swing_chassis_mass*swing_chassis_zg)+(boom_mass*boom_zg))/(drive_chassis_mass+front_axle_mass+rear_axle_mass+swing_chassis_mass+boom_mass)</f>
        <v>0.67851391962007268</v>
      </c>
      <c r="H23" s="10" t="s">
        <v>22</v>
      </c>
      <c r="I23" s="117">
        <f>G23*from_m_to_in</f>
        <v>26.713160866834222</v>
      </c>
      <c r="J23" s="14" t="s">
        <v>195</v>
      </c>
      <c r="K23" s="38"/>
      <c r="L23" s="190" t="s">
        <v>227</v>
      </c>
      <c r="M23" s="190"/>
      <c r="N23" s="190"/>
      <c r="O23" s="190"/>
      <c r="P23" s="12"/>
      <c r="Q23" s="12"/>
      <c r="R23" s="38"/>
      <c r="S23" s="38"/>
    </row>
    <row r="24" spans="1:21" ht="17.850000000000001" customHeight="1" x14ac:dyDescent="0.25">
      <c r="B24" s="134"/>
      <c r="C24" s="134"/>
      <c r="D24" s="134"/>
      <c r="F24" s="133"/>
      <c r="G24" s="140"/>
      <c r="H24" s="116"/>
      <c r="I24" s="140"/>
      <c r="J24" s="13"/>
      <c r="K24" s="38"/>
      <c r="L24" s="12" t="s">
        <v>159</v>
      </c>
      <c r="M24" s="12"/>
      <c r="N24" s="12"/>
      <c r="O24" s="12"/>
      <c r="P24" s="12"/>
      <c r="Q24" s="12"/>
      <c r="R24" s="38"/>
      <c r="S24" s="38"/>
    </row>
    <row r="25" spans="1:21" ht="17.850000000000001" customHeight="1" x14ac:dyDescent="0.25">
      <c r="B25" s="172" t="s">
        <v>5</v>
      </c>
      <c r="C25" s="172"/>
      <c r="D25" s="172"/>
      <c r="F25" s="133" t="s">
        <v>224</v>
      </c>
      <c r="G25" s="143">
        <f>drive_chassis_mass+front_axle_mass+rear_axle_mass+swing_chassis_mass+boom_mass</f>
        <v>6485.45</v>
      </c>
      <c r="H25" s="10" t="s">
        <v>10</v>
      </c>
      <c r="I25" s="117">
        <f>G25*from_kg_to_lb</f>
        <v>14297.969782552809</v>
      </c>
      <c r="J25" s="14" t="s">
        <v>11</v>
      </c>
      <c r="K25" s="38"/>
      <c r="L25" s="190" t="s">
        <v>228</v>
      </c>
      <c r="M25" s="190"/>
      <c r="N25" s="12"/>
      <c r="O25" s="12"/>
      <c r="P25" s="12"/>
      <c r="Q25" s="12"/>
      <c r="R25" s="38"/>
      <c r="S25" s="38"/>
    </row>
    <row r="26" spans="1:21" ht="17.850000000000001" customHeight="1" x14ac:dyDescent="0.25">
      <c r="F26" s="144"/>
      <c r="G26" s="141"/>
      <c r="H26" s="142"/>
      <c r="I26" s="141"/>
      <c r="J26" s="15"/>
      <c r="K26" s="38"/>
      <c r="L26" s="12"/>
      <c r="M26" s="12"/>
      <c r="N26" s="12"/>
      <c r="O26" s="12"/>
      <c r="P26" s="12"/>
      <c r="Q26" s="12"/>
      <c r="R26" s="38"/>
      <c r="S26" s="38"/>
    </row>
    <row r="27" spans="1:21" ht="17.850000000000001" customHeight="1" x14ac:dyDescent="0.25">
      <c r="F27" s="133" t="s">
        <v>235</v>
      </c>
      <c r="G27" s="143">
        <f>(machine_mass*9.81/4)+((machine_mass*9.81/4)*(((machine_mass*machine_xg + front_axle_mass*front_axle_xg + rear_axle_mass*rear_axle_xg)/(machine_mass))/(machine_wheelbase/2)))</f>
        <v>19837.674193012925</v>
      </c>
      <c r="H27" s="10" t="s">
        <v>209</v>
      </c>
      <c r="I27" s="117">
        <f>G27*from_N_to_lbf</f>
        <v>4459.5091585893051</v>
      </c>
      <c r="J27" s="14" t="s">
        <v>236</v>
      </c>
      <c r="K27" s="38"/>
      <c r="L27" s="190" t="s">
        <v>229</v>
      </c>
      <c r="M27" s="190"/>
      <c r="N27" s="190"/>
      <c r="O27" s="190"/>
      <c r="P27" s="190"/>
      <c r="Q27" s="190"/>
      <c r="R27" s="38"/>
      <c r="S27" s="38"/>
    </row>
    <row r="28" spans="1:21" ht="17.850000000000001" customHeight="1" x14ac:dyDescent="0.25">
      <c r="F28" s="58"/>
      <c r="G28" s="141"/>
      <c r="H28" s="142"/>
      <c r="I28" s="141"/>
      <c r="J28" s="15"/>
      <c r="K28" s="38"/>
      <c r="L28" s="12"/>
      <c r="M28" s="12"/>
      <c r="N28" s="12"/>
      <c r="O28" s="12"/>
      <c r="P28" s="12"/>
      <c r="Q28" s="12"/>
      <c r="R28" s="38"/>
      <c r="S28" s="38"/>
    </row>
    <row r="29" spans="1:21" ht="17.850000000000001" customHeight="1" x14ac:dyDescent="0.25">
      <c r="F29" s="133" t="s">
        <v>234</v>
      </c>
      <c r="G29" s="143">
        <f>(machine_mass*9.81/4)+((machine_mass*9.81/4)*((machine_mass*machine_xg + front_axle_mass*front_axle_xg + rear_axle_mass*rear_axle_xg)/(machine_mass))/(machine_wheelbase/2))</f>
        <v>19837.674193012925</v>
      </c>
      <c r="H29" s="10" t="s">
        <v>209</v>
      </c>
      <c r="I29" s="117">
        <f>G29*from_N_to_lbf</f>
        <v>4459.5091585893051</v>
      </c>
      <c r="J29" s="14" t="s">
        <v>236</v>
      </c>
      <c r="K29" s="38"/>
      <c r="L29" s="190" t="s">
        <v>230</v>
      </c>
      <c r="M29" s="190"/>
      <c r="N29" s="190"/>
      <c r="O29" s="190"/>
      <c r="P29" s="190"/>
      <c r="Q29" s="190"/>
      <c r="R29" s="38"/>
      <c r="S29" s="38"/>
    </row>
    <row r="30" spans="1:21" ht="17.850000000000001" customHeight="1" x14ac:dyDescent="0.25">
      <c r="F30" s="58"/>
      <c r="G30" s="141"/>
      <c r="H30" s="113"/>
      <c r="I30" s="94"/>
      <c r="J30" s="32"/>
      <c r="K30" s="38"/>
      <c r="L30" s="12"/>
      <c r="M30" s="12"/>
      <c r="N30" s="12"/>
      <c r="O30" s="12"/>
      <c r="P30" s="12"/>
      <c r="Q30" s="12" t="s">
        <v>159</v>
      </c>
      <c r="R30" s="38"/>
      <c r="S30" s="38"/>
    </row>
    <row r="31" spans="1:21" ht="17.850000000000001" customHeight="1" x14ac:dyDescent="0.25">
      <c r="F31" s="133" t="s">
        <v>233</v>
      </c>
      <c r="G31" s="143">
        <f>(machine_mass*9.81/4)-((machine_mass*9.81/4)*((machine_mass*machine_xg + front_axle_mass*front_axle_xg + rear_axle_mass*rear_axle_xg)/(machine_mass))/(machine_wheelbase/2))</f>
        <v>11973.458056987078</v>
      </c>
      <c r="H31" s="10" t="s">
        <v>209</v>
      </c>
      <c r="I31" s="117">
        <f>G31*from_N_to_lbf</f>
        <v>2691.6333712106953</v>
      </c>
      <c r="J31" s="14" t="s">
        <v>236</v>
      </c>
      <c r="K31" s="38"/>
      <c r="L31" s="190" t="s">
        <v>231</v>
      </c>
      <c r="M31" s="190"/>
      <c r="N31" s="190"/>
      <c r="O31" s="190"/>
      <c r="P31" s="190"/>
      <c r="Q31" s="190"/>
      <c r="R31" s="38"/>
      <c r="S31" s="38"/>
      <c r="T31" s="9"/>
    </row>
    <row r="32" spans="1:21" ht="17.850000000000001" customHeight="1" x14ac:dyDescent="0.25">
      <c r="F32" s="58"/>
      <c r="G32" s="141"/>
      <c r="H32" s="142"/>
      <c r="I32" s="141"/>
      <c r="J32" s="15"/>
      <c r="K32" s="38"/>
      <c r="L32" s="12"/>
      <c r="M32" s="12"/>
      <c r="N32" s="12"/>
      <c r="O32" s="12"/>
      <c r="P32" s="12"/>
      <c r="Q32" s="12"/>
      <c r="R32" s="38"/>
      <c r="S32" s="38"/>
      <c r="T32" s="9"/>
    </row>
    <row r="33" spans="6:17" ht="17.850000000000001" customHeight="1" x14ac:dyDescent="0.25">
      <c r="F33" s="133" t="s">
        <v>232</v>
      </c>
      <c r="G33" s="143">
        <f>(machine_mass*9.81/4)-((machine_mass*9.81/4)*((machine_mass*machine_xg + front_axle_mass*front_axle_xg + rear_axle_mass*rear_axle_xg)/(machine_mass))/(machine_wheelbase/2))</f>
        <v>11973.458056987078</v>
      </c>
      <c r="H33" s="10" t="s">
        <v>209</v>
      </c>
      <c r="I33" s="117">
        <f>G33*from_N_to_lbf</f>
        <v>2691.6333712106953</v>
      </c>
      <c r="J33" s="14" t="s">
        <v>236</v>
      </c>
      <c r="K33" s="38"/>
      <c r="L33" s="190" t="s">
        <v>231</v>
      </c>
      <c r="M33" s="190"/>
      <c r="N33" s="190"/>
      <c r="O33" s="190"/>
      <c r="P33" s="190"/>
      <c r="Q33" s="190"/>
    </row>
    <row r="34" spans="6:17" ht="17.850000000000001" customHeight="1" thickBot="1" x14ac:dyDescent="0.3">
      <c r="F34" s="59"/>
      <c r="G34" s="39"/>
      <c r="H34" s="50"/>
      <c r="I34" s="39"/>
      <c r="J34" s="47"/>
      <c r="K34" s="38"/>
      <c r="L34" s="12"/>
      <c r="M34" s="12"/>
      <c r="N34" s="12"/>
      <c r="O34" s="12"/>
      <c r="P34" s="12"/>
      <c r="Q34" s="12"/>
    </row>
  </sheetData>
  <mergeCells count="30">
    <mergeCell ref="L33:Q33"/>
    <mergeCell ref="L31:Q31"/>
    <mergeCell ref="L25:M25"/>
    <mergeCell ref="B21:D21"/>
    <mergeCell ref="B22:D22"/>
    <mergeCell ref="L29:Q29"/>
    <mergeCell ref="L27:Q27"/>
    <mergeCell ref="L23:O23"/>
    <mergeCell ref="L21:P21"/>
    <mergeCell ref="B12:D12"/>
    <mergeCell ref="B14:D14"/>
    <mergeCell ref="B15:D15"/>
    <mergeCell ref="L7:M7"/>
    <mergeCell ref="L9:M9"/>
    <mergeCell ref="L11:P11"/>
    <mergeCell ref="F3:J3"/>
    <mergeCell ref="B4:D5"/>
    <mergeCell ref="F5:J5"/>
    <mergeCell ref="B7:D7"/>
    <mergeCell ref="C9:D10"/>
    <mergeCell ref="F17:J17"/>
    <mergeCell ref="L13:V13"/>
    <mergeCell ref="B20:D20"/>
    <mergeCell ref="B23:D23"/>
    <mergeCell ref="B25:D25"/>
    <mergeCell ref="B17:D17"/>
    <mergeCell ref="B18:D18"/>
    <mergeCell ref="B19:D19"/>
    <mergeCell ref="B16:D16"/>
    <mergeCell ref="L19:P19"/>
  </mergeCells>
  <hyperlinks>
    <hyperlink ref="B12:D12" location="RESULTS!A1" display="Results" xr:uid="{E7B007EE-570A-44D2-8E06-C9E3BD7AF5EC}"/>
    <hyperlink ref="B7:D7" location="USAGE!A1" display="Usage" xr:uid="{8A942D26-8161-4781-BA3E-C95DF0A1F474}"/>
    <hyperlink ref="B14:D14" location="DASHBOARD!A1" display="DASHBOARD" xr:uid="{3029BE4F-D5D5-4FEB-988E-3433AD85EF94}"/>
    <hyperlink ref="B16:D16" location="'BODY 1'!A1" display="Drive Chassis" xr:uid="{CCE30D1A-3149-4488-A2FD-229439481990}"/>
    <hyperlink ref="B17:D17" location="'BODY 2'!A1" display="Front Axle" xr:uid="{24075227-0E28-4608-99A0-6EBE6C45E0FF}"/>
    <hyperlink ref="B18:D18" location="'BODY 3'!A1" display="Rear Axle" xr:uid="{AC182DA3-219C-45B0-ADCF-42E80755A710}"/>
    <hyperlink ref="B19:D19" location="'BODY 4'!A1" display="Swing Chassis" xr:uid="{D36D1BE8-6835-412C-B58F-2AFB83EE02BE}"/>
    <hyperlink ref="B21:D21" location="WHEELS!A1" display="Wheels" xr:uid="{BEC8FC03-8223-4CBA-AAAA-550F63E21DB1}"/>
    <hyperlink ref="B20:D20" location="'BODY 5'!A1" display="Boom" xr:uid="{42442650-EBDB-4B7B-AA16-CE8A01F8975F}"/>
    <hyperlink ref="B22:D22" location="'OSCILLATE HC'!A1" display="Oscillate HC" xr:uid="{A10225FB-6C84-40A5-A294-AF69FAEB4248}"/>
    <hyperlink ref="B23:D23" location="'BASE MOTION'!A1" display="Input (Base Motion)" xr:uid="{88C10BF5-DB9F-4B30-BEEB-7A17105D8FBB}"/>
  </hyperlinks>
  <pageMargins left="0.7" right="0.7" top="0.75" bottom="0.75" header="0.3" footer="0.3"/>
  <pageSetup orientation="portrait" r:id="rId1"/>
  <ignoredErrors>
    <ignoredError sqref="G19:G33" unlocked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B2502-1DA8-4094-ABF3-B1667E5D226E}">
  <sheetPr codeName="BODY1"/>
  <dimension ref="A1:AM42"/>
  <sheetViews>
    <sheetView showGridLines="0" topLeftCell="B2" zoomScaleNormal="100" workbookViewId="0">
      <pane xSplit="3" topLeftCell="E1" activePane="topRight" state="frozen"/>
      <selection activeCell="B2" sqref="B2"/>
      <selection pane="topRight" activeCell="B15" sqref="B15:D15"/>
    </sheetView>
  </sheetViews>
  <sheetFormatPr defaultColWidth="10.28515625" defaultRowHeight="17.850000000000001" customHeight="1" x14ac:dyDescent="0.3"/>
  <cols>
    <col min="1" max="1" width="0" style="6" hidden="1" customWidth="1"/>
    <col min="2" max="4" width="10.28515625" style="7"/>
    <col min="5" max="5" width="10.28515625" style="6"/>
    <col min="6" max="6" width="10.7109375" style="44" customWidth="1"/>
    <col min="7" max="7" width="14.28515625" style="35" customWidth="1"/>
    <col min="8" max="8" width="14.28515625" style="44" customWidth="1"/>
    <col min="9" max="9" width="18.5703125" style="35" customWidth="1"/>
    <col min="10" max="10" width="19.28515625" style="44" customWidth="1"/>
    <col min="11" max="11" width="11.140625" style="6" bestFit="1" customWidth="1"/>
    <col min="12" max="12" width="10.28515625" style="6"/>
    <col min="13" max="13" width="18.28515625" style="6" bestFit="1" customWidth="1"/>
    <col min="14" max="14" width="10.28515625" style="6"/>
    <col min="15" max="15" width="9" style="6" bestFit="1" customWidth="1"/>
    <col min="16" max="16" width="9.85546875" style="6" bestFit="1" customWidth="1"/>
    <col min="17" max="17" width="12.85546875" style="6" bestFit="1" customWidth="1"/>
    <col min="18" max="18" width="13.5703125" style="6" bestFit="1" customWidth="1"/>
    <col min="19" max="16384" width="10.28515625" style="6"/>
  </cols>
  <sheetData>
    <row r="1" spans="1:39" ht="17.850000000000001" hidden="1" customHeight="1" x14ac:dyDescent="0.3"/>
    <row r="2" spans="1:39" ht="17.850000000000001" customHeight="1" x14ac:dyDescent="0.3">
      <c r="L2" s="74"/>
      <c r="P2" s="81"/>
      <c r="AM2" s="74"/>
    </row>
    <row r="3" spans="1:39" ht="32.25" thickBot="1" x14ac:dyDescent="0.55000000000000004">
      <c r="F3" s="194" t="s">
        <v>8</v>
      </c>
      <c r="G3" s="194"/>
      <c r="H3" s="194"/>
      <c r="I3" s="194"/>
      <c r="J3" s="194"/>
      <c r="L3" s="74"/>
    </row>
    <row r="4" spans="1:39" ht="17.25" thickTop="1" thickBot="1" x14ac:dyDescent="0.35">
      <c r="B4" s="170" t="s">
        <v>1</v>
      </c>
      <c r="C4" s="170"/>
      <c r="D4" s="170"/>
      <c r="L4" s="74"/>
    </row>
    <row r="5" spans="1:39" ht="17.25" thickBot="1" x14ac:dyDescent="0.35">
      <c r="B5" s="170"/>
      <c r="C5" s="170"/>
      <c r="D5" s="170"/>
      <c r="F5" s="187" t="s">
        <v>55</v>
      </c>
      <c r="G5" s="188"/>
      <c r="H5" s="188"/>
      <c r="I5" s="188"/>
      <c r="J5" s="189"/>
      <c r="K5" s="83"/>
      <c r="L5" s="83"/>
      <c r="M5" s="2"/>
      <c r="N5" s="2"/>
      <c r="O5" s="2"/>
      <c r="P5" s="2"/>
      <c r="Q5" s="2"/>
      <c r="R5" s="2"/>
      <c r="S5" s="2"/>
      <c r="T5" s="5"/>
    </row>
    <row r="6" spans="1:39" ht="17.850000000000001" customHeight="1" x14ac:dyDescent="0.3">
      <c r="F6" s="56"/>
      <c r="G6" s="36" t="s">
        <v>56</v>
      </c>
      <c r="H6" s="45"/>
      <c r="I6" s="36" t="s">
        <v>7</v>
      </c>
      <c r="J6" s="22"/>
      <c r="K6" s="3"/>
      <c r="L6" s="82"/>
      <c r="M6" s="69"/>
      <c r="N6" s="69"/>
      <c r="O6" s="69"/>
      <c r="P6" s="69"/>
      <c r="Q6" s="3"/>
      <c r="R6" s="3"/>
      <c r="S6" s="3"/>
      <c r="T6" s="5"/>
    </row>
    <row r="7" spans="1:39" ht="17.850000000000001" customHeight="1" x14ac:dyDescent="0.3">
      <c r="B7" s="173" t="s">
        <v>0</v>
      </c>
      <c r="C7" s="173"/>
      <c r="D7" s="173"/>
      <c r="F7" s="54" t="s">
        <v>9</v>
      </c>
      <c r="G7" s="84">
        <v>783.5</v>
      </c>
      <c r="H7" s="10" t="s">
        <v>10</v>
      </c>
      <c r="I7" s="41">
        <f>G7*from_kg_to_lb</f>
        <v>1727.3218241802999</v>
      </c>
      <c r="J7" s="13" t="s">
        <v>11</v>
      </c>
      <c r="K7" s="2"/>
      <c r="L7" s="193" t="s">
        <v>57</v>
      </c>
      <c r="M7" s="193"/>
      <c r="N7" s="193"/>
      <c r="O7" s="193"/>
      <c r="P7" s="4"/>
      <c r="Q7" s="4"/>
      <c r="R7" s="4"/>
      <c r="S7" s="4"/>
    </row>
    <row r="8" spans="1:39" ht="17.850000000000001" customHeight="1" x14ac:dyDescent="0.3">
      <c r="F8" s="54"/>
      <c r="G8" s="37"/>
      <c r="H8" s="11"/>
      <c r="I8" s="37"/>
      <c r="J8" s="13"/>
      <c r="K8" s="2"/>
      <c r="L8" s="4"/>
      <c r="M8" s="4"/>
      <c r="N8" s="4"/>
      <c r="O8" s="4"/>
      <c r="P8" s="4"/>
      <c r="Q8" s="4"/>
      <c r="R8" s="4"/>
      <c r="S8" s="4"/>
    </row>
    <row r="9" spans="1:39" ht="17.850000000000001" customHeight="1" x14ac:dyDescent="0.3">
      <c r="C9" s="174" t="s">
        <v>2</v>
      </c>
      <c r="D9" s="174"/>
      <c r="F9" s="64" t="s">
        <v>58</v>
      </c>
      <c r="G9" s="84">
        <v>136.82</v>
      </c>
      <c r="H9" s="10" t="s">
        <v>14</v>
      </c>
      <c r="I9" s="41">
        <f>G9*from_kgm2_to_lbin2</f>
        <v>467537.45976845996</v>
      </c>
      <c r="J9" s="14" t="s">
        <v>15</v>
      </c>
      <c r="K9" s="2"/>
      <c r="L9" s="193" t="s">
        <v>137</v>
      </c>
      <c r="M9" s="193"/>
      <c r="N9" s="193"/>
      <c r="O9" s="193"/>
      <c r="P9" s="193"/>
      <c r="Q9" s="193"/>
      <c r="R9" s="193"/>
      <c r="S9" s="4"/>
    </row>
    <row r="10" spans="1:39" ht="17.850000000000001" customHeight="1" x14ac:dyDescent="0.3">
      <c r="C10" s="174"/>
      <c r="D10" s="174"/>
      <c r="F10" s="54"/>
      <c r="G10" s="37"/>
      <c r="H10" s="11"/>
      <c r="I10" s="37"/>
      <c r="J10" s="13"/>
      <c r="K10" s="2"/>
      <c r="L10" s="4"/>
      <c r="M10" s="4"/>
      <c r="N10" s="4"/>
      <c r="O10" s="4"/>
      <c r="P10" s="4"/>
      <c r="Q10" s="4"/>
      <c r="R10" s="4"/>
      <c r="S10" s="4"/>
    </row>
    <row r="11" spans="1:39" ht="17.850000000000001" customHeight="1" x14ac:dyDescent="0.3">
      <c r="F11" s="64" t="s">
        <v>59</v>
      </c>
      <c r="G11" s="84">
        <v>655.29999999999995</v>
      </c>
      <c r="H11" s="10" t="s">
        <v>14</v>
      </c>
      <c r="I11" s="41">
        <f>G11*from_kgm2_to_lbin2</f>
        <v>2239272.7480358998</v>
      </c>
      <c r="J11" s="14" t="s">
        <v>15</v>
      </c>
      <c r="K11" s="2"/>
      <c r="L11" s="193" t="s">
        <v>138</v>
      </c>
      <c r="M11" s="193"/>
      <c r="N11" s="193"/>
      <c r="O11" s="193"/>
      <c r="P11" s="193"/>
      <c r="Q11" s="193"/>
      <c r="R11" s="193"/>
      <c r="S11" s="4"/>
    </row>
    <row r="12" spans="1:39" ht="17.850000000000001" customHeight="1" x14ac:dyDescent="0.3">
      <c r="B12" s="173" t="s">
        <v>3</v>
      </c>
      <c r="C12" s="173"/>
      <c r="D12" s="173"/>
      <c r="F12" s="54"/>
      <c r="G12" s="37"/>
      <c r="H12" s="11"/>
      <c r="I12" s="37"/>
      <c r="J12" s="13"/>
      <c r="K12" s="2"/>
      <c r="L12" s="4"/>
      <c r="M12" s="4"/>
      <c r="N12" s="4"/>
      <c r="O12" s="4"/>
      <c r="P12" s="4"/>
      <c r="Q12" s="4"/>
      <c r="R12" s="4"/>
      <c r="S12" s="4"/>
    </row>
    <row r="13" spans="1:39" ht="17.850000000000001" customHeight="1" x14ac:dyDescent="0.3">
      <c r="F13" s="64" t="s">
        <v>60</v>
      </c>
      <c r="G13" s="84">
        <v>650.4</v>
      </c>
      <c r="H13" s="10" t="s">
        <v>14</v>
      </c>
      <c r="I13" s="41">
        <f>G13*from_kgm2_to_lbin2</f>
        <v>2222528.6057111998</v>
      </c>
      <c r="J13" s="14" t="s">
        <v>15</v>
      </c>
      <c r="K13" s="2"/>
      <c r="L13" s="193" t="s">
        <v>139</v>
      </c>
      <c r="M13" s="193"/>
      <c r="N13" s="193"/>
      <c r="O13" s="193"/>
      <c r="P13" s="193"/>
      <c r="Q13" s="193"/>
      <c r="R13" s="193"/>
      <c r="S13" s="4"/>
    </row>
    <row r="14" spans="1:39" ht="17.850000000000001" customHeight="1" x14ac:dyDescent="0.3">
      <c r="B14" s="173" t="s">
        <v>4</v>
      </c>
      <c r="C14" s="173"/>
      <c r="D14" s="173"/>
      <c r="F14" s="54"/>
      <c r="G14" s="37"/>
      <c r="H14" s="11"/>
      <c r="I14" s="37"/>
      <c r="J14" s="13"/>
      <c r="K14" s="2"/>
      <c r="L14" s="4"/>
      <c r="M14" s="4"/>
      <c r="N14" s="4"/>
      <c r="O14" s="4"/>
      <c r="P14" s="4"/>
      <c r="Q14" s="4"/>
      <c r="R14" s="4"/>
      <c r="S14" s="4"/>
    </row>
    <row r="15" spans="1:39" ht="17.850000000000001" customHeight="1" x14ac:dyDescent="0.3">
      <c r="B15" s="176" t="s">
        <v>251</v>
      </c>
      <c r="C15" s="176"/>
      <c r="D15" s="176"/>
      <c r="F15" s="54" t="s">
        <v>21</v>
      </c>
      <c r="G15" s="84">
        <v>1.4E-2</v>
      </c>
      <c r="H15" s="11" t="s">
        <v>22</v>
      </c>
      <c r="I15" s="41">
        <f>G15*from_m_to_in</f>
        <v>0.55118140000000004</v>
      </c>
      <c r="J15" s="13" t="s">
        <v>23</v>
      </c>
      <c r="K15" s="2"/>
      <c r="L15" s="193" t="s">
        <v>140</v>
      </c>
      <c r="M15" s="193"/>
      <c r="N15" s="193"/>
      <c r="O15" s="193"/>
      <c r="P15" s="193"/>
      <c r="Q15" s="193"/>
      <c r="R15" s="193"/>
      <c r="S15" s="193"/>
      <c r="T15" s="193"/>
      <c r="U15" s="193"/>
    </row>
    <row r="16" spans="1:39" ht="17.850000000000001" customHeight="1" x14ac:dyDescent="0.3">
      <c r="A16" s="8"/>
      <c r="B16" s="192" t="s">
        <v>28</v>
      </c>
      <c r="C16" s="192"/>
      <c r="D16" s="192"/>
      <c r="F16" s="54"/>
      <c r="G16" s="37"/>
      <c r="H16" s="11"/>
      <c r="I16" s="37"/>
      <c r="J16" s="13"/>
      <c r="K16" s="2"/>
      <c r="L16" s="4"/>
      <c r="M16" s="4"/>
      <c r="N16" s="4"/>
      <c r="O16" s="4"/>
      <c r="P16" s="4"/>
      <c r="Q16" s="4"/>
      <c r="R16" s="4"/>
      <c r="S16" s="4"/>
    </row>
    <row r="17" spans="1:21" ht="17.850000000000001" customHeight="1" x14ac:dyDescent="0.3">
      <c r="A17" s="8"/>
      <c r="B17" s="176" t="s">
        <v>29</v>
      </c>
      <c r="C17" s="176"/>
      <c r="D17" s="176"/>
      <c r="F17" s="54" t="s">
        <v>24</v>
      </c>
      <c r="G17" s="84">
        <v>0</v>
      </c>
      <c r="H17" s="11" t="s">
        <v>22</v>
      </c>
      <c r="I17" s="41">
        <f>G17*from_m_to_in</f>
        <v>0</v>
      </c>
      <c r="J17" s="13" t="s">
        <v>23</v>
      </c>
      <c r="K17" s="2"/>
      <c r="L17" s="193" t="s">
        <v>141</v>
      </c>
      <c r="M17" s="193"/>
      <c r="N17" s="193"/>
      <c r="O17" s="193"/>
      <c r="P17" s="193"/>
      <c r="Q17" s="193"/>
      <c r="R17" s="193"/>
      <c r="S17" s="193"/>
      <c r="T17" s="193"/>
      <c r="U17" s="193"/>
    </row>
    <row r="18" spans="1:21" ht="17.850000000000001" customHeight="1" x14ac:dyDescent="0.3">
      <c r="A18" s="8"/>
      <c r="B18" s="176" t="s">
        <v>30</v>
      </c>
      <c r="C18" s="176"/>
      <c r="D18" s="176"/>
      <c r="F18" s="54"/>
      <c r="G18" s="37"/>
      <c r="H18" s="11"/>
      <c r="I18" s="37"/>
      <c r="J18" s="13"/>
      <c r="K18" s="2"/>
      <c r="L18" s="4"/>
      <c r="M18" s="4"/>
      <c r="N18" s="4"/>
      <c r="O18" s="4"/>
      <c r="P18" s="4"/>
      <c r="Q18" s="4"/>
      <c r="R18" s="4"/>
      <c r="S18" s="4"/>
    </row>
    <row r="19" spans="1:21" ht="17.850000000000001" customHeight="1" x14ac:dyDescent="0.3">
      <c r="A19" s="132" t="s">
        <v>31</v>
      </c>
      <c r="B19" s="176" t="s">
        <v>31</v>
      </c>
      <c r="C19" s="176"/>
      <c r="D19" s="176"/>
      <c r="F19" s="54" t="s">
        <v>25</v>
      </c>
      <c r="G19" s="84">
        <v>0.124</v>
      </c>
      <c r="H19" s="11" t="s">
        <v>22</v>
      </c>
      <c r="I19" s="41">
        <f>G19*from_m_to_in</f>
        <v>4.8818923999999999</v>
      </c>
      <c r="J19" s="13" t="s">
        <v>23</v>
      </c>
      <c r="K19" s="2"/>
      <c r="L19" s="193" t="s">
        <v>142</v>
      </c>
      <c r="M19" s="193"/>
      <c r="N19" s="193"/>
      <c r="O19" s="193"/>
      <c r="P19" s="193"/>
      <c r="Q19" s="193"/>
      <c r="R19" s="193"/>
      <c r="S19" s="193"/>
      <c r="T19" s="193"/>
      <c r="U19" s="193"/>
    </row>
    <row r="20" spans="1:21" ht="17.850000000000001" customHeight="1" thickBot="1" x14ac:dyDescent="0.35">
      <c r="A20" s="8"/>
      <c r="B20" s="176" t="s">
        <v>32</v>
      </c>
      <c r="C20" s="176"/>
      <c r="D20" s="176"/>
      <c r="F20" s="65"/>
      <c r="G20" s="66"/>
      <c r="H20" s="25"/>
      <c r="I20" s="66"/>
      <c r="J20" s="23"/>
      <c r="K20" s="2"/>
      <c r="L20" s="2"/>
      <c r="M20" s="2"/>
      <c r="N20" s="2"/>
      <c r="O20" s="2"/>
      <c r="P20" s="2"/>
      <c r="Q20" s="2"/>
      <c r="R20" s="2"/>
      <c r="S20" s="2"/>
    </row>
    <row r="21" spans="1:21" ht="17.850000000000001" customHeight="1" x14ac:dyDescent="0.3">
      <c r="A21" s="8"/>
      <c r="B21" s="176" t="s">
        <v>33</v>
      </c>
      <c r="C21" s="176"/>
      <c r="D21" s="176"/>
      <c r="F21" s="12"/>
      <c r="G21" s="38"/>
      <c r="H21" s="12"/>
      <c r="I21" s="38"/>
      <c r="J21" s="12"/>
      <c r="K21"/>
      <c r="L21"/>
      <c r="M21"/>
      <c r="N21"/>
      <c r="O21"/>
      <c r="P21"/>
      <c r="Q21"/>
      <c r="R21"/>
      <c r="S21"/>
    </row>
    <row r="22" spans="1:21" ht="17.850000000000001" customHeight="1" x14ac:dyDescent="0.3">
      <c r="A22" s="8"/>
      <c r="B22" s="176" t="s">
        <v>34</v>
      </c>
      <c r="C22" s="176"/>
      <c r="D22" s="176"/>
      <c r="F22" s="12"/>
      <c r="G22" s="38"/>
      <c r="H22" s="12"/>
      <c r="I22" s="38"/>
      <c r="J22" s="12"/>
      <c r="K22"/>
      <c r="L22" t="s">
        <v>159</v>
      </c>
      <c r="M22"/>
      <c r="N22"/>
      <c r="O22"/>
      <c r="P22"/>
      <c r="Q22"/>
      <c r="R22"/>
      <c r="S22"/>
    </row>
    <row r="23" spans="1:21" ht="17.850000000000001" customHeight="1" x14ac:dyDescent="0.3">
      <c r="B23" s="176" t="s">
        <v>136</v>
      </c>
      <c r="C23" s="176"/>
      <c r="D23" s="176"/>
      <c r="F23" s="72"/>
      <c r="G23" s="38"/>
      <c r="H23" s="12"/>
      <c r="I23" s="38"/>
      <c r="J23" s="12"/>
      <c r="K23"/>
      <c r="L23"/>
      <c r="M23"/>
      <c r="N23"/>
      <c r="O23"/>
      <c r="P23"/>
      <c r="Q23"/>
      <c r="R23"/>
      <c r="S23"/>
    </row>
    <row r="24" spans="1:21" ht="17.850000000000001" customHeight="1" x14ac:dyDescent="0.3">
      <c r="B24" s="134"/>
      <c r="C24" s="134"/>
      <c r="D24" s="134"/>
      <c r="F24" s="72"/>
      <c r="G24" s="38"/>
      <c r="H24" s="12"/>
      <c r="I24" s="38"/>
      <c r="J24" s="12"/>
      <c r="K24"/>
      <c r="L24"/>
      <c r="M24"/>
      <c r="N24"/>
      <c r="O24"/>
      <c r="P24"/>
      <c r="Q24"/>
      <c r="R24"/>
      <c r="S24"/>
    </row>
    <row r="25" spans="1:21" ht="17.850000000000001" customHeight="1" x14ac:dyDescent="0.3">
      <c r="B25" s="172" t="s">
        <v>5</v>
      </c>
      <c r="C25" s="172"/>
      <c r="D25" s="172"/>
      <c r="F25" s="72"/>
      <c r="G25" s="38"/>
      <c r="H25" s="12"/>
      <c r="I25" s="38"/>
      <c r="J25" s="12"/>
      <c r="K25"/>
      <c r="L25"/>
      <c r="M25"/>
      <c r="N25"/>
      <c r="O25"/>
      <c r="P25"/>
      <c r="Q25"/>
      <c r="R25"/>
      <c r="S25"/>
    </row>
    <row r="26" spans="1:21" ht="17.850000000000001" customHeight="1" x14ac:dyDescent="0.3">
      <c r="F26" s="12"/>
      <c r="G26" s="38"/>
      <c r="H26" s="12"/>
      <c r="I26" s="38"/>
      <c r="J26" s="12"/>
      <c r="K26"/>
      <c r="L26"/>
      <c r="M26"/>
      <c r="N26"/>
      <c r="O26"/>
      <c r="P26"/>
      <c r="Q26"/>
      <c r="R26"/>
      <c r="S26"/>
    </row>
    <row r="27" spans="1:21" ht="17.850000000000001" customHeight="1" x14ac:dyDescent="0.3">
      <c r="F27" s="12"/>
      <c r="G27" s="38"/>
      <c r="K27"/>
      <c r="L27"/>
      <c r="M27"/>
      <c r="N27"/>
      <c r="O27"/>
      <c r="P27"/>
      <c r="Q27"/>
      <c r="R27"/>
      <c r="S27"/>
    </row>
    <row r="28" spans="1:21" ht="17.850000000000001" customHeight="1" x14ac:dyDescent="0.3">
      <c r="F28" s="12"/>
      <c r="G28" s="38"/>
      <c r="K28"/>
      <c r="L28"/>
      <c r="M28"/>
      <c r="N28"/>
      <c r="O28"/>
      <c r="P28"/>
      <c r="Q28" t="s">
        <v>159</v>
      </c>
      <c r="R28"/>
      <c r="S28"/>
    </row>
    <row r="29" spans="1:21" ht="17.850000000000001" customHeight="1" x14ac:dyDescent="0.3">
      <c r="F29" s="12"/>
      <c r="G29" s="38"/>
      <c r="H29" s="12"/>
      <c r="I29" s="38"/>
      <c r="J29" s="12"/>
      <c r="K29"/>
      <c r="L29"/>
      <c r="M29"/>
      <c r="N29"/>
      <c r="O29"/>
      <c r="P29"/>
      <c r="Q29"/>
      <c r="R29"/>
      <c r="S29"/>
    </row>
    <row r="30" spans="1:21" ht="17.850000000000001" customHeight="1" x14ac:dyDescent="0.3">
      <c r="F30" s="12"/>
      <c r="G30" s="38"/>
      <c r="H30" s="12"/>
      <c r="I30" s="38"/>
      <c r="J30" s="12"/>
      <c r="K30"/>
      <c r="L30"/>
      <c r="M30"/>
      <c r="N30"/>
      <c r="O30"/>
      <c r="P30"/>
      <c r="Q30"/>
      <c r="R30"/>
      <c r="S30"/>
    </row>
    <row r="31" spans="1:21" ht="17.850000000000001" customHeight="1" x14ac:dyDescent="0.3">
      <c r="F31" s="12"/>
      <c r="G31" s="38"/>
      <c r="H31" s="12"/>
      <c r="I31" s="38"/>
      <c r="J31" s="12"/>
      <c r="K31"/>
      <c r="L31"/>
      <c r="M31"/>
      <c r="N31"/>
      <c r="O31"/>
      <c r="P31"/>
      <c r="Q31"/>
      <c r="R31"/>
      <c r="S31"/>
      <c r="T31" s="5"/>
    </row>
    <row r="32" spans="1:21" ht="17.850000000000001" customHeight="1" x14ac:dyDescent="0.3">
      <c r="F32" s="12"/>
      <c r="G32" s="38"/>
      <c r="H32" s="12"/>
      <c r="I32" s="38"/>
      <c r="J32" s="12"/>
      <c r="K32"/>
      <c r="L32"/>
      <c r="M32"/>
      <c r="N32"/>
      <c r="O32"/>
      <c r="P32"/>
      <c r="Q32"/>
      <c r="R32"/>
      <c r="S32"/>
      <c r="T32" s="5"/>
    </row>
    <row r="42" spans="6:6" ht="17.850000000000001" customHeight="1" x14ac:dyDescent="0.3">
      <c r="F42" s="73"/>
    </row>
  </sheetData>
  <mergeCells count="24">
    <mergeCell ref="B21:D21"/>
    <mergeCell ref="B20:D20"/>
    <mergeCell ref="B23:D23"/>
    <mergeCell ref="F3:J3"/>
    <mergeCell ref="C9:D10"/>
    <mergeCell ref="B4:D5"/>
    <mergeCell ref="F5:J5"/>
    <mergeCell ref="B7:D7"/>
    <mergeCell ref="B25:D25"/>
    <mergeCell ref="L7:O7"/>
    <mergeCell ref="L9:R9"/>
    <mergeCell ref="B19:D19"/>
    <mergeCell ref="B12:D12"/>
    <mergeCell ref="B14:D14"/>
    <mergeCell ref="B16:D16"/>
    <mergeCell ref="L11:R11"/>
    <mergeCell ref="L13:R13"/>
    <mergeCell ref="L15:U15"/>
    <mergeCell ref="L17:U17"/>
    <mergeCell ref="L19:U19"/>
    <mergeCell ref="B18:D18"/>
    <mergeCell ref="B15:D15"/>
    <mergeCell ref="B17:D17"/>
    <mergeCell ref="B22:D22"/>
  </mergeCells>
  <hyperlinks>
    <hyperlink ref="B12:D12" location="RESULTS!A1" display="Results" xr:uid="{8E4603BC-9D22-4E99-9104-21A3719770B6}"/>
    <hyperlink ref="B7:D7" location="USAGE!A1" display="Usage" xr:uid="{20AD0913-AB16-49CE-BE1D-5109BBA68C26}"/>
    <hyperlink ref="B14:D14" location="DASHBOARD!A1" display="DASHBOARD" xr:uid="{A611CD1B-7134-49FF-AE38-E0CE291E653D}"/>
    <hyperlink ref="B16:D16" location="'BODY 1'!A1" display="Drive Chassis" xr:uid="{862AC6F0-A70C-4591-A5A9-9633B7B6D013}"/>
    <hyperlink ref="B17:D17" location="'BODY 2'!A1" display="Front Axle" xr:uid="{5C56F086-4817-46E5-B10A-3AC71FB20D10}"/>
    <hyperlink ref="B18:D18" location="'BODY 3'!A1" display="Rear Axle" xr:uid="{9D6CEA36-2323-4567-9347-3A3308DE482B}"/>
    <hyperlink ref="B19:D19" location="'BODY 4'!A1" display="Swing Chassis" xr:uid="{85DC60FA-A075-4F3D-8984-FBABCD1B0C38}"/>
    <hyperlink ref="B21:D21" location="WHEELS!A1" display="Wheels" xr:uid="{E0C2AC35-E17D-41A3-80E2-E1F1B2FC906B}"/>
    <hyperlink ref="B15:D15" location="GENERIC!A1" display="Generic Parameters" xr:uid="{4236CFE4-9971-4255-94F2-6BBBDCEC11FD}"/>
    <hyperlink ref="B20:D20" location="'BODY 5'!A1" display="Boom" xr:uid="{D47CD741-93B6-4B4F-B15D-E1ED6F323A7C}"/>
    <hyperlink ref="B22:D22" location="'OSCILLATE HC'!A1" display="Oscillate HC" xr:uid="{4139976C-F5C1-4043-A19E-0EA3BF7B91BE}"/>
    <hyperlink ref="B23:D23" location="'BASE MOTION'!A1" display="Input (Base Motion)" xr:uid="{C30D7D1E-7A3C-4F0D-9555-0E01FA3F23FB}"/>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95749-4EC0-422A-8E65-40821438A001}">
  <sheetPr codeName="BODY2"/>
  <dimension ref="A1:AM32"/>
  <sheetViews>
    <sheetView showGridLines="0" topLeftCell="B2" zoomScaleNormal="100" workbookViewId="0">
      <pane xSplit="3" topLeftCell="E1" activePane="topRight" state="frozen"/>
      <selection activeCell="B2" sqref="B2"/>
      <selection pane="topRight" activeCell="B18" sqref="B18:D18"/>
    </sheetView>
  </sheetViews>
  <sheetFormatPr defaultColWidth="10.28515625" defaultRowHeight="17.850000000000001" customHeight="1" x14ac:dyDescent="0.3"/>
  <cols>
    <col min="1" max="1" width="0" style="6" hidden="1" customWidth="1"/>
    <col min="2" max="4" width="10.28515625" style="7"/>
    <col min="5" max="5" width="10.28515625" style="6"/>
    <col min="6" max="6" width="10.7109375" style="44" customWidth="1"/>
    <col min="7" max="7" width="14.28515625" style="35" customWidth="1"/>
    <col min="8" max="8" width="14.28515625" style="44" customWidth="1"/>
    <col min="9" max="9" width="18.5703125" style="35" customWidth="1"/>
    <col min="10" max="10" width="19.28515625" style="44" customWidth="1"/>
    <col min="11" max="11" width="11.140625" style="6" bestFit="1" customWidth="1"/>
    <col min="12" max="12" width="10.28515625" style="6"/>
    <col min="13" max="13" width="18.28515625" style="6" bestFit="1" customWidth="1"/>
    <col min="14" max="14" width="10.28515625" style="6"/>
    <col min="15" max="15" width="9" style="6" bestFit="1" customWidth="1"/>
    <col min="16" max="16" width="9.85546875" style="6" bestFit="1" customWidth="1"/>
    <col min="17" max="17" width="12.85546875" style="6" bestFit="1" customWidth="1"/>
    <col min="18" max="18" width="13.5703125" style="6" bestFit="1" customWidth="1"/>
    <col min="19" max="16384" width="10.28515625" style="6"/>
  </cols>
  <sheetData>
    <row r="1" spans="1:39" ht="17.850000000000001" hidden="1" customHeight="1" x14ac:dyDescent="0.3"/>
    <row r="2" spans="1:39" ht="17.850000000000001" customHeight="1" x14ac:dyDescent="0.3">
      <c r="L2" s="74"/>
      <c r="AM2" s="74"/>
    </row>
    <row r="3" spans="1:39" ht="32.25" thickBot="1" x14ac:dyDescent="0.55000000000000004">
      <c r="F3" s="194" t="s">
        <v>26</v>
      </c>
      <c r="G3" s="194"/>
      <c r="H3" s="194"/>
      <c r="I3" s="194"/>
      <c r="J3" s="194"/>
      <c r="L3" s="74"/>
    </row>
    <row r="4" spans="1:39" ht="17.25" thickTop="1" thickBot="1" x14ac:dyDescent="0.35">
      <c r="B4" s="170" t="s">
        <v>1</v>
      </c>
      <c r="C4" s="170"/>
      <c r="D4" s="170"/>
      <c r="L4" s="74"/>
    </row>
    <row r="5" spans="1:39" ht="17.850000000000001" customHeight="1" thickBot="1" x14ac:dyDescent="0.35">
      <c r="B5" s="170"/>
      <c r="C5" s="170"/>
      <c r="D5" s="170"/>
      <c r="F5" s="187" t="s">
        <v>61</v>
      </c>
      <c r="G5" s="188"/>
      <c r="H5" s="188"/>
      <c r="I5" s="188"/>
      <c r="J5" s="189"/>
      <c r="K5" s="83"/>
      <c r="L5" s="83"/>
      <c r="M5" s="2"/>
      <c r="N5" s="2"/>
      <c r="O5" s="2"/>
      <c r="P5" s="2"/>
      <c r="Q5" s="2"/>
      <c r="R5" s="2"/>
      <c r="S5" s="2"/>
      <c r="T5" s="5"/>
    </row>
    <row r="6" spans="1:39" ht="17.850000000000001" customHeight="1" x14ac:dyDescent="0.3">
      <c r="F6" s="56"/>
      <c r="G6" s="36" t="s">
        <v>56</v>
      </c>
      <c r="H6" s="45"/>
      <c r="I6" s="36" t="s">
        <v>7</v>
      </c>
      <c r="J6" s="22"/>
      <c r="K6" s="82"/>
      <c r="L6" s="82"/>
      <c r="M6" s="69"/>
      <c r="N6" s="69"/>
      <c r="O6" s="69"/>
      <c r="P6" s="69"/>
      <c r="Q6" s="3"/>
      <c r="R6" s="3"/>
      <c r="S6" s="3"/>
      <c r="T6" s="5"/>
    </row>
    <row r="7" spans="1:39" ht="17.850000000000001" customHeight="1" x14ac:dyDescent="0.3">
      <c r="B7" s="173" t="s">
        <v>0</v>
      </c>
      <c r="C7" s="173"/>
      <c r="D7" s="173"/>
      <c r="F7" s="54" t="s">
        <v>9</v>
      </c>
      <c r="G7" s="84">
        <v>809.04</v>
      </c>
      <c r="H7" s="10" t="s">
        <v>10</v>
      </c>
      <c r="I7" s="41">
        <f>G7*from_kg_to_lb</f>
        <v>1783.627885941072</v>
      </c>
      <c r="J7" s="13" t="s">
        <v>11</v>
      </c>
      <c r="K7" s="2"/>
      <c r="L7" s="193" t="s">
        <v>62</v>
      </c>
      <c r="M7" s="193"/>
      <c r="N7" s="193"/>
      <c r="O7" s="193"/>
      <c r="P7" s="4"/>
      <c r="Q7" s="4"/>
      <c r="R7" s="4"/>
      <c r="S7" s="4"/>
    </row>
    <row r="8" spans="1:39" ht="17.850000000000001" customHeight="1" x14ac:dyDescent="0.3">
      <c r="F8" s="54"/>
      <c r="G8" s="37"/>
      <c r="H8" s="11"/>
      <c r="I8" s="37"/>
      <c r="J8" s="13"/>
      <c r="K8" s="2"/>
      <c r="L8" s="4"/>
      <c r="M8" s="4"/>
      <c r="N8" s="4"/>
      <c r="O8" s="4"/>
      <c r="P8" s="4"/>
      <c r="Q8" s="4"/>
      <c r="R8" s="4"/>
      <c r="S8" s="4"/>
    </row>
    <row r="9" spans="1:39" ht="17.850000000000001" customHeight="1" x14ac:dyDescent="0.3">
      <c r="C9" s="174" t="s">
        <v>2</v>
      </c>
      <c r="D9" s="174"/>
      <c r="F9" s="64" t="s">
        <v>58</v>
      </c>
      <c r="G9" s="84">
        <v>650.32000000000005</v>
      </c>
      <c r="H9" s="10" t="s">
        <v>14</v>
      </c>
      <c r="I9" s="41">
        <f>G9*from_kgm2_to_lbin2</f>
        <v>2222255.2319589602</v>
      </c>
      <c r="J9" s="14" t="s">
        <v>15</v>
      </c>
      <c r="K9" s="2"/>
      <c r="L9" s="193" t="s">
        <v>137</v>
      </c>
      <c r="M9" s="193"/>
      <c r="N9" s="193"/>
      <c r="O9" s="193"/>
      <c r="P9" s="193"/>
      <c r="Q9" s="193"/>
      <c r="R9" s="193"/>
      <c r="S9" s="4"/>
    </row>
    <row r="10" spans="1:39" ht="17.850000000000001" customHeight="1" x14ac:dyDescent="0.3">
      <c r="C10" s="174"/>
      <c r="D10" s="174"/>
      <c r="F10" s="54"/>
      <c r="G10" s="37"/>
      <c r="H10" s="11"/>
      <c r="I10" s="37"/>
      <c r="J10" s="13"/>
      <c r="K10" s="2"/>
      <c r="L10" s="1"/>
      <c r="M10" s="1"/>
      <c r="N10" s="1"/>
      <c r="O10" s="1"/>
      <c r="P10" s="1"/>
      <c r="Q10" s="1"/>
      <c r="R10" s="4"/>
      <c r="S10" s="4"/>
    </row>
    <row r="11" spans="1:39" ht="17.850000000000001" customHeight="1" x14ac:dyDescent="0.3">
      <c r="F11" s="64" t="s">
        <v>59</v>
      </c>
      <c r="G11" s="84">
        <v>55.35</v>
      </c>
      <c r="H11" s="10" t="s">
        <v>14</v>
      </c>
      <c r="I11" s="41">
        <f>G11*from_kgm2_to_lbin2</f>
        <v>189140.46483104999</v>
      </c>
      <c r="J11" s="14" t="s">
        <v>15</v>
      </c>
      <c r="K11" s="2"/>
      <c r="L11" s="193" t="s">
        <v>138</v>
      </c>
      <c r="M11" s="193"/>
      <c r="N11" s="193"/>
      <c r="O11" s="193"/>
      <c r="P11" s="193"/>
      <c r="Q11" s="193"/>
      <c r="R11" s="193"/>
      <c r="S11" s="4"/>
    </row>
    <row r="12" spans="1:39" ht="17.850000000000001" customHeight="1" x14ac:dyDescent="0.3">
      <c r="B12" s="173" t="s">
        <v>3</v>
      </c>
      <c r="C12" s="173"/>
      <c r="D12" s="173"/>
      <c r="F12" s="54"/>
      <c r="G12" s="37"/>
      <c r="H12" s="11"/>
      <c r="I12" s="37"/>
      <c r="J12" s="13"/>
      <c r="K12" s="2"/>
      <c r="L12" s="1"/>
      <c r="M12" s="1"/>
      <c r="N12" s="1"/>
      <c r="O12" s="1"/>
      <c r="P12" s="1"/>
      <c r="Q12" s="1"/>
      <c r="R12" s="4"/>
      <c r="S12" s="4"/>
    </row>
    <row r="13" spans="1:39" ht="17.850000000000001" customHeight="1" x14ac:dyDescent="0.3">
      <c r="F13" s="64" t="s">
        <v>60</v>
      </c>
      <c r="G13" s="84">
        <v>653.58000000000004</v>
      </c>
      <c r="H13" s="10" t="s">
        <v>14</v>
      </c>
      <c r="I13" s="41">
        <f>G13*from_kgm2_to_lbin2</f>
        <v>2233395.2123627402</v>
      </c>
      <c r="J13" s="14" t="s">
        <v>15</v>
      </c>
      <c r="K13" s="2"/>
      <c r="L13" s="193" t="s">
        <v>139</v>
      </c>
      <c r="M13" s="193"/>
      <c r="N13" s="193"/>
      <c r="O13" s="193"/>
      <c r="P13" s="193"/>
      <c r="Q13" s="193"/>
      <c r="R13" s="193"/>
      <c r="S13" s="4"/>
    </row>
    <row r="14" spans="1:39" ht="17.850000000000001" customHeight="1" x14ac:dyDescent="0.3">
      <c r="B14" s="173" t="s">
        <v>4</v>
      </c>
      <c r="C14" s="173"/>
      <c r="D14" s="173"/>
      <c r="F14" s="54"/>
      <c r="G14" s="37"/>
      <c r="H14" s="11"/>
      <c r="I14" s="37"/>
      <c r="J14" s="13"/>
      <c r="K14" s="2"/>
      <c r="L14" s="4"/>
      <c r="M14" s="4"/>
      <c r="N14" s="4"/>
      <c r="O14" s="4"/>
      <c r="P14" s="4"/>
      <c r="Q14" s="4"/>
      <c r="R14" s="4"/>
      <c r="S14" s="4"/>
    </row>
    <row r="15" spans="1:39" ht="17.850000000000001" customHeight="1" x14ac:dyDescent="0.3">
      <c r="A15" s="8"/>
      <c r="B15" s="176" t="s">
        <v>251</v>
      </c>
      <c r="C15" s="176"/>
      <c r="D15" s="176"/>
      <c r="F15" s="54" t="s">
        <v>21</v>
      </c>
      <c r="G15" s="84">
        <f>machine_wheelbase/2</f>
        <v>1.238</v>
      </c>
      <c r="H15" s="11" t="s">
        <v>22</v>
      </c>
      <c r="I15" s="41">
        <f>G15*from_m_to_in</f>
        <v>48.740183800000004</v>
      </c>
      <c r="J15" s="13" t="s">
        <v>23</v>
      </c>
      <c r="L15" s="193" t="s">
        <v>143</v>
      </c>
      <c r="M15" s="193"/>
      <c r="N15" s="193"/>
      <c r="O15" s="193"/>
      <c r="P15" s="193"/>
      <c r="Q15" s="193"/>
      <c r="R15" s="193"/>
      <c r="S15" s="193"/>
      <c r="T15" s="193"/>
      <c r="U15" s="193"/>
    </row>
    <row r="16" spans="1:39" ht="17.850000000000001" customHeight="1" x14ac:dyDescent="0.3">
      <c r="A16" s="8"/>
      <c r="B16" s="176" t="s">
        <v>28</v>
      </c>
      <c r="C16" s="176"/>
      <c r="D16" s="176"/>
      <c r="F16" s="54"/>
      <c r="G16" s="37"/>
      <c r="H16" s="11"/>
      <c r="I16" s="37"/>
      <c r="J16" s="13"/>
      <c r="K16" s="2"/>
      <c r="L16" s="4"/>
      <c r="M16" s="4"/>
      <c r="N16" s="4"/>
      <c r="O16" s="4"/>
      <c r="P16" s="4"/>
      <c r="Q16" s="4"/>
      <c r="R16" s="4"/>
      <c r="S16" s="4"/>
    </row>
    <row r="17" spans="1:21" ht="17.850000000000001" customHeight="1" x14ac:dyDescent="0.3">
      <c r="A17" s="8"/>
      <c r="B17" s="192" t="s">
        <v>29</v>
      </c>
      <c r="C17" s="192"/>
      <c r="D17" s="192"/>
      <c r="F17" s="54" t="s">
        <v>24</v>
      </c>
      <c r="G17" s="84">
        <v>0</v>
      </c>
      <c r="H17" s="11" t="s">
        <v>22</v>
      </c>
      <c r="I17" s="41">
        <f>G17*from_m_to_in</f>
        <v>0</v>
      </c>
      <c r="J17" s="13" t="s">
        <v>23</v>
      </c>
      <c r="K17" s="2"/>
      <c r="L17" s="193" t="s">
        <v>144</v>
      </c>
      <c r="M17" s="193"/>
      <c r="N17" s="193"/>
      <c r="O17" s="193"/>
      <c r="P17" s="193"/>
      <c r="Q17" s="193"/>
      <c r="R17" s="193"/>
      <c r="S17" s="193"/>
      <c r="T17" s="193"/>
      <c r="U17" s="193"/>
    </row>
    <row r="18" spans="1:21" ht="17.850000000000001" customHeight="1" x14ac:dyDescent="0.3">
      <c r="A18" s="137" t="s">
        <v>31</v>
      </c>
      <c r="B18" s="176" t="s">
        <v>30</v>
      </c>
      <c r="C18" s="176"/>
      <c r="D18" s="176"/>
      <c r="F18" s="54"/>
      <c r="G18" s="37"/>
      <c r="H18" s="11"/>
      <c r="I18" s="37"/>
      <c r="J18" s="13"/>
      <c r="K18" s="2"/>
      <c r="L18" s="4"/>
      <c r="M18" s="4"/>
      <c r="N18" s="4"/>
      <c r="O18" s="4"/>
      <c r="P18" s="4"/>
      <c r="Q18" s="4"/>
      <c r="R18" s="4"/>
      <c r="S18" s="4"/>
    </row>
    <row r="19" spans="1:21" ht="17.850000000000001" customHeight="1" x14ac:dyDescent="0.3">
      <c r="A19" s="8"/>
      <c r="B19" s="176" t="s">
        <v>31</v>
      </c>
      <c r="C19" s="176"/>
      <c r="D19" s="176"/>
      <c r="F19" s="54" t="s">
        <v>25</v>
      </c>
      <c r="G19" s="84">
        <v>-0.16200000000000001</v>
      </c>
      <c r="H19" s="11" t="s">
        <v>22</v>
      </c>
      <c r="I19" s="41">
        <f>G19*from_m_to_in</f>
        <v>-6.3779562000000007</v>
      </c>
      <c r="J19" s="13" t="s">
        <v>23</v>
      </c>
      <c r="K19" s="2"/>
      <c r="L19" s="193" t="s">
        <v>145</v>
      </c>
      <c r="M19" s="193"/>
      <c r="N19" s="193"/>
      <c r="O19" s="193"/>
      <c r="P19" s="193"/>
      <c r="Q19" s="193"/>
      <c r="R19" s="193"/>
      <c r="S19" s="193"/>
      <c r="T19" s="193"/>
      <c r="U19" s="193"/>
    </row>
    <row r="20" spans="1:21" ht="17.850000000000001" customHeight="1" thickBot="1" x14ac:dyDescent="0.35">
      <c r="A20" s="8"/>
      <c r="B20" s="176" t="s">
        <v>32</v>
      </c>
      <c r="C20" s="176"/>
      <c r="D20" s="176"/>
      <c r="F20" s="65"/>
      <c r="G20" s="66"/>
      <c r="H20" s="25"/>
      <c r="I20" s="66"/>
      <c r="J20" s="23"/>
      <c r="K20" s="2"/>
      <c r="L20" s="2"/>
      <c r="M20" s="2"/>
      <c r="N20" s="2"/>
      <c r="O20" s="2"/>
      <c r="P20" s="2"/>
      <c r="Q20" s="2"/>
      <c r="R20" s="2"/>
      <c r="S20" s="2"/>
    </row>
    <row r="21" spans="1:21" ht="17.850000000000001" customHeight="1" x14ac:dyDescent="0.3">
      <c r="A21" s="8"/>
      <c r="B21" s="176" t="s">
        <v>33</v>
      </c>
      <c r="C21" s="176"/>
      <c r="D21" s="176"/>
      <c r="F21" s="72"/>
      <c r="G21" s="38"/>
      <c r="H21" s="12"/>
      <c r="I21" s="38"/>
      <c r="J21" s="12"/>
      <c r="K21"/>
      <c r="L21"/>
      <c r="M21"/>
      <c r="N21"/>
      <c r="O21"/>
      <c r="P21"/>
      <c r="Q21"/>
      <c r="R21"/>
      <c r="S21"/>
    </row>
    <row r="22" spans="1:21" ht="17.850000000000001" customHeight="1" x14ac:dyDescent="0.3">
      <c r="B22" s="176" t="s">
        <v>34</v>
      </c>
      <c r="C22" s="176"/>
      <c r="D22" s="176"/>
      <c r="F22" s="72"/>
      <c r="G22" s="38"/>
      <c r="H22" s="12"/>
      <c r="I22" s="38"/>
      <c r="J22" s="12"/>
      <c r="K22"/>
      <c r="L22"/>
      <c r="M22"/>
      <c r="N22"/>
      <c r="O22"/>
      <c r="P22"/>
      <c r="Q22"/>
      <c r="R22"/>
      <c r="S22"/>
    </row>
    <row r="23" spans="1:21" ht="17.850000000000001" customHeight="1" x14ac:dyDescent="0.3">
      <c r="B23" s="176" t="s">
        <v>136</v>
      </c>
      <c r="C23" s="176"/>
      <c r="D23" s="176"/>
      <c r="F23" s="72"/>
      <c r="G23" s="38"/>
      <c r="H23" s="12"/>
      <c r="I23" s="38"/>
      <c r="J23" s="12"/>
      <c r="K23"/>
      <c r="L23"/>
      <c r="M23"/>
      <c r="N23"/>
      <c r="O23"/>
      <c r="P23"/>
      <c r="Q23"/>
      <c r="R23"/>
      <c r="S23"/>
    </row>
    <row r="24" spans="1:21" ht="17.850000000000001" customHeight="1" x14ac:dyDescent="0.3">
      <c r="B24" s="134"/>
      <c r="C24" s="134"/>
      <c r="D24" s="134"/>
      <c r="F24" s="72"/>
      <c r="G24" s="38"/>
      <c r="H24" s="12"/>
      <c r="I24" s="38"/>
      <c r="J24" s="12"/>
      <c r="K24"/>
      <c r="L24"/>
      <c r="M24"/>
      <c r="N24"/>
      <c r="O24"/>
      <c r="P24"/>
      <c r="Q24"/>
      <c r="R24"/>
      <c r="S24"/>
    </row>
    <row r="25" spans="1:21" ht="17.850000000000001" customHeight="1" x14ac:dyDescent="0.3">
      <c r="B25" s="172" t="s">
        <v>5</v>
      </c>
      <c r="C25" s="172"/>
      <c r="D25" s="172"/>
      <c r="F25" s="12"/>
      <c r="G25" s="38"/>
      <c r="H25" s="12"/>
      <c r="I25" s="38"/>
      <c r="J25" s="12"/>
      <c r="K25"/>
      <c r="L25"/>
      <c r="M25"/>
      <c r="N25"/>
      <c r="O25"/>
      <c r="P25"/>
      <c r="Q25"/>
      <c r="R25"/>
      <c r="S25"/>
    </row>
    <row r="26" spans="1:21" ht="17.850000000000001" customHeight="1" x14ac:dyDescent="0.3">
      <c r="F26" s="12"/>
      <c r="G26" s="38"/>
      <c r="H26" s="12"/>
      <c r="I26" s="38"/>
      <c r="J26" s="12"/>
      <c r="K26"/>
      <c r="L26"/>
      <c r="M26"/>
      <c r="N26"/>
      <c r="O26"/>
      <c r="P26"/>
      <c r="Q26"/>
      <c r="R26"/>
      <c r="S26"/>
    </row>
    <row r="27" spans="1:21" ht="17.850000000000001" customHeight="1" x14ac:dyDescent="0.3">
      <c r="F27" s="12"/>
      <c r="G27" s="38"/>
      <c r="H27" s="12"/>
      <c r="I27" s="38"/>
      <c r="J27" s="12"/>
      <c r="K27"/>
      <c r="L27"/>
      <c r="M27"/>
      <c r="N27"/>
      <c r="O27"/>
      <c r="P27"/>
      <c r="Q27"/>
      <c r="R27"/>
      <c r="S27"/>
    </row>
    <row r="28" spans="1:21" ht="17.850000000000001" customHeight="1" x14ac:dyDescent="0.3">
      <c r="F28" s="12"/>
      <c r="G28" s="38"/>
      <c r="H28" s="12"/>
      <c r="I28" s="38"/>
      <c r="J28" s="12"/>
      <c r="K28"/>
      <c r="L28"/>
      <c r="M28"/>
      <c r="N28"/>
      <c r="O28"/>
      <c r="P28"/>
      <c r="Q28"/>
      <c r="R28"/>
      <c r="S28"/>
    </row>
    <row r="29" spans="1:21" ht="17.850000000000001" customHeight="1" x14ac:dyDescent="0.3">
      <c r="F29" s="12"/>
      <c r="G29" s="38"/>
      <c r="H29" s="12"/>
      <c r="I29" s="38"/>
      <c r="J29" s="12"/>
      <c r="K29"/>
      <c r="L29"/>
      <c r="M29"/>
      <c r="N29"/>
      <c r="O29"/>
      <c r="P29"/>
      <c r="Q29"/>
      <c r="R29"/>
      <c r="S29"/>
    </row>
    <row r="30" spans="1:21" ht="17.850000000000001" customHeight="1" x14ac:dyDescent="0.3">
      <c r="F30" s="12"/>
      <c r="G30" s="38"/>
      <c r="H30" s="12"/>
      <c r="I30" s="38"/>
      <c r="J30" s="12"/>
      <c r="K30"/>
      <c r="L30"/>
      <c r="M30"/>
      <c r="N30"/>
      <c r="O30"/>
      <c r="P30"/>
      <c r="Q30"/>
      <c r="R30"/>
      <c r="S30"/>
    </row>
    <row r="31" spans="1:21" ht="17.850000000000001" customHeight="1" x14ac:dyDescent="0.3">
      <c r="F31" s="12"/>
      <c r="G31" s="38"/>
      <c r="H31" s="12"/>
      <c r="I31" s="38"/>
      <c r="J31" s="12"/>
      <c r="K31"/>
      <c r="L31"/>
      <c r="M31"/>
      <c r="N31"/>
      <c r="O31"/>
      <c r="P31"/>
      <c r="Q31"/>
      <c r="R31"/>
      <c r="S31"/>
      <c r="T31" s="5"/>
    </row>
    <row r="32" spans="1:21" ht="17.850000000000001" customHeight="1" x14ac:dyDescent="0.3">
      <c r="F32" s="12"/>
      <c r="G32" s="38"/>
      <c r="H32" s="12"/>
      <c r="I32" s="38"/>
      <c r="J32" s="12"/>
      <c r="K32"/>
      <c r="L32"/>
      <c r="M32"/>
      <c r="N32"/>
      <c r="O32"/>
      <c r="P32"/>
      <c r="Q32"/>
      <c r="R32"/>
      <c r="S32"/>
      <c r="T32" s="5"/>
    </row>
  </sheetData>
  <mergeCells count="24">
    <mergeCell ref="B19:D19"/>
    <mergeCell ref="B18:D18"/>
    <mergeCell ref="B23:D23"/>
    <mergeCell ref="F3:J3"/>
    <mergeCell ref="C9:D10"/>
    <mergeCell ref="B4:D5"/>
    <mergeCell ref="F5:J5"/>
    <mergeCell ref="B7:D7"/>
    <mergeCell ref="B25:D25"/>
    <mergeCell ref="B20:D20"/>
    <mergeCell ref="L7:O7"/>
    <mergeCell ref="B12:D12"/>
    <mergeCell ref="B14:D14"/>
    <mergeCell ref="B15:D15"/>
    <mergeCell ref="B21:D21"/>
    <mergeCell ref="B16:D16"/>
    <mergeCell ref="B17:D17"/>
    <mergeCell ref="L9:R9"/>
    <mergeCell ref="L15:U15"/>
    <mergeCell ref="L11:R11"/>
    <mergeCell ref="L13:R13"/>
    <mergeCell ref="L17:U17"/>
    <mergeCell ref="L19:U19"/>
    <mergeCell ref="B22:D22"/>
  </mergeCells>
  <hyperlinks>
    <hyperlink ref="B12:D12" location="RESULTS!A1" display="Results" xr:uid="{3A0A979C-FD3E-4066-89E5-6E221DFD2583}"/>
    <hyperlink ref="B7:D7" location="USAGE!A1" display="Usage" xr:uid="{386F3E01-549E-4FA7-ABBE-6AF1A59FA339}"/>
    <hyperlink ref="B14:D14" location="DASHBOARD!A1" display="DASHBOARD" xr:uid="{667D8A67-B4E3-4C71-8DF3-0B56A6FCCB84}"/>
    <hyperlink ref="A18:D18" location="'BODY 4'!A1" display="Swing Chassis" xr:uid="{6FA7ACF1-4A69-4E52-984E-F0BD75E79BEE}"/>
    <hyperlink ref="B16:D16" location="'BODY 1'!A1" display="Drive Chassis" xr:uid="{5EFDA948-F6CA-46A9-855D-B4743665271F}"/>
    <hyperlink ref="B17:D17" location="'BODY 2'!A1" display="Front Axle" xr:uid="{C5A2A4EB-9AA7-4D4B-90B0-874775B5F743}"/>
    <hyperlink ref="B18:D18" location="'BODY 3'!A1" display="Rear Axle" xr:uid="{07B3CF07-E9BE-4F52-924E-B67A4DA68E6A}"/>
    <hyperlink ref="B19:D19" location="'BODY 4'!A1" display="Swing Chassis" xr:uid="{F4404E4A-F6D7-420C-A20D-8A3FDFE579D4}"/>
    <hyperlink ref="B21:D21" location="WHEELS!A1" display="Wheels" xr:uid="{CF7B269B-3BCF-4E39-9C38-1003408E0760}"/>
    <hyperlink ref="B15:D15" location="GENERIC!A1" display="Generic Parameters" xr:uid="{E4408561-E0E8-43E6-A20E-5937AC254415}"/>
    <hyperlink ref="B20:D20" location="'BODY 5'!A1" display="Boom" xr:uid="{47D3E592-3BE6-4D62-862A-F1896A340535}"/>
    <hyperlink ref="B22:D22" location="'OSCILLATE HC'!A1" display="Oscillate HC" xr:uid="{FC03654F-BC29-4CA4-A395-7BA10EA702CF}"/>
    <hyperlink ref="B23:D23" location="'BASE MOTION'!A1" display="Input (Base Motion)" xr:uid="{CE8D5E5E-0153-46F3-94D5-2074681B35EA}"/>
  </hyperlinks>
  <pageMargins left="0.7" right="0.7" top="0.75" bottom="0.75" header="0.3" footer="0.3"/>
  <ignoredErrors>
    <ignoredError sqref="G15" unlockedFormula="1"/>
  </ignoredError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93F2F-FF17-47E6-976F-F44DD90F8301}">
  <sheetPr codeName="BODY3"/>
  <dimension ref="A1:AM32"/>
  <sheetViews>
    <sheetView showGridLines="0" topLeftCell="B2" zoomScaleNormal="100" workbookViewId="0">
      <pane xSplit="3" topLeftCell="E1" activePane="topRight" state="frozen"/>
      <selection activeCell="B2" sqref="B2"/>
      <selection pane="topRight" activeCell="B19" sqref="B19:D19"/>
    </sheetView>
  </sheetViews>
  <sheetFormatPr defaultColWidth="10.28515625" defaultRowHeight="17.850000000000001" customHeight="1" x14ac:dyDescent="0.3"/>
  <cols>
    <col min="1" max="1" width="0" style="6" hidden="1" customWidth="1"/>
    <col min="2" max="4" width="10.28515625" style="7"/>
    <col min="5" max="5" width="10.28515625" style="6"/>
    <col min="6" max="6" width="10.7109375" style="44" customWidth="1"/>
    <col min="7" max="7" width="14.28515625" style="35" customWidth="1"/>
    <col min="8" max="8" width="14.28515625" style="44" customWidth="1"/>
    <col min="9" max="9" width="18.5703125" style="35" customWidth="1"/>
    <col min="10" max="10" width="19.28515625" style="44" customWidth="1"/>
    <col min="11" max="11" width="11.140625" style="6" bestFit="1" customWidth="1"/>
    <col min="12" max="12" width="10.28515625" style="6"/>
    <col min="13" max="13" width="18.28515625" style="6" bestFit="1" customWidth="1"/>
    <col min="14" max="14" width="10.28515625" style="6"/>
    <col min="15" max="15" width="9" style="6" bestFit="1" customWidth="1"/>
    <col min="16" max="16" width="9.85546875" style="6" bestFit="1" customWidth="1"/>
    <col min="17" max="17" width="12.85546875" style="6" bestFit="1" customWidth="1"/>
    <col min="18" max="18" width="13.5703125" style="6" bestFit="1" customWidth="1"/>
    <col min="19" max="16384" width="10.28515625" style="6"/>
  </cols>
  <sheetData>
    <row r="1" spans="1:39" ht="17.850000000000001" hidden="1" customHeight="1" x14ac:dyDescent="0.3"/>
    <row r="2" spans="1:39" ht="17.850000000000001" customHeight="1" x14ac:dyDescent="0.3">
      <c r="L2" s="74"/>
      <c r="AM2" s="74"/>
    </row>
    <row r="3" spans="1:39" ht="32.25" thickBot="1" x14ac:dyDescent="0.55000000000000004">
      <c r="F3" s="194" t="s">
        <v>35</v>
      </c>
      <c r="G3" s="194"/>
      <c r="H3" s="194"/>
      <c r="I3" s="194"/>
      <c r="J3" s="194"/>
      <c r="L3" s="74"/>
    </row>
    <row r="4" spans="1:39" ht="17.25" thickTop="1" thickBot="1" x14ac:dyDescent="0.35">
      <c r="B4" s="170" t="s">
        <v>1</v>
      </c>
      <c r="C4" s="170"/>
      <c r="D4" s="170"/>
      <c r="L4" s="74"/>
    </row>
    <row r="5" spans="1:39" ht="17.850000000000001" customHeight="1" thickBot="1" x14ac:dyDescent="0.35">
      <c r="B5" s="170"/>
      <c r="C5" s="170"/>
      <c r="D5" s="170"/>
      <c r="F5" s="187" t="s">
        <v>63</v>
      </c>
      <c r="G5" s="188"/>
      <c r="H5" s="188"/>
      <c r="I5" s="188"/>
      <c r="J5" s="189"/>
      <c r="K5" s="83"/>
      <c r="L5" s="83"/>
      <c r="M5" s="2"/>
      <c r="N5" s="2"/>
      <c r="O5" s="2"/>
      <c r="P5" s="2"/>
      <c r="Q5" s="2"/>
      <c r="R5" s="2"/>
      <c r="S5" s="2"/>
      <c r="T5" s="5"/>
    </row>
    <row r="6" spans="1:39" ht="17.850000000000001" customHeight="1" x14ac:dyDescent="0.3">
      <c r="F6" s="56"/>
      <c r="G6" s="36" t="s">
        <v>56</v>
      </c>
      <c r="H6" s="45"/>
      <c r="I6" s="36" t="s">
        <v>7</v>
      </c>
      <c r="J6" s="22"/>
      <c r="K6" s="3"/>
      <c r="L6" s="82"/>
      <c r="M6" s="3"/>
      <c r="N6" s="3"/>
      <c r="O6" s="3"/>
      <c r="P6" s="3"/>
      <c r="Q6" s="3"/>
      <c r="R6" s="3"/>
      <c r="S6" s="3"/>
      <c r="T6" s="5"/>
    </row>
    <row r="7" spans="1:39" ht="17.850000000000001" customHeight="1" x14ac:dyDescent="0.3">
      <c r="B7" s="173" t="s">
        <v>0</v>
      </c>
      <c r="C7" s="173"/>
      <c r="D7" s="173"/>
      <c r="F7" s="54" t="s">
        <v>9</v>
      </c>
      <c r="G7" s="84">
        <v>726.91</v>
      </c>
      <c r="H7" s="10" t="s">
        <v>10</v>
      </c>
      <c r="I7" s="41">
        <f>G7*from_kg_to_lb</f>
        <v>1602.5622300126379</v>
      </c>
      <c r="J7" s="13" t="s">
        <v>11</v>
      </c>
      <c r="K7" s="2"/>
      <c r="L7" s="193" t="s">
        <v>64</v>
      </c>
      <c r="M7" s="193"/>
      <c r="N7" s="193"/>
      <c r="O7" s="193"/>
      <c r="P7" s="2"/>
      <c r="Q7" s="2"/>
      <c r="R7" s="2"/>
      <c r="S7" s="2"/>
    </row>
    <row r="8" spans="1:39" ht="17.850000000000001" customHeight="1" x14ac:dyDescent="0.3">
      <c r="F8" s="54"/>
      <c r="G8" s="37"/>
      <c r="H8" s="11"/>
      <c r="I8" s="37"/>
      <c r="J8" s="13"/>
      <c r="K8" s="2"/>
      <c r="L8" s="2"/>
      <c r="M8" s="2"/>
      <c r="N8" s="2"/>
      <c r="O8" s="2"/>
      <c r="P8" s="2"/>
      <c r="Q8" s="2"/>
      <c r="R8" s="2"/>
      <c r="S8" s="2"/>
    </row>
    <row r="9" spans="1:39" ht="17.850000000000001" customHeight="1" x14ac:dyDescent="0.3">
      <c r="C9" s="174" t="s">
        <v>2</v>
      </c>
      <c r="D9" s="174"/>
      <c r="F9" s="64" t="s">
        <v>58</v>
      </c>
      <c r="G9" s="84">
        <v>617.80999999999995</v>
      </c>
      <c r="H9" s="10" t="s">
        <v>14</v>
      </c>
      <c r="I9" s="41">
        <f>G9*from_kgm2_to_lbin2</f>
        <v>2111162.9733924298</v>
      </c>
      <c r="J9" s="14" t="s">
        <v>15</v>
      </c>
      <c r="K9" s="2"/>
      <c r="L9" s="193" t="s">
        <v>137</v>
      </c>
      <c r="M9" s="193"/>
      <c r="N9" s="193"/>
      <c r="O9" s="193"/>
      <c r="P9" s="193"/>
      <c r="Q9" s="193"/>
      <c r="R9" s="193"/>
      <c r="S9" s="2"/>
    </row>
    <row r="10" spans="1:39" ht="17.850000000000001" customHeight="1" x14ac:dyDescent="0.3">
      <c r="C10" s="174"/>
      <c r="D10" s="174"/>
      <c r="F10" s="54"/>
      <c r="G10" s="37"/>
      <c r="H10" s="11"/>
      <c r="I10" s="37"/>
      <c r="J10" s="13"/>
      <c r="K10" s="2"/>
      <c r="L10" s="1"/>
      <c r="M10" s="1"/>
      <c r="N10" s="1"/>
      <c r="O10" s="1"/>
      <c r="P10" s="1"/>
      <c r="Q10" s="1"/>
      <c r="R10" s="2"/>
      <c r="S10" s="2"/>
    </row>
    <row r="11" spans="1:39" ht="17.850000000000001" customHeight="1" x14ac:dyDescent="0.3">
      <c r="F11" s="64" t="s">
        <v>59</v>
      </c>
      <c r="G11" s="84">
        <v>55.39</v>
      </c>
      <c r="H11" s="10" t="s">
        <v>14</v>
      </c>
      <c r="I11" s="41">
        <f>G11*from_kgm2_to_lbin2</f>
        <v>189277.15170717001</v>
      </c>
      <c r="J11" s="14" t="s">
        <v>15</v>
      </c>
      <c r="K11" s="2"/>
      <c r="L11" s="193" t="s">
        <v>138</v>
      </c>
      <c r="M11" s="193"/>
      <c r="N11" s="193"/>
      <c r="O11" s="193"/>
      <c r="P11" s="193"/>
      <c r="Q11" s="193"/>
      <c r="R11" s="193"/>
      <c r="S11" s="2"/>
    </row>
    <row r="12" spans="1:39" ht="17.850000000000001" customHeight="1" x14ac:dyDescent="0.3">
      <c r="B12" s="173" t="s">
        <v>3</v>
      </c>
      <c r="C12" s="173"/>
      <c r="D12" s="173"/>
      <c r="F12" s="54"/>
      <c r="G12" s="37"/>
      <c r="H12" s="11"/>
      <c r="I12" s="37"/>
      <c r="J12" s="13"/>
      <c r="K12" s="2"/>
      <c r="L12" s="2"/>
      <c r="M12" s="2"/>
      <c r="N12" s="2"/>
      <c r="O12" s="2"/>
      <c r="P12" s="2"/>
      <c r="Q12" s="2"/>
      <c r="R12" s="2"/>
      <c r="S12" s="2"/>
    </row>
    <row r="13" spans="1:39" ht="17.850000000000001" customHeight="1" x14ac:dyDescent="0.3">
      <c r="F13" s="64" t="s">
        <v>60</v>
      </c>
      <c r="G13" s="84">
        <v>619.66</v>
      </c>
      <c r="H13" s="10" t="s">
        <v>14</v>
      </c>
      <c r="I13" s="41">
        <f>G13*from_kgm2_to_lbin2</f>
        <v>2117484.74141298</v>
      </c>
      <c r="J13" s="14" t="s">
        <v>15</v>
      </c>
      <c r="K13" s="2"/>
      <c r="L13" s="193" t="s">
        <v>139</v>
      </c>
      <c r="M13" s="193"/>
      <c r="N13" s="193"/>
      <c r="O13" s="193"/>
      <c r="P13" s="193"/>
      <c r="Q13" s="193"/>
      <c r="R13" s="193"/>
      <c r="S13" s="2"/>
    </row>
    <row r="14" spans="1:39" ht="17.850000000000001" customHeight="1" x14ac:dyDescent="0.3">
      <c r="B14" s="173" t="s">
        <v>4</v>
      </c>
      <c r="C14" s="173"/>
      <c r="D14" s="173"/>
      <c r="F14" s="54"/>
      <c r="G14" s="37"/>
      <c r="H14" s="11"/>
      <c r="I14" s="37"/>
      <c r="J14" s="13"/>
      <c r="K14" s="2"/>
      <c r="L14" s="2"/>
      <c r="M14" s="2"/>
      <c r="N14" s="2"/>
      <c r="O14" s="2"/>
      <c r="P14" s="2"/>
      <c r="Q14" s="2"/>
      <c r="R14" s="2"/>
      <c r="S14" s="2"/>
    </row>
    <row r="15" spans="1:39" ht="17.850000000000001" customHeight="1" x14ac:dyDescent="0.3">
      <c r="A15" s="8"/>
      <c r="B15" s="176" t="s">
        <v>251</v>
      </c>
      <c r="C15" s="176"/>
      <c r="D15" s="176"/>
      <c r="F15" s="54" t="s">
        <v>21</v>
      </c>
      <c r="G15" s="84">
        <f>-machine_wheelbase/2</f>
        <v>-1.238</v>
      </c>
      <c r="H15" s="11" t="s">
        <v>22</v>
      </c>
      <c r="I15" s="41">
        <f>G15*from_m_to_in</f>
        <v>-48.740183800000004</v>
      </c>
      <c r="J15" s="13" t="s">
        <v>23</v>
      </c>
      <c r="K15" s="2"/>
      <c r="L15" s="193" t="s">
        <v>146</v>
      </c>
      <c r="M15" s="193"/>
      <c r="N15" s="193"/>
      <c r="O15" s="193"/>
      <c r="P15" s="193"/>
      <c r="Q15" s="193"/>
      <c r="R15" s="193"/>
      <c r="S15" s="193"/>
      <c r="T15" s="193"/>
      <c r="U15" s="193"/>
    </row>
    <row r="16" spans="1:39" ht="17.850000000000001" customHeight="1" x14ac:dyDescent="0.3">
      <c r="A16" s="8"/>
      <c r="B16" s="176" t="s">
        <v>28</v>
      </c>
      <c r="C16" s="176"/>
      <c r="D16" s="176"/>
      <c r="F16" s="54"/>
      <c r="G16" s="37"/>
      <c r="H16" s="11"/>
      <c r="I16" s="37"/>
      <c r="J16" s="13"/>
      <c r="K16" s="2"/>
      <c r="L16" s="2"/>
      <c r="M16" s="2"/>
      <c r="N16" s="2"/>
      <c r="O16" s="2"/>
      <c r="P16" s="2"/>
      <c r="Q16" s="2"/>
      <c r="R16" s="2"/>
      <c r="S16" s="2"/>
    </row>
    <row r="17" spans="1:21" ht="17.850000000000001" customHeight="1" x14ac:dyDescent="0.3">
      <c r="A17" s="8"/>
      <c r="B17" s="176" t="s">
        <v>29</v>
      </c>
      <c r="C17" s="176"/>
      <c r="D17" s="176"/>
      <c r="F17" s="54" t="s">
        <v>24</v>
      </c>
      <c r="G17" s="84">
        <v>0</v>
      </c>
      <c r="H17" s="11" t="s">
        <v>22</v>
      </c>
      <c r="I17" s="41">
        <f>G17*from_m_to_in</f>
        <v>0</v>
      </c>
      <c r="J17" s="13" t="s">
        <v>23</v>
      </c>
      <c r="K17" s="2"/>
      <c r="L17" s="193" t="s">
        <v>147</v>
      </c>
      <c r="M17" s="193"/>
      <c r="N17" s="193"/>
      <c r="O17" s="193"/>
      <c r="P17" s="193"/>
      <c r="Q17" s="193"/>
      <c r="R17" s="193"/>
      <c r="S17" s="193"/>
      <c r="T17" s="193"/>
      <c r="U17" s="193"/>
    </row>
    <row r="18" spans="1:21" ht="17.850000000000001" customHeight="1" x14ac:dyDescent="0.3">
      <c r="A18" s="137" t="s">
        <v>31</v>
      </c>
      <c r="B18" s="192" t="s">
        <v>30</v>
      </c>
      <c r="C18" s="192"/>
      <c r="D18" s="192"/>
      <c r="F18" s="54"/>
      <c r="G18" s="37"/>
      <c r="H18" s="11"/>
      <c r="I18" s="37"/>
      <c r="J18" s="13"/>
      <c r="K18" s="2"/>
      <c r="L18" s="2"/>
      <c r="M18" s="2"/>
      <c r="N18" s="2"/>
      <c r="O18" s="2"/>
      <c r="P18" s="2"/>
      <c r="Q18" s="2"/>
      <c r="R18" s="2"/>
      <c r="S18" s="2"/>
    </row>
    <row r="19" spans="1:21" ht="17.850000000000001" customHeight="1" x14ac:dyDescent="0.3">
      <c r="A19" s="8"/>
      <c r="B19" s="176" t="s">
        <v>31</v>
      </c>
      <c r="C19" s="176"/>
      <c r="D19" s="176"/>
      <c r="F19" s="54" t="s">
        <v>25</v>
      </c>
      <c r="G19" s="84">
        <v>-0.16200000000000001</v>
      </c>
      <c r="H19" s="11" t="s">
        <v>22</v>
      </c>
      <c r="I19" s="41">
        <f>G19*from_m_to_in</f>
        <v>-6.3779562000000007</v>
      </c>
      <c r="J19" s="13" t="s">
        <v>23</v>
      </c>
      <c r="K19" s="2"/>
      <c r="L19" s="193" t="s">
        <v>148</v>
      </c>
      <c r="M19" s="193"/>
      <c r="N19" s="193"/>
      <c r="O19" s="193"/>
      <c r="P19" s="193"/>
      <c r="Q19" s="193"/>
      <c r="R19" s="193"/>
      <c r="S19" s="193"/>
      <c r="T19" s="193"/>
      <c r="U19" s="193"/>
    </row>
    <row r="20" spans="1:21" ht="17.850000000000001" customHeight="1" thickBot="1" x14ac:dyDescent="0.35">
      <c r="A20" s="8"/>
      <c r="B20" s="176" t="s">
        <v>32</v>
      </c>
      <c r="C20" s="176"/>
      <c r="D20" s="176"/>
      <c r="F20" s="65"/>
      <c r="G20" s="66"/>
      <c r="H20" s="25"/>
      <c r="I20" s="66"/>
      <c r="J20" s="23"/>
      <c r="K20" s="2"/>
      <c r="L20" s="2"/>
      <c r="M20" s="2"/>
      <c r="N20" s="2"/>
      <c r="O20" s="2"/>
      <c r="P20" s="2"/>
      <c r="Q20" s="2"/>
      <c r="R20" s="2"/>
      <c r="S20" s="2"/>
    </row>
    <row r="21" spans="1:21" ht="17.850000000000001" customHeight="1" x14ac:dyDescent="0.3">
      <c r="A21" s="8"/>
      <c r="B21" s="176" t="s">
        <v>33</v>
      </c>
      <c r="C21" s="176"/>
      <c r="D21" s="176"/>
      <c r="F21" s="12"/>
      <c r="G21" s="38"/>
      <c r="H21" s="12"/>
      <c r="I21" s="38"/>
      <c r="J21" s="12"/>
      <c r="K21"/>
      <c r="L21"/>
      <c r="M21"/>
      <c r="N21"/>
      <c r="O21"/>
      <c r="P21"/>
      <c r="Q21"/>
      <c r="R21"/>
      <c r="S21"/>
    </row>
    <row r="22" spans="1:21" ht="17.850000000000001" customHeight="1" x14ac:dyDescent="0.3">
      <c r="B22" s="176" t="s">
        <v>34</v>
      </c>
      <c r="C22" s="176"/>
      <c r="D22" s="176"/>
      <c r="F22" s="12"/>
      <c r="G22" s="38"/>
      <c r="H22" s="12"/>
      <c r="I22" s="38"/>
      <c r="J22" s="12"/>
      <c r="K22"/>
      <c r="L22"/>
      <c r="M22"/>
      <c r="N22"/>
      <c r="O22"/>
      <c r="P22"/>
      <c r="Q22"/>
      <c r="R22"/>
      <c r="S22"/>
    </row>
    <row r="23" spans="1:21" ht="17.850000000000001" customHeight="1" x14ac:dyDescent="0.3">
      <c r="B23" s="176" t="s">
        <v>136</v>
      </c>
      <c r="C23" s="176"/>
      <c r="D23" s="176"/>
      <c r="F23" s="12"/>
      <c r="G23" s="38"/>
      <c r="H23" s="12"/>
      <c r="I23" s="38"/>
      <c r="J23" s="12"/>
      <c r="K23"/>
      <c r="L23"/>
      <c r="M23"/>
      <c r="N23"/>
      <c r="O23"/>
      <c r="P23"/>
      <c r="Q23"/>
      <c r="R23"/>
      <c r="S23"/>
    </row>
    <row r="24" spans="1:21" ht="17.850000000000001" customHeight="1" x14ac:dyDescent="0.3">
      <c r="B24" s="134"/>
      <c r="C24" s="134"/>
      <c r="D24" s="134"/>
      <c r="F24" s="72"/>
      <c r="G24" s="38"/>
      <c r="H24" s="12"/>
      <c r="I24" s="38"/>
      <c r="J24" s="12"/>
      <c r="K24"/>
      <c r="L24"/>
      <c r="M24"/>
      <c r="N24"/>
      <c r="O24"/>
      <c r="P24"/>
      <c r="Q24"/>
      <c r="R24"/>
      <c r="S24"/>
    </row>
    <row r="25" spans="1:21" ht="17.850000000000001" customHeight="1" x14ac:dyDescent="0.3">
      <c r="B25" s="172" t="s">
        <v>5</v>
      </c>
      <c r="C25" s="172"/>
      <c r="D25" s="172"/>
      <c r="F25" s="12"/>
      <c r="G25" s="38"/>
      <c r="H25" s="12"/>
      <c r="I25" s="38"/>
      <c r="J25" s="12"/>
      <c r="K25"/>
      <c r="L25"/>
      <c r="M25"/>
      <c r="N25"/>
      <c r="O25"/>
      <c r="P25"/>
      <c r="Q25"/>
      <c r="R25"/>
      <c r="S25"/>
    </row>
    <row r="26" spans="1:21" ht="17.850000000000001" customHeight="1" x14ac:dyDescent="0.3">
      <c r="F26" s="12"/>
      <c r="G26" s="38"/>
      <c r="H26" s="12"/>
      <c r="I26" s="38"/>
      <c r="J26" s="12"/>
      <c r="K26"/>
      <c r="L26"/>
      <c r="M26"/>
      <c r="N26"/>
      <c r="O26"/>
      <c r="P26"/>
      <c r="Q26"/>
      <c r="R26"/>
      <c r="S26"/>
    </row>
    <row r="27" spans="1:21" ht="17.850000000000001" customHeight="1" x14ac:dyDescent="0.3">
      <c r="F27" s="12"/>
      <c r="G27" s="38"/>
      <c r="H27" s="12"/>
      <c r="I27" s="38"/>
      <c r="J27" s="12"/>
      <c r="K27"/>
      <c r="L27"/>
      <c r="M27"/>
      <c r="N27"/>
      <c r="O27"/>
      <c r="P27"/>
      <c r="Q27"/>
      <c r="R27"/>
      <c r="S27"/>
    </row>
    <row r="28" spans="1:21" ht="17.850000000000001" customHeight="1" x14ac:dyDescent="0.3">
      <c r="F28" s="12"/>
      <c r="G28" s="38"/>
      <c r="H28" s="12"/>
      <c r="I28" s="38"/>
      <c r="J28" s="12"/>
      <c r="K28"/>
      <c r="L28"/>
      <c r="M28"/>
      <c r="N28"/>
      <c r="O28"/>
      <c r="P28"/>
      <c r="Q28"/>
      <c r="R28"/>
      <c r="S28"/>
    </row>
    <row r="29" spans="1:21" ht="17.850000000000001" customHeight="1" x14ac:dyDescent="0.3">
      <c r="F29" s="12"/>
      <c r="G29" s="38"/>
      <c r="H29" s="12"/>
      <c r="I29" s="38"/>
      <c r="J29" s="12"/>
      <c r="K29"/>
      <c r="L29"/>
      <c r="M29"/>
      <c r="N29"/>
      <c r="O29"/>
      <c r="P29"/>
      <c r="Q29"/>
      <c r="R29"/>
      <c r="S29"/>
    </row>
    <row r="30" spans="1:21" ht="17.850000000000001" customHeight="1" x14ac:dyDescent="0.3">
      <c r="F30" s="12"/>
      <c r="G30" s="38"/>
      <c r="H30" s="12"/>
      <c r="I30" s="38"/>
      <c r="J30" s="12"/>
      <c r="K30"/>
      <c r="L30"/>
      <c r="M30"/>
      <c r="N30"/>
      <c r="O30"/>
      <c r="P30"/>
      <c r="Q30"/>
      <c r="R30"/>
      <c r="S30"/>
    </row>
    <row r="31" spans="1:21" ht="17.850000000000001" customHeight="1" x14ac:dyDescent="0.3">
      <c r="F31" s="12"/>
      <c r="G31" s="38"/>
      <c r="H31" s="12"/>
      <c r="I31" s="38"/>
      <c r="J31" s="12"/>
      <c r="K31"/>
      <c r="L31"/>
      <c r="M31"/>
      <c r="N31"/>
      <c r="O31"/>
      <c r="P31"/>
      <c r="Q31"/>
      <c r="R31"/>
      <c r="S31"/>
      <c r="T31" s="5"/>
    </row>
    <row r="32" spans="1:21" ht="17.850000000000001" customHeight="1" x14ac:dyDescent="0.3">
      <c r="F32" s="12"/>
      <c r="G32" s="38"/>
      <c r="H32" s="12"/>
      <c r="I32" s="38"/>
      <c r="J32" s="12"/>
      <c r="K32"/>
      <c r="L32"/>
      <c r="M32"/>
      <c r="N32"/>
      <c r="O32"/>
      <c r="P32"/>
      <c r="Q32"/>
      <c r="R32"/>
      <c r="S32"/>
      <c r="T32" s="5"/>
    </row>
  </sheetData>
  <mergeCells count="24">
    <mergeCell ref="B19:D19"/>
    <mergeCell ref="B18:D18"/>
    <mergeCell ref="B23:D23"/>
    <mergeCell ref="F3:J3"/>
    <mergeCell ref="C9:D10"/>
    <mergeCell ref="B4:D5"/>
    <mergeCell ref="F5:J5"/>
    <mergeCell ref="B7:D7"/>
    <mergeCell ref="B25:D25"/>
    <mergeCell ref="L7:O7"/>
    <mergeCell ref="B12:D12"/>
    <mergeCell ref="B14:D14"/>
    <mergeCell ref="B15:D15"/>
    <mergeCell ref="B21:D21"/>
    <mergeCell ref="L9:R9"/>
    <mergeCell ref="L15:U15"/>
    <mergeCell ref="L17:U17"/>
    <mergeCell ref="L19:U19"/>
    <mergeCell ref="L11:R11"/>
    <mergeCell ref="L13:R13"/>
    <mergeCell ref="B20:D20"/>
    <mergeCell ref="B22:D22"/>
    <mergeCell ref="B16:D16"/>
    <mergeCell ref="B17:D17"/>
  </mergeCells>
  <hyperlinks>
    <hyperlink ref="B12:D12" location="RESULTS!A1" display="Results" xr:uid="{A7F154D8-9897-4CC0-973F-6CBD3B7BF9EE}"/>
    <hyperlink ref="B7:D7" location="USAGE!A1" display="Usage" xr:uid="{A1D23E60-E3A8-4056-8819-08C4959E50B1}"/>
    <hyperlink ref="B14:D14" location="DASHBOARD!A1" display="DASHBOARD" xr:uid="{FECCCAA8-1112-493A-B211-08EBD0E15CFA}"/>
    <hyperlink ref="A18:D18" location="'BODY 4'!A1" display="Swing Chassis" xr:uid="{97BC2C7A-915B-4DD1-A6C6-1CE874B53F74}"/>
    <hyperlink ref="B18:D18" location="'BODY 3'!A1" display="Rear Axle" xr:uid="{092286A3-6776-4B09-BEA4-6C0E16EFDFCB}"/>
    <hyperlink ref="B16:D16" location="'BODY 1'!A1" display="Drive Chassis" xr:uid="{000D4663-CBD3-40D3-A020-FC2384D4D211}"/>
    <hyperlink ref="B17:D17" location="'BODY 2'!A1" display="Front Axle" xr:uid="{11134CE1-1B66-4C3F-BFE5-F0484F4BAF41}"/>
    <hyperlink ref="B19:D19" location="'BODY 4'!A1" display="Swing Chassis" xr:uid="{21DFEEA9-7061-42C1-BA90-F6082997FCD1}"/>
    <hyperlink ref="B21:D21" location="WHEELS!A1" display="Wheels" xr:uid="{78E9C54C-E67D-429B-8F55-0AFB642F829D}"/>
    <hyperlink ref="B15:D15" location="GENERIC!A1" display="Generic Parameters" xr:uid="{750924AC-6B5E-412D-845B-9C7CCE33D42E}"/>
    <hyperlink ref="B20:D20" location="'BODY 5'!A1" display="Boom" xr:uid="{93CACE0C-D26C-410A-981D-0EA062905989}"/>
    <hyperlink ref="B22:D22" location="'OSCILLATE HC'!A1" display="Oscillate HC" xr:uid="{E70F2875-4717-48D5-B8E6-C83A68BC36C7}"/>
    <hyperlink ref="B23:D23" location="'BASE MOTION'!A1" display="Input (Base Motion)" xr:uid="{C5C83510-D68F-4D3D-9B3A-35D58BBBAABD}"/>
  </hyperlinks>
  <pageMargins left="0.7" right="0.7" top="0.75" bottom="0.75" header="0.3" footer="0.3"/>
  <ignoredErrors>
    <ignoredError sqref="G15" unlockedFormula="1"/>
  </ignoredErrors>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C553A-20E4-406E-8C91-69805D7B7D31}">
  <sheetPr codeName="BODY4"/>
  <dimension ref="A1:AM32"/>
  <sheetViews>
    <sheetView showGridLines="0" topLeftCell="B2" zoomScaleNormal="100" workbookViewId="0">
      <pane xSplit="3" topLeftCell="E1" activePane="topRight" state="frozen"/>
      <selection activeCell="B2" sqref="B2"/>
      <selection pane="topRight" activeCell="E4" sqref="E4"/>
    </sheetView>
  </sheetViews>
  <sheetFormatPr defaultColWidth="10.28515625" defaultRowHeight="17.850000000000001" customHeight="1" x14ac:dyDescent="0.3"/>
  <cols>
    <col min="1" max="1" width="0" style="6" hidden="1" customWidth="1"/>
    <col min="2" max="4" width="10.28515625" style="7"/>
    <col min="5" max="5" width="10.28515625" style="6"/>
    <col min="6" max="6" width="10.7109375" style="44" customWidth="1"/>
    <col min="7" max="7" width="14.28515625" style="35" customWidth="1"/>
    <col min="8" max="8" width="14.28515625" style="44" customWidth="1"/>
    <col min="9" max="9" width="18.5703125" style="35" customWidth="1"/>
    <col min="10" max="10" width="19.28515625" style="44" customWidth="1"/>
    <col min="11" max="11" width="11.140625" style="6" bestFit="1" customWidth="1"/>
    <col min="12" max="12" width="10.28515625" style="6"/>
    <col min="13" max="13" width="18.28515625" style="6" bestFit="1" customWidth="1"/>
    <col min="14" max="14" width="10.28515625" style="6"/>
    <col min="15" max="15" width="9" style="6" bestFit="1" customWidth="1"/>
    <col min="16" max="16" width="9.85546875" style="6" bestFit="1" customWidth="1"/>
    <col min="17" max="17" width="12.85546875" style="6" bestFit="1" customWidth="1"/>
    <col min="18" max="18" width="13.5703125" style="6" bestFit="1" customWidth="1"/>
    <col min="19" max="16384" width="10.28515625" style="6"/>
  </cols>
  <sheetData>
    <row r="1" spans="1:39" ht="17.850000000000001" hidden="1" customHeight="1" x14ac:dyDescent="0.3"/>
    <row r="2" spans="1:39" ht="17.850000000000001" customHeight="1" x14ac:dyDescent="0.3">
      <c r="AM2" s="74"/>
    </row>
    <row r="3" spans="1:39" ht="32.25" thickBot="1" x14ac:dyDescent="0.55000000000000004">
      <c r="F3" s="194" t="s">
        <v>12</v>
      </c>
      <c r="G3" s="194"/>
      <c r="H3" s="194"/>
      <c r="I3" s="194"/>
      <c r="J3" s="194"/>
    </row>
    <row r="4" spans="1:39" ht="17.25" thickTop="1" thickBot="1" x14ac:dyDescent="0.35">
      <c r="B4" s="170" t="s">
        <v>1</v>
      </c>
      <c r="C4" s="170"/>
      <c r="D4" s="170"/>
    </row>
    <row r="5" spans="1:39" ht="17.850000000000001" customHeight="1" thickBot="1" x14ac:dyDescent="0.35">
      <c r="B5" s="170"/>
      <c r="C5" s="170"/>
      <c r="D5" s="170"/>
      <c r="F5" s="187" t="s">
        <v>65</v>
      </c>
      <c r="G5" s="188"/>
      <c r="H5" s="188"/>
      <c r="I5" s="188"/>
      <c r="J5" s="189"/>
      <c r="K5" s="83"/>
      <c r="L5" s="2"/>
      <c r="M5" s="2"/>
      <c r="N5" s="2"/>
      <c r="O5" s="2"/>
      <c r="P5" s="2"/>
      <c r="Q5" s="2"/>
      <c r="R5" s="2"/>
      <c r="S5" s="2"/>
      <c r="T5" s="5"/>
    </row>
    <row r="6" spans="1:39" ht="17.850000000000001" customHeight="1" x14ac:dyDescent="0.3">
      <c r="F6" s="56"/>
      <c r="G6" s="36" t="s">
        <v>56</v>
      </c>
      <c r="H6" s="45"/>
      <c r="I6" s="36" t="s">
        <v>7</v>
      </c>
      <c r="J6" s="22"/>
      <c r="K6" s="3"/>
      <c r="L6" s="82"/>
      <c r="M6" s="3"/>
      <c r="N6" s="3"/>
      <c r="O6" s="3"/>
      <c r="P6" s="3"/>
      <c r="Q6" s="3"/>
      <c r="R6" s="3"/>
      <c r="S6" s="3"/>
      <c r="T6" s="5"/>
    </row>
    <row r="7" spans="1:39" ht="17.850000000000001" customHeight="1" x14ac:dyDescent="0.3">
      <c r="B7" s="173" t="s">
        <v>0</v>
      </c>
      <c r="C7" s="173"/>
      <c r="D7" s="173"/>
      <c r="F7" s="54" t="s">
        <v>9</v>
      </c>
      <c r="G7" s="84">
        <v>3061</v>
      </c>
      <c r="H7" s="10" t="s">
        <v>10</v>
      </c>
      <c r="I7" s="41">
        <f>G7*from_kg_to_lb</f>
        <v>6748.3498453297998</v>
      </c>
      <c r="J7" s="13" t="s">
        <v>11</v>
      </c>
      <c r="K7" s="2"/>
      <c r="L7" s="193" t="s">
        <v>66</v>
      </c>
      <c r="M7" s="193"/>
      <c r="N7" s="193"/>
      <c r="O7" s="193"/>
      <c r="P7" s="2"/>
      <c r="Q7" s="2"/>
      <c r="R7" s="2"/>
      <c r="S7" s="2"/>
    </row>
    <row r="8" spans="1:39" ht="17.850000000000001" customHeight="1" x14ac:dyDescent="0.3">
      <c r="F8" s="54"/>
      <c r="G8" s="37"/>
      <c r="H8" s="11"/>
      <c r="I8" s="37"/>
      <c r="J8" s="13"/>
      <c r="K8" s="2"/>
      <c r="L8" s="2"/>
      <c r="M8" s="2"/>
      <c r="N8" s="2"/>
      <c r="O8" s="2"/>
      <c r="P8" s="2"/>
      <c r="Q8" s="2"/>
      <c r="R8" s="2"/>
      <c r="S8" s="2"/>
    </row>
    <row r="9" spans="1:39" ht="17.850000000000001" customHeight="1" x14ac:dyDescent="0.3">
      <c r="C9" s="174" t="s">
        <v>2</v>
      </c>
      <c r="D9" s="174"/>
      <c r="F9" s="64" t="s">
        <v>58</v>
      </c>
      <c r="G9" s="84">
        <v>849.37</v>
      </c>
      <c r="H9" s="10" t="s">
        <v>14</v>
      </c>
      <c r="I9" s="41">
        <f>G9*from_kgm2_to_lbin2</f>
        <v>2902443.2992511098</v>
      </c>
      <c r="J9" s="14" t="s">
        <v>15</v>
      </c>
      <c r="K9" s="2"/>
      <c r="L9" s="193" t="s">
        <v>137</v>
      </c>
      <c r="M9" s="193"/>
      <c r="N9" s="193"/>
      <c r="O9" s="193"/>
      <c r="P9" s="193"/>
      <c r="Q9" s="193"/>
      <c r="R9" s="193"/>
      <c r="S9" s="2"/>
    </row>
    <row r="10" spans="1:39" ht="17.850000000000001" customHeight="1" x14ac:dyDescent="0.3">
      <c r="C10" s="174"/>
      <c r="D10" s="174"/>
      <c r="F10" s="54"/>
      <c r="G10" s="37"/>
      <c r="H10" s="11"/>
      <c r="I10" s="37"/>
      <c r="J10" s="13"/>
      <c r="K10" s="2"/>
      <c r="L10" s="1"/>
      <c r="M10" s="1"/>
      <c r="N10" s="1"/>
      <c r="O10" s="1"/>
      <c r="P10" s="1"/>
      <c r="Q10" s="1"/>
      <c r="R10" s="2"/>
      <c r="S10" s="2"/>
    </row>
    <row r="11" spans="1:39" ht="17.850000000000001" customHeight="1" x14ac:dyDescent="0.3">
      <c r="F11" s="64" t="s">
        <v>59</v>
      </c>
      <c r="G11" s="84">
        <v>4566.3100000000004</v>
      </c>
      <c r="H11" s="10" t="s">
        <v>14</v>
      </c>
      <c r="I11" s="41">
        <f>G11*from_kgm2_to_lbin2</f>
        <v>15603866.23238793</v>
      </c>
      <c r="J11" s="14" t="s">
        <v>15</v>
      </c>
      <c r="K11" s="2"/>
      <c r="L11" s="193" t="s">
        <v>138</v>
      </c>
      <c r="M11" s="193"/>
      <c r="N11" s="193"/>
      <c r="O11" s="193"/>
      <c r="P11" s="193"/>
      <c r="Q11" s="193"/>
      <c r="R11" s="193"/>
      <c r="S11" s="2"/>
    </row>
    <row r="12" spans="1:39" ht="17.850000000000001" customHeight="1" x14ac:dyDescent="0.3">
      <c r="B12" s="173" t="s">
        <v>3</v>
      </c>
      <c r="C12" s="173"/>
      <c r="D12" s="173"/>
      <c r="F12" s="54"/>
      <c r="G12" s="37"/>
      <c r="H12" s="11"/>
      <c r="I12" s="37"/>
      <c r="J12" s="13"/>
      <c r="K12" s="2"/>
      <c r="L12" s="2"/>
      <c r="M12" s="2"/>
      <c r="N12" s="2"/>
      <c r="O12" s="2"/>
      <c r="P12" s="2"/>
      <c r="Q12" s="2"/>
      <c r="R12" s="2"/>
      <c r="S12" s="2"/>
    </row>
    <row r="13" spans="1:39" ht="17.850000000000001" customHeight="1" x14ac:dyDescent="0.3">
      <c r="F13" s="64" t="s">
        <v>60</v>
      </c>
      <c r="G13" s="84">
        <v>4830.13</v>
      </c>
      <c r="H13" s="10" t="s">
        <v>14</v>
      </c>
      <c r="I13" s="41">
        <f>G13*from_kgm2_to_lbin2</f>
        <v>16505384.523837389</v>
      </c>
      <c r="J13" s="14" t="s">
        <v>15</v>
      </c>
      <c r="K13" s="2"/>
      <c r="L13" s="193" t="s">
        <v>139</v>
      </c>
      <c r="M13" s="193"/>
      <c r="N13" s="193"/>
      <c r="O13" s="193"/>
      <c r="P13" s="193"/>
      <c r="Q13" s="193"/>
      <c r="R13" s="193"/>
      <c r="S13" s="2"/>
    </row>
    <row r="14" spans="1:39" ht="17.850000000000001" customHeight="1" x14ac:dyDescent="0.3">
      <c r="B14" s="173" t="s">
        <v>4</v>
      </c>
      <c r="C14" s="173"/>
      <c r="D14" s="173"/>
      <c r="F14" s="54"/>
      <c r="G14" s="37"/>
      <c r="H14" s="11"/>
      <c r="I14" s="37"/>
      <c r="J14" s="13"/>
      <c r="K14" s="2"/>
      <c r="L14" s="2"/>
      <c r="M14" s="2"/>
      <c r="N14" s="2"/>
      <c r="O14" s="2"/>
      <c r="P14" s="2"/>
      <c r="Q14" s="2"/>
      <c r="R14" s="2"/>
      <c r="S14" s="2"/>
    </row>
    <row r="15" spans="1:39" ht="17.850000000000001" customHeight="1" x14ac:dyDescent="0.3">
      <c r="A15" s="8"/>
      <c r="B15" s="176" t="s">
        <v>251</v>
      </c>
      <c r="C15" s="176"/>
      <c r="D15" s="176"/>
      <c r="F15" s="54" t="s">
        <v>21</v>
      </c>
      <c r="G15" s="84">
        <v>1.2949999999999999</v>
      </c>
      <c r="H15" s="11" t="s">
        <v>22</v>
      </c>
      <c r="I15" s="41">
        <f>G15*from_m_to_in</f>
        <v>50.9842795</v>
      </c>
      <c r="J15" s="13" t="s">
        <v>23</v>
      </c>
      <c r="K15" s="2"/>
      <c r="L15" s="193" t="s">
        <v>149</v>
      </c>
      <c r="M15" s="193"/>
      <c r="N15" s="193"/>
      <c r="O15" s="193"/>
      <c r="P15" s="193"/>
      <c r="Q15" s="193"/>
      <c r="R15" s="193"/>
      <c r="S15" s="193"/>
      <c r="T15" s="193"/>
      <c r="U15" s="193"/>
    </row>
    <row r="16" spans="1:39" ht="17.850000000000001" customHeight="1" x14ac:dyDescent="0.3">
      <c r="A16" s="8"/>
      <c r="B16" s="176" t="s">
        <v>28</v>
      </c>
      <c r="C16" s="176"/>
      <c r="D16" s="176"/>
      <c r="F16" s="54"/>
      <c r="G16" s="37"/>
      <c r="H16" s="11"/>
      <c r="I16" s="37"/>
      <c r="J16" s="13"/>
      <c r="K16" s="2"/>
      <c r="L16" s="2"/>
      <c r="M16" s="2"/>
      <c r="N16" s="2"/>
      <c r="O16" s="2"/>
      <c r="P16" s="2"/>
      <c r="Q16" s="2"/>
      <c r="R16" s="2"/>
      <c r="S16" s="2"/>
    </row>
    <row r="17" spans="1:21" ht="17.850000000000001" customHeight="1" x14ac:dyDescent="0.3">
      <c r="A17" s="8"/>
      <c r="B17" s="176" t="s">
        <v>29</v>
      </c>
      <c r="C17" s="176"/>
      <c r="D17" s="176"/>
      <c r="F17" s="54" t="s">
        <v>24</v>
      </c>
      <c r="G17" s="84">
        <v>0</v>
      </c>
      <c r="H17" s="11" t="s">
        <v>22</v>
      </c>
      <c r="I17" s="41">
        <f>G17*from_m_to_in</f>
        <v>0</v>
      </c>
      <c r="J17" s="13" t="s">
        <v>23</v>
      </c>
      <c r="K17" s="2"/>
      <c r="L17" s="193" t="s">
        <v>150</v>
      </c>
      <c r="M17" s="193"/>
      <c r="N17" s="193"/>
      <c r="O17" s="193"/>
      <c r="P17" s="193"/>
      <c r="Q17" s="193"/>
      <c r="R17" s="193"/>
      <c r="S17" s="193"/>
      <c r="T17" s="193"/>
      <c r="U17" s="193"/>
    </row>
    <row r="18" spans="1:21" ht="17.850000000000001" customHeight="1" x14ac:dyDescent="0.3">
      <c r="A18" s="138" t="s">
        <v>31</v>
      </c>
      <c r="B18" s="176" t="s">
        <v>30</v>
      </c>
      <c r="C18" s="176"/>
      <c r="D18" s="176"/>
      <c r="F18" s="54"/>
      <c r="G18" s="37"/>
      <c r="H18" s="11"/>
      <c r="I18" s="37"/>
      <c r="J18" s="13"/>
      <c r="K18" s="2"/>
      <c r="L18" s="2"/>
      <c r="M18" s="2"/>
      <c r="N18" s="2"/>
      <c r="O18" s="2"/>
      <c r="P18" s="2"/>
      <c r="Q18" s="2"/>
      <c r="R18" s="2"/>
      <c r="S18" s="2"/>
    </row>
    <row r="19" spans="1:21" ht="17.850000000000001" customHeight="1" x14ac:dyDescent="0.3">
      <c r="A19" s="8"/>
      <c r="B19" s="192" t="s">
        <v>31</v>
      </c>
      <c r="C19" s="192"/>
      <c r="D19" s="192"/>
      <c r="F19" s="54" t="s">
        <v>25</v>
      </c>
      <c r="G19" s="84">
        <v>0.89800000000000002</v>
      </c>
      <c r="H19" s="11" t="s">
        <v>22</v>
      </c>
      <c r="I19" s="41">
        <f>G19*from_m_to_in</f>
        <v>35.354349800000001</v>
      </c>
      <c r="J19" s="13" t="s">
        <v>23</v>
      </c>
      <c r="K19" s="2"/>
      <c r="L19" s="193" t="s">
        <v>151</v>
      </c>
      <c r="M19" s="193"/>
      <c r="N19" s="193"/>
      <c r="O19" s="193"/>
      <c r="P19" s="193"/>
      <c r="Q19" s="193"/>
      <c r="R19" s="193"/>
      <c r="S19" s="193"/>
      <c r="T19" s="193"/>
      <c r="U19" s="193"/>
    </row>
    <row r="20" spans="1:21" ht="17.850000000000001" customHeight="1" thickBot="1" x14ac:dyDescent="0.35">
      <c r="A20" s="8"/>
      <c r="B20" s="176" t="s">
        <v>32</v>
      </c>
      <c r="C20" s="176"/>
      <c r="D20" s="176"/>
      <c r="F20" s="65"/>
      <c r="G20" s="66"/>
      <c r="H20" s="25"/>
      <c r="I20" s="66"/>
      <c r="J20" s="23"/>
      <c r="K20" s="2"/>
      <c r="L20" s="2"/>
      <c r="M20" s="2"/>
      <c r="N20" s="2"/>
      <c r="O20" s="2"/>
      <c r="P20" s="2"/>
      <c r="Q20" s="2"/>
      <c r="R20" s="2"/>
      <c r="S20" s="2"/>
      <c r="U20"/>
    </row>
    <row r="21" spans="1:21" ht="17.850000000000001" customHeight="1" x14ac:dyDescent="0.3">
      <c r="A21" s="8"/>
      <c r="B21" s="176" t="s">
        <v>33</v>
      </c>
      <c r="C21" s="176"/>
      <c r="D21" s="176"/>
      <c r="F21" s="12"/>
      <c r="G21" s="38"/>
      <c r="H21" s="12"/>
      <c r="I21" s="38"/>
      <c r="J21" s="12"/>
      <c r="K21"/>
      <c r="L21"/>
      <c r="M21"/>
      <c r="N21"/>
      <c r="O21"/>
      <c r="P21"/>
      <c r="Q21"/>
      <c r="R21"/>
      <c r="S21"/>
    </row>
    <row r="22" spans="1:21" ht="17.850000000000001" customHeight="1" x14ac:dyDescent="0.3">
      <c r="B22" s="176" t="s">
        <v>34</v>
      </c>
      <c r="C22" s="176"/>
      <c r="D22" s="176"/>
      <c r="F22" s="12"/>
      <c r="G22" s="38"/>
      <c r="H22" s="12"/>
      <c r="I22" s="38"/>
      <c r="J22" s="12"/>
      <c r="K22"/>
      <c r="L22"/>
      <c r="M22"/>
      <c r="N22"/>
      <c r="O22"/>
      <c r="P22"/>
      <c r="Q22"/>
      <c r="R22"/>
      <c r="S22"/>
    </row>
    <row r="23" spans="1:21" ht="17.850000000000001" customHeight="1" x14ac:dyDescent="0.3">
      <c r="B23" s="176" t="s">
        <v>136</v>
      </c>
      <c r="C23" s="176"/>
      <c r="D23" s="176"/>
      <c r="F23" s="12"/>
      <c r="G23" s="38"/>
      <c r="H23" s="12"/>
      <c r="I23" s="38"/>
      <c r="J23" s="12"/>
      <c r="K23"/>
      <c r="L23"/>
      <c r="M23"/>
      <c r="N23"/>
      <c r="O23"/>
      <c r="P23"/>
      <c r="Q23"/>
      <c r="R23"/>
      <c r="S23"/>
    </row>
    <row r="24" spans="1:21" ht="17.850000000000001" customHeight="1" x14ac:dyDescent="0.3">
      <c r="B24" s="134"/>
      <c r="C24" s="134"/>
      <c r="D24" s="134"/>
      <c r="F24" s="72"/>
      <c r="G24" s="38"/>
      <c r="H24" s="12"/>
      <c r="I24" s="38"/>
      <c r="J24" s="12"/>
      <c r="K24"/>
      <c r="L24"/>
      <c r="M24"/>
      <c r="N24"/>
      <c r="O24"/>
      <c r="P24"/>
      <c r="Q24"/>
      <c r="R24"/>
      <c r="S24"/>
    </row>
    <row r="25" spans="1:21" ht="17.850000000000001" customHeight="1" x14ac:dyDescent="0.3">
      <c r="B25" s="172" t="s">
        <v>5</v>
      </c>
      <c r="C25" s="172"/>
      <c r="D25" s="172"/>
      <c r="F25" s="12"/>
      <c r="G25" s="38"/>
      <c r="H25" s="12"/>
      <c r="I25" s="38"/>
      <c r="J25" s="12"/>
      <c r="K25"/>
      <c r="L25"/>
      <c r="M25"/>
      <c r="N25"/>
      <c r="O25"/>
      <c r="P25"/>
      <c r="Q25"/>
      <c r="R25"/>
      <c r="S25"/>
    </row>
    <row r="26" spans="1:21" ht="17.850000000000001" customHeight="1" x14ac:dyDescent="0.3">
      <c r="F26" s="12"/>
      <c r="G26" s="38"/>
      <c r="H26" s="12"/>
      <c r="I26" s="38"/>
      <c r="J26" s="12"/>
      <c r="K26"/>
      <c r="L26"/>
      <c r="M26"/>
      <c r="N26"/>
      <c r="O26"/>
      <c r="P26"/>
      <c r="Q26"/>
      <c r="R26"/>
      <c r="S26"/>
    </row>
    <row r="27" spans="1:21" ht="17.850000000000001" customHeight="1" x14ac:dyDescent="0.3">
      <c r="F27" s="12"/>
      <c r="G27" s="38"/>
      <c r="H27" s="12"/>
      <c r="I27" s="38"/>
      <c r="J27" s="12"/>
      <c r="K27"/>
      <c r="L27"/>
      <c r="M27"/>
      <c r="N27" t="s">
        <v>159</v>
      </c>
      <c r="O27"/>
      <c r="P27"/>
      <c r="Q27"/>
      <c r="R27"/>
      <c r="S27"/>
    </row>
    <row r="28" spans="1:21" ht="17.850000000000001" customHeight="1" x14ac:dyDescent="0.3">
      <c r="F28" s="12"/>
      <c r="G28" s="38"/>
      <c r="H28" s="12"/>
      <c r="I28" s="38"/>
      <c r="J28" s="12"/>
      <c r="K28"/>
      <c r="L28"/>
      <c r="M28"/>
      <c r="N28"/>
      <c r="O28"/>
      <c r="P28"/>
      <c r="Q28"/>
      <c r="R28"/>
      <c r="S28"/>
    </row>
    <row r="29" spans="1:21" ht="17.850000000000001" customHeight="1" x14ac:dyDescent="0.3">
      <c r="F29" s="12"/>
      <c r="G29" s="38"/>
      <c r="H29" s="12"/>
      <c r="I29" s="38"/>
      <c r="J29" s="12"/>
      <c r="K29"/>
      <c r="L29"/>
      <c r="M29"/>
      <c r="N29"/>
      <c r="O29"/>
      <c r="P29"/>
      <c r="Q29"/>
      <c r="R29"/>
      <c r="S29"/>
    </row>
    <row r="30" spans="1:21" ht="17.850000000000001" customHeight="1" x14ac:dyDescent="0.3">
      <c r="F30" s="12"/>
      <c r="G30" s="38"/>
      <c r="H30" s="12"/>
      <c r="I30" s="38"/>
      <c r="J30" s="12"/>
      <c r="K30"/>
      <c r="L30"/>
      <c r="M30"/>
      <c r="N30"/>
      <c r="O30"/>
      <c r="P30"/>
      <c r="Q30"/>
      <c r="R30"/>
      <c r="S30"/>
    </row>
    <row r="31" spans="1:21" ht="17.850000000000001" customHeight="1" x14ac:dyDescent="0.3">
      <c r="F31" s="12"/>
      <c r="G31" s="38"/>
      <c r="H31" s="12"/>
      <c r="I31" s="38"/>
      <c r="J31" s="12"/>
      <c r="K31"/>
      <c r="L31"/>
      <c r="M31"/>
      <c r="N31"/>
      <c r="O31"/>
      <c r="P31"/>
      <c r="Q31"/>
      <c r="R31"/>
      <c r="S31"/>
      <c r="T31" s="5"/>
    </row>
    <row r="32" spans="1:21" ht="17.850000000000001" customHeight="1" x14ac:dyDescent="0.3">
      <c r="F32" s="12"/>
      <c r="G32" s="38"/>
      <c r="H32" s="12"/>
      <c r="I32" s="38"/>
      <c r="J32" s="12"/>
      <c r="K32"/>
      <c r="L32"/>
      <c r="M32"/>
      <c r="N32"/>
      <c r="O32"/>
      <c r="P32"/>
      <c r="Q32"/>
      <c r="R32"/>
      <c r="S32"/>
      <c r="T32" s="5"/>
    </row>
  </sheetData>
  <mergeCells count="24">
    <mergeCell ref="B19:D19"/>
    <mergeCell ref="B18:D18"/>
    <mergeCell ref="B23:D23"/>
    <mergeCell ref="F3:J3"/>
    <mergeCell ref="C9:D10"/>
    <mergeCell ref="B4:D5"/>
    <mergeCell ref="F5:J5"/>
    <mergeCell ref="B7:D7"/>
    <mergeCell ref="B25:D25"/>
    <mergeCell ref="L7:O7"/>
    <mergeCell ref="B12:D12"/>
    <mergeCell ref="B14:D14"/>
    <mergeCell ref="B15:D15"/>
    <mergeCell ref="B21:D21"/>
    <mergeCell ref="B16:D16"/>
    <mergeCell ref="B17:D17"/>
    <mergeCell ref="L9:R9"/>
    <mergeCell ref="L11:R11"/>
    <mergeCell ref="L13:R13"/>
    <mergeCell ref="L15:U15"/>
    <mergeCell ref="L17:U17"/>
    <mergeCell ref="L19:U19"/>
    <mergeCell ref="B20:D20"/>
    <mergeCell ref="B22:D22"/>
  </mergeCells>
  <hyperlinks>
    <hyperlink ref="B12:D12" location="RESULTS!A1" display="Results" xr:uid="{B5185595-B2AF-4008-BC9D-5E0C29E16D8E}"/>
    <hyperlink ref="B7:D7" location="USAGE!A1" display="Usage" xr:uid="{C163BE31-01F3-4D5E-8C4C-D207ED422D8C}"/>
    <hyperlink ref="B14:D14" location="DASHBOARD!A1" display="DASHBOARD" xr:uid="{AB5F7F20-4692-4AE2-B5E8-AF54FEF2168B}"/>
    <hyperlink ref="B18:D18" location="'BODY 3'!A1" display="Rear Axle" xr:uid="{1FDF7E1D-8450-4416-9FAD-6C8E3E31A044}"/>
    <hyperlink ref="B16:D16" location="'BODY 1'!A1" display="Drive Chassis" xr:uid="{AFF550BB-E30E-42B2-9BAD-9C12FD5B8216}"/>
    <hyperlink ref="B17:D17" location="'BODY 2'!A1" display="Front Axle" xr:uid="{024BAFF3-C794-41F8-990B-56AC56EE8C0F}"/>
    <hyperlink ref="B19:D19" location="'BODY 4'!A1" display="Swing Chassis" xr:uid="{59B78629-964E-4942-8941-AD1BAF8AD1F5}"/>
    <hyperlink ref="B21:D21" location="WHEELS!A1" display="Wheels" xr:uid="{C469B812-A0DD-48E5-8AF0-64F2C6B9B15E}"/>
    <hyperlink ref="B15:D15" location="GENERIC!A1" display="Generic Parameters" xr:uid="{3E522B97-D099-4C92-A0AE-FC210B671739}"/>
    <hyperlink ref="B20:D20" location="'BODY 5'!A1" display="Boom" xr:uid="{1CD59F15-1566-4681-872F-7005FCB603E5}"/>
    <hyperlink ref="B22:D22" location="'OSCILLATE HC'!A1" display="Oscillate HC" xr:uid="{66B5B75A-5A53-499D-B063-8B197FFDD644}"/>
    <hyperlink ref="B23:D23" location="'BASE MOTION'!A1" display="Input (Base Motion)" xr:uid="{3F1CB959-3AFA-4488-A644-98A14C3B899F}"/>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C1B06-BCCA-4029-A559-E35330B75869}">
  <sheetPr codeName="BODY5"/>
  <dimension ref="A1:AN32"/>
  <sheetViews>
    <sheetView showGridLines="0" topLeftCell="B2" zoomScaleNormal="100" workbookViewId="0">
      <pane xSplit="3" topLeftCell="E1" activePane="topRight" state="frozen"/>
      <selection activeCell="B2" sqref="B2"/>
      <selection pane="topRight" activeCell="B19" sqref="B19:D19"/>
    </sheetView>
  </sheetViews>
  <sheetFormatPr defaultColWidth="10.28515625" defaultRowHeight="17.850000000000001" customHeight="1" x14ac:dyDescent="0.3"/>
  <cols>
    <col min="1" max="1" width="0" style="6" hidden="1" customWidth="1"/>
    <col min="2" max="4" width="10.28515625" style="7"/>
    <col min="5" max="5" width="10.28515625" style="6"/>
    <col min="6" max="6" width="10.7109375" style="44" customWidth="1"/>
    <col min="7" max="7" width="14.28515625" style="35" customWidth="1"/>
    <col min="8" max="8" width="14.28515625" style="44" customWidth="1"/>
    <col min="9" max="9" width="18.5703125" style="35" customWidth="1"/>
    <col min="10" max="10" width="19.28515625" style="44" customWidth="1"/>
    <col min="11" max="11" width="11.140625" style="6" bestFit="1" customWidth="1"/>
    <col min="12" max="12" width="10.28515625" style="6"/>
    <col min="13" max="13" width="18.28515625" style="6" bestFit="1" customWidth="1"/>
    <col min="14" max="14" width="10.28515625" style="6"/>
    <col min="15" max="15" width="9" style="6" bestFit="1" customWidth="1"/>
    <col min="16" max="16" width="9.85546875" style="6" bestFit="1" customWidth="1"/>
    <col min="17" max="17" width="12.85546875" style="6" bestFit="1" customWidth="1"/>
    <col min="18" max="18" width="13.5703125" style="6" bestFit="1" customWidth="1"/>
    <col min="19" max="16384" width="10.28515625" style="6"/>
  </cols>
  <sheetData>
    <row r="1" spans="1:40" ht="17.850000000000001" hidden="1" customHeight="1" x14ac:dyDescent="0.3"/>
    <row r="2" spans="1:40" ht="17.850000000000001" customHeight="1" x14ac:dyDescent="0.3">
      <c r="AN2" s="74"/>
    </row>
    <row r="3" spans="1:40" ht="32.25" thickBot="1" x14ac:dyDescent="0.55000000000000004">
      <c r="F3" s="194" t="s">
        <v>27</v>
      </c>
      <c r="G3" s="194"/>
      <c r="H3" s="194"/>
      <c r="I3" s="194"/>
      <c r="J3" s="194"/>
    </row>
    <row r="4" spans="1:40" ht="17.25" thickTop="1" thickBot="1" x14ac:dyDescent="0.35">
      <c r="B4" s="170" t="s">
        <v>1</v>
      </c>
      <c r="C4" s="170"/>
      <c r="D4" s="170"/>
    </row>
    <row r="5" spans="1:40" ht="17.850000000000001" customHeight="1" thickBot="1" x14ac:dyDescent="0.35">
      <c r="B5" s="170"/>
      <c r="C5" s="170"/>
      <c r="D5" s="170"/>
      <c r="F5" s="187" t="s">
        <v>67</v>
      </c>
      <c r="G5" s="188"/>
      <c r="H5" s="188"/>
      <c r="I5" s="188"/>
      <c r="J5" s="189"/>
      <c r="K5" s="83"/>
      <c r="L5" s="2"/>
      <c r="M5" s="2"/>
      <c r="N5" s="2"/>
      <c r="O5" s="2"/>
      <c r="P5" s="2"/>
      <c r="Q5" s="2"/>
      <c r="R5" s="2"/>
      <c r="S5"/>
      <c r="T5" s="5"/>
    </row>
    <row r="6" spans="1:40" ht="17.850000000000001" customHeight="1" x14ac:dyDescent="0.3">
      <c r="F6" s="56"/>
      <c r="G6" s="36" t="s">
        <v>56</v>
      </c>
      <c r="H6" s="45"/>
      <c r="I6" s="36" t="s">
        <v>7</v>
      </c>
      <c r="J6" s="22"/>
      <c r="K6" s="3"/>
      <c r="L6" s="82"/>
      <c r="M6" s="3"/>
      <c r="N6" s="3"/>
      <c r="O6" s="3"/>
      <c r="P6" s="3"/>
      <c r="Q6" s="3"/>
      <c r="R6" s="3"/>
      <c r="S6"/>
      <c r="T6" s="5"/>
    </row>
    <row r="7" spans="1:40" ht="17.850000000000001" customHeight="1" x14ac:dyDescent="0.3">
      <c r="B7" s="173" t="s">
        <v>0</v>
      </c>
      <c r="C7" s="173"/>
      <c r="D7" s="173"/>
      <c r="F7" s="54" t="s">
        <v>9</v>
      </c>
      <c r="G7" s="84">
        <v>1105</v>
      </c>
      <c r="H7" s="10" t="s">
        <v>10</v>
      </c>
      <c r="I7" s="41">
        <f>G7*from_kg_to_lb</f>
        <v>2436.107997089</v>
      </c>
      <c r="J7" s="13" t="s">
        <v>11</v>
      </c>
      <c r="K7" s="2"/>
      <c r="L7" s="193" t="s">
        <v>68</v>
      </c>
      <c r="M7" s="193"/>
      <c r="N7" s="193"/>
      <c r="O7" s="2"/>
      <c r="P7" s="2"/>
      <c r="Q7" s="2"/>
      <c r="R7" s="2"/>
      <c r="S7"/>
    </row>
    <row r="8" spans="1:40" ht="17.850000000000001" customHeight="1" x14ac:dyDescent="0.3">
      <c r="F8" s="54"/>
      <c r="G8" s="37"/>
      <c r="H8" s="11"/>
      <c r="I8" s="37"/>
      <c r="J8" s="13"/>
      <c r="K8" s="2"/>
      <c r="L8" s="2"/>
      <c r="M8" s="2"/>
      <c r="N8" s="2"/>
      <c r="O8" s="2"/>
      <c r="P8" s="2"/>
      <c r="Q8" s="2"/>
      <c r="R8" s="2"/>
      <c r="S8"/>
    </row>
    <row r="9" spans="1:40" ht="17.850000000000001" customHeight="1" x14ac:dyDescent="0.3">
      <c r="C9" s="174" t="s">
        <v>2</v>
      </c>
      <c r="D9" s="174"/>
      <c r="F9" s="64" t="s">
        <v>58</v>
      </c>
      <c r="G9" s="84">
        <v>143.19999999999999</v>
      </c>
      <c r="H9" s="10" t="s">
        <v>14</v>
      </c>
      <c r="I9" s="41">
        <f>G9*from_kgm2_to_lbin2</f>
        <v>489339.01650959993</v>
      </c>
      <c r="J9" s="14" t="s">
        <v>15</v>
      </c>
      <c r="K9" s="2"/>
      <c r="L9" s="193" t="s">
        <v>137</v>
      </c>
      <c r="M9" s="193"/>
      <c r="N9" s="193"/>
      <c r="O9" s="193"/>
      <c r="P9" s="193"/>
      <c r="Q9" s="193"/>
      <c r="R9" s="193"/>
      <c r="S9"/>
    </row>
    <row r="10" spans="1:40" ht="17.850000000000001" customHeight="1" x14ac:dyDescent="0.3">
      <c r="C10" s="174"/>
      <c r="D10" s="174"/>
      <c r="F10" s="54"/>
      <c r="G10" s="37"/>
      <c r="H10" s="11"/>
      <c r="I10" s="37"/>
      <c r="J10" s="13"/>
      <c r="K10" s="2"/>
      <c r="L10" s="1"/>
      <c r="M10" s="1"/>
      <c r="N10" s="1"/>
      <c r="O10" s="1"/>
      <c r="P10" s="1"/>
      <c r="Q10" s="1"/>
      <c r="R10" s="2"/>
      <c r="S10"/>
    </row>
    <row r="11" spans="1:40" ht="17.850000000000001" customHeight="1" x14ac:dyDescent="0.3">
      <c r="F11" s="64" t="s">
        <v>59</v>
      </c>
      <c r="G11" s="84">
        <v>11943.6</v>
      </c>
      <c r="H11" s="10" t="s">
        <v>14</v>
      </c>
      <c r="I11" s="41">
        <f>G11*from_kgm2_to_lbin2</f>
        <v>40813334.340670802</v>
      </c>
      <c r="J11" s="14" t="s">
        <v>15</v>
      </c>
      <c r="K11" s="2"/>
      <c r="L11" s="193" t="s">
        <v>138</v>
      </c>
      <c r="M11" s="193"/>
      <c r="N11" s="193"/>
      <c r="O11" s="193"/>
      <c r="P11" s="193"/>
      <c r="Q11" s="193"/>
      <c r="R11" s="193"/>
      <c r="S11"/>
    </row>
    <row r="12" spans="1:40" ht="17.850000000000001" customHeight="1" x14ac:dyDescent="0.3">
      <c r="B12" s="173" t="s">
        <v>3</v>
      </c>
      <c r="C12" s="173"/>
      <c r="D12" s="173"/>
      <c r="F12" s="54"/>
      <c r="G12" s="37"/>
      <c r="H12" s="11"/>
      <c r="I12" s="37"/>
      <c r="J12" s="13"/>
      <c r="K12" s="2"/>
      <c r="L12" s="2"/>
      <c r="M12" s="2"/>
      <c r="N12" s="2"/>
      <c r="O12" s="2"/>
      <c r="P12" s="2"/>
      <c r="Q12" s="2"/>
      <c r="R12" s="2"/>
      <c r="S12"/>
    </row>
    <row r="13" spans="1:40" ht="17.850000000000001" customHeight="1" x14ac:dyDescent="0.3">
      <c r="F13" s="64" t="s">
        <v>60</v>
      </c>
      <c r="G13" s="84">
        <v>11951.8</v>
      </c>
      <c r="H13" s="10" t="s">
        <v>14</v>
      </c>
      <c r="I13" s="41">
        <f>G13*from_kgm2_to_lbin2</f>
        <v>40841355.150275394</v>
      </c>
      <c r="J13" s="14" t="s">
        <v>15</v>
      </c>
      <c r="K13" s="2"/>
      <c r="L13" s="193" t="s">
        <v>139</v>
      </c>
      <c r="M13" s="193"/>
      <c r="N13" s="193"/>
      <c r="O13" s="193"/>
      <c r="P13" s="193"/>
      <c r="Q13" s="193"/>
      <c r="R13" s="193"/>
      <c r="S13"/>
    </row>
    <row r="14" spans="1:40" ht="17.850000000000001" customHeight="1" x14ac:dyDescent="0.3">
      <c r="B14" s="173" t="s">
        <v>4</v>
      </c>
      <c r="C14" s="173"/>
      <c r="D14" s="173"/>
      <c r="F14" s="54"/>
      <c r="G14" s="37"/>
      <c r="H14" s="11"/>
      <c r="I14" s="37"/>
      <c r="J14" s="13"/>
      <c r="K14" s="2"/>
      <c r="L14" s="2"/>
      <c r="M14" s="2"/>
      <c r="N14" s="2"/>
      <c r="O14" s="2"/>
      <c r="P14" s="2"/>
      <c r="Q14" s="2"/>
      <c r="R14" s="2"/>
      <c r="S14"/>
    </row>
    <row r="15" spans="1:40" ht="17.850000000000001" customHeight="1" x14ac:dyDescent="0.3">
      <c r="A15" s="8"/>
      <c r="B15" s="176" t="s">
        <v>251</v>
      </c>
      <c r="C15" s="176"/>
      <c r="D15" s="176"/>
      <c r="F15" s="54" t="s">
        <v>21</v>
      </c>
      <c r="G15" s="84">
        <v>-1.9850000000000001</v>
      </c>
      <c r="H15" s="11" t="s">
        <v>22</v>
      </c>
      <c r="I15" s="41">
        <f>G15*from_m_to_in</f>
        <v>-78.149648500000012</v>
      </c>
      <c r="J15" s="13" t="s">
        <v>23</v>
      </c>
      <c r="K15" s="2"/>
      <c r="L15" s="193" t="s">
        <v>152</v>
      </c>
      <c r="M15" s="193"/>
      <c r="N15" s="193"/>
      <c r="O15" s="193"/>
      <c r="P15" s="193"/>
      <c r="Q15" s="193"/>
      <c r="R15" s="193"/>
      <c r="S15" s="193"/>
      <c r="T15" s="193"/>
    </row>
    <row r="16" spans="1:40" ht="17.850000000000001" customHeight="1" x14ac:dyDescent="0.3">
      <c r="A16" s="8"/>
      <c r="B16" s="176" t="s">
        <v>28</v>
      </c>
      <c r="C16" s="176"/>
      <c r="D16" s="176"/>
      <c r="F16" s="54"/>
      <c r="G16" s="37"/>
      <c r="H16" s="11"/>
      <c r="I16" s="37"/>
      <c r="J16" s="13"/>
      <c r="K16" s="2"/>
      <c r="L16" s="2"/>
      <c r="M16" s="2"/>
      <c r="N16" s="2"/>
      <c r="O16" s="2"/>
      <c r="P16" s="2"/>
      <c r="Q16" s="2"/>
      <c r="R16" s="2"/>
      <c r="S16"/>
    </row>
    <row r="17" spans="1:21" ht="17.850000000000001" customHeight="1" x14ac:dyDescent="0.3">
      <c r="A17" s="8"/>
      <c r="B17" s="176" t="s">
        <v>29</v>
      </c>
      <c r="C17" s="176"/>
      <c r="D17" s="176"/>
      <c r="F17" s="54" t="s">
        <v>24</v>
      </c>
      <c r="G17" s="84">
        <v>0</v>
      </c>
      <c r="H17" s="11" t="s">
        <v>22</v>
      </c>
      <c r="I17" s="41">
        <f>G17*from_m_to_in</f>
        <v>0</v>
      </c>
      <c r="J17" s="13" t="s">
        <v>23</v>
      </c>
      <c r="K17" s="2"/>
      <c r="L17" s="193" t="s">
        <v>153</v>
      </c>
      <c r="M17" s="193"/>
      <c r="N17" s="193"/>
      <c r="O17" s="193"/>
      <c r="P17" s="193"/>
      <c r="Q17" s="193"/>
      <c r="R17" s="193"/>
      <c r="S17" s="193"/>
      <c r="T17" s="193"/>
    </row>
    <row r="18" spans="1:21" ht="17.850000000000001" customHeight="1" x14ac:dyDescent="0.3">
      <c r="A18" s="137" t="s">
        <v>31</v>
      </c>
      <c r="B18" s="176" t="s">
        <v>30</v>
      </c>
      <c r="C18" s="176"/>
      <c r="D18" s="176"/>
      <c r="F18" s="54"/>
      <c r="G18" s="37"/>
      <c r="H18" s="11"/>
      <c r="I18" s="37"/>
      <c r="J18" s="13"/>
      <c r="K18" s="2"/>
      <c r="L18" s="2"/>
      <c r="M18" s="2"/>
      <c r="N18" s="2"/>
      <c r="O18" s="2"/>
      <c r="P18" s="2"/>
      <c r="Q18" s="2"/>
      <c r="R18" s="2"/>
      <c r="S18"/>
    </row>
    <row r="19" spans="1:21" ht="17.850000000000001" customHeight="1" x14ac:dyDescent="0.3">
      <c r="A19" s="8"/>
      <c r="B19" s="176" t="s">
        <v>31</v>
      </c>
      <c r="C19" s="176"/>
      <c r="D19" s="176"/>
      <c r="F19" s="54" t="s">
        <v>25</v>
      </c>
      <c r="G19" s="84">
        <v>1.6319999999999999</v>
      </c>
      <c r="H19" s="11" t="s">
        <v>22</v>
      </c>
      <c r="I19" s="41">
        <f>G19*from_m_to_in</f>
        <v>64.25200319999999</v>
      </c>
      <c r="J19" s="13" t="s">
        <v>23</v>
      </c>
      <c r="K19" s="2"/>
      <c r="L19" s="193" t="s">
        <v>154</v>
      </c>
      <c r="M19" s="193"/>
      <c r="N19" s="193"/>
      <c r="O19" s="193"/>
      <c r="P19" s="193"/>
      <c r="Q19" s="193"/>
      <c r="R19" s="193"/>
      <c r="S19" s="193"/>
      <c r="T19" s="193"/>
    </row>
    <row r="20" spans="1:21" ht="17.850000000000001" customHeight="1" thickBot="1" x14ac:dyDescent="0.35">
      <c r="A20" s="8"/>
      <c r="B20" s="192" t="s">
        <v>32</v>
      </c>
      <c r="C20" s="192"/>
      <c r="D20" s="192"/>
      <c r="F20" s="65"/>
      <c r="G20" s="66"/>
      <c r="H20" s="25"/>
      <c r="I20" s="66"/>
      <c r="J20" s="23"/>
      <c r="K20" s="2"/>
      <c r="L20" s="2"/>
      <c r="M20" s="2"/>
      <c r="N20" s="2"/>
      <c r="O20" s="2"/>
      <c r="P20" s="2"/>
      <c r="Q20" s="2"/>
      <c r="R20" s="2"/>
      <c r="S20"/>
      <c r="U20" s="74"/>
    </row>
    <row r="21" spans="1:21" ht="17.850000000000001" customHeight="1" x14ac:dyDescent="0.3">
      <c r="A21" s="8"/>
      <c r="B21" s="176" t="s">
        <v>33</v>
      </c>
      <c r="C21" s="176"/>
      <c r="D21" s="176"/>
      <c r="F21" s="12"/>
      <c r="G21" s="38"/>
      <c r="H21" s="12"/>
      <c r="I21" s="38"/>
      <c r="J21" s="12"/>
      <c r="K21"/>
      <c r="L21"/>
      <c r="M21" s="2"/>
      <c r="N21"/>
      <c r="O21"/>
      <c r="P21"/>
      <c r="Q21"/>
      <c r="R21"/>
      <c r="S21"/>
    </row>
    <row r="22" spans="1:21" ht="17.850000000000001" customHeight="1" x14ac:dyDescent="0.3">
      <c r="B22" s="176" t="s">
        <v>34</v>
      </c>
      <c r="C22" s="176"/>
      <c r="D22" s="176"/>
      <c r="F22" s="12"/>
      <c r="G22" s="38"/>
      <c r="H22" s="12"/>
      <c r="I22" s="38"/>
      <c r="J22" s="12"/>
      <c r="K22"/>
      <c r="L22"/>
      <c r="M22"/>
      <c r="N22"/>
      <c r="O22"/>
      <c r="P22"/>
      <c r="Q22"/>
      <c r="R22"/>
      <c r="S22"/>
    </row>
    <row r="23" spans="1:21" ht="17.850000000000001" customHeight="1" x14ac:dyDescent="0.3">
      <c r="B23" s="176" t="s">
        <v>136</v>
      </c>
      <c r="C23" s="176"/>
      <c r="D23" s="176"/>
      <c r="F23" s="12"/>
      <c r="G23" s="38"/>
      <c r="H23" s="12"/>
      <c r="I23" s="38"/>
      <c r="J23" s="12"/>
      <c r="K23"/>
      <c r="L23"/>
      <c r="M23"/>
      <c r="N23"/>
      <c r="O23"/>
      <c r="P23"/>
      <c r="Q23"/>
      <c r="R23"/>
      <c r="S23"/>
    </row>
    <row r="24" spans="1:21" ht="17.850000000000001" customHeight="1" x14ac:dyDescent="0.3">
      <c r="B24" s="134"/>
      <c r="C24" s="134"/>
      <c r="D24" s="134"/>
      <c r="F24" s="12"/>
      <c r="G24" s="38"/>
      <c r="H24" s="12"/>
      <c r="I24" s="38"/>
      <c r="J24" s="12"/>
      <c r="K24"/>
      <c r="L24"/>
      <c r="M24"/>
      <c r="N24"/>
      <c r="O24"/>
      <c r="P24"/>
      <c r="Q24"/>
      <c r="R24"/>
      <c r="S24"/>
    </row>
    <row r="25" spans="1:21" ht="17.850000000000001" customHeight="1" x14ac:dyDescent="0.3">
      <c r="B25" s="172" t="s">
        <v>5</v>
      </c>
      <c r="C25" s="172"/>
      <c r="D25" s="172"/>
      <c r="F25" s="12"/>
      <c r="G25" s="38"/>
      <c r="H25" s="12"/>
      <c r="I25" s="38"/>
      <c r="J25" s="12"/>
      <c r="K25"/>
      <c r="L25"/>
      <c r="M25"/>
      <c r="N25"/>
      <c r="O25"/>
      <c r="P25"/>
      <c r="Q25"/>
      <c r="R25"/>
      <c r="S25"/>
    </row>
    <row r="26" spans="1:21" ht="17.850000000000001" customHeight="1" x14ac:dyDescent="0.3">
      <c r="F26" s="12"/>
      <c r="G26" s="38"/>
      <c r="H26" s="12"/>
      <c r="I26" s="38"/>
      <c r="J26" s="12"/>
      <c r="K26"/>
      <c r="L26"/>
      <c r="M26"/>
      <c r="N26"/>
      <c r="O26"/>
      <c r="P26"/>
      <c r="Q26"/>
      <c r="R26"/>
      <c r="S26"/>
    </row>
    <row r="27" spans="1:21" ht="17.850000000000001" customHeight="1" x14ac:dyDescent="0.3">
      <c r="F27" s="12"/>
      <c r="G27" s="38"/>
      <c r="H27" s="12"/>
      <c r="I27" s="38"/>
      <c r="J27" s="12"/>
      <c r="K27"/>
      <c r="L27"/>
      <c r="M27"/>
      <c r="N27"/>
      <c r="O27"/>
      <c r="P27"/>
      <c r="Q27"/>
      <c r="R27"/>
      <c r="S27"/>
    </row>
    <row r="28" spans="1:21" ht="17.850000000000001" customHeight="1" x14ac:dyDescent="0.3">
      <c r="F28" s="12"/>
      <c r="G28" s="38"/>
      <c r="H28" s="12"/>
      <c r="I28" s="38"/>
      <c r="J28" s="12"/>
      <c r="K28"/>
      <c r="L28"/>
      <c r="M28"/>
      <c r="N28"/>
      <c r="O28"/>
      <c r="P28"/>
      <c r="Q28"/>
      <c r="R28"/>
      <c r="S28"/>
    </row>
    <row r="29" spans="1:21" ht="17.850000000000001" customHeight="1" x14ac:dyDescent="0.3">
      <c r="F29" s="12"/>
      <c r="G29" s="38"/>
      <c r="H29" s="12"/>
      <c r="I29" s="38"/>
      <c r="J29" s="12"/>
      <c r="K29"/>
      <c r="L29"/>
      <c r="M29"/>
      <c r="N29"/>
      <c r="O29"/>
      <c r="P29"/>
      <c r="Q29"/>
      <c r="R29"/>
      <c r="S29"/>
    </row>
    <row r="30" spans="1:21" ht="17.850000000000001" customHeight="1" x14ac:dyDescent="0.3">
      <c r="F30" s="12"/>
      <c r="G30" s="38"/>
      <c r="H30" s="12"/>
      <c r="I30" s="38"/>
      <c r="J30" s="12"/>
      <c r="K30"/>
      <c r="L30"/>
      <c r="M30"/>
      <c r="N30"/>
      <c r="O30"/>
      <c r="P30"/>
      <c r="Q30"/>
      <c r="R30"/>
      <c r="S30"/>
    </row>
    <row r="31" spans="1:21" ht="17.850000000000001" customHeight="1" x14ac:dyDescent="0.3">
      <c r="F31" s="12"/>
      <c r="G31" s="38"/>
      <c r="H31" s="12"/>
      <c r="I31" s="38"/>
      <c r="J31" s="12"/>
      <c r="K31"/>
      <c r="L31"/>
      <c r="M31"/>
      <c r="N31"/>
      <c r="O31"/>
      <c r="P31"/>
      <c r="Q31"/>
      <c r="R31"/>
      <c r="S31"/>
      <c r="T31" s="5"/>
    </row>
    <row r="32" spans="1:21" ht="17.850000000000001" customHeight="1" x14ac:dyDescent="0.3">
      <c r="F32" s="12"/>
      <c r="G32" s="38"/>
      <c r="H32" s="12"/>
      <c r="I32" s="38"/>
      <c r="J32" s="12"/>
      <c r="K32"/>
      <c r="L32"/>
      <c r="M32"/>
      <c r="N32"/>
      <c r="O32"/>
      <c r="P32"/>
      <c r="Q32"/>
      <c r="R32"/>
      <c r="S32"/>
      <c r="T32" s="5"/>
    </row>
  </sheetData>
  <mergeCells count="24">
    <mergeCell ref="L15:T15"/>
    <mergeCell ref="L17:T17"/>
    <mergeCell ref="L19:T19"/>
    <mergeCell ref="F3:J3"/>
    <mergeCell ref="L7:N7"/>
    <mergeCell ref="L9:R9"/>
    <mergeCell ref="L11:R11"/>
    <mergeCell ref="L13:R13"/>
    <mergeCell ref="B25:D25"/>
    <mergeCell ref="B4:D5"/>
    <mergeCell ref="F5:J5"/>
    <mergeCell ref="B7:D7"/>
    <mergeCell ref="C9:D10"/>
    <mergeCell ref="B21:D21"/>
    <mergeCell ref="B16:D16"/>
    <mergeCell ref="B17:D17"/>
    <mergeCell ref="B19:D19"/>
    <mergeCell ref="B12:D12"/>
    <mergeCell ref="B14:D14"/>
    <mergeCell ref="B15:D15"/>
    <mergeCell ref="B22:D22"/>
    <mergeCell ref="B20:D20"/>
    <mergeCell ref="B23:D23"/>
    <mergeCell ref="B18:D18"/>
  </mergeCells>
  <hyperlinks>
    <hyperlink ref="B12:D12" location="RESULTS!A1" display="Results" xr:uid="{3E9EEBB2-6C6F-45B2-BEB9-45BB750F8AD7}"/>
    <hyperlink ref="B7:D7" location="USAGE!A1" display="Usage" xr:uid="{5EA547F8-55E5-44DB-828F-B4FFA1A6196E}"/>
    <hyperlink ref="B14:D14" location="DASHBOARD!A1" display="DASHBOARD" xr:uid="{B74099E8-EDC0-4B3E-9723-DF2E9E58A347}"/>
    <hyperlink ref="A18:D18" location="'BODY 4'!A1" display="Swing Chassis" xr:uid="{E83CDF27-E905-493B-8A45-7C4287CBC2E4}"/>
    <hyperlink ref="B18:D18" location="'BODY 3'!A1" display="Rear Axle" xr:uid="{25BFB9EC-203E-4E58-BE6C-E61CC69C88A1}"/>
    <hyperlink ref="B16:D16" location="'BODY 1'!A1" display="Drive Chassis" xr:uid="{E08BF0AA-84E5-445F-A27E-6598CE89756E}"/>
    <hyperlink ref="B17:D17" location="'BODY 2'!A1" display="Front Axle" xr:uid="{3AEFD024-3FEB-4793-AD7D-A137E44366C5}"/>
    <hyperlink ref="B19:D19" location="'BODY 4'!A1" display="Swing Chassis" xr:uid="{EA834D0D-1DA0-4EEC-89B1-E046F2F846AA}"/>
    <hyperlink ref="B21:D21" location="WHEELS!A1" display="Wheels" xr:uid="{8ADDF593-1350-4499-86E7-F895C2148FD1}"/>
    <hyperlink ref="B15:D15" location="GENERIC!A1" display="Generic Parameters" xr:uid="{2AB83B97-29AB-4D2A-9686-BCEBBB382316}"/>
    <hyperlink ref="B22:D22" location="'OSCILLATE HC'!A1" display="Oscillate HC" xr:uid="{C9F04BB2-D6AD-4B6B-9BCC-1E14FCF2D444}"/>
    <hyperlink ref="B23:D23" location="'BASE MOTION'!A1" display="Input (Base Motion)" xr:uid="{D72DC8A3-B264-4BE7-A0B8-77DFC61B5EB2}"/>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30847-5DE3-4346-A24A-615F36AA50A0}">
  <sheetPr codeName="WHEELS"/>
  <dimension ref="A1:T32"/>
  <sheetViews>
    <sheetView showGridLines="0" topLeftCell="B2" zoomScaleNormal="100" workbookViewId="0">
      <pane xSplit="3" topLeftCell="E1" activePane="topRight" state="frozen"/>
      <selection activeCell="B2" sqref="B2"/>
      <selection pane="topRight" activeCell="B20" sqref="B20:D20"/>
    </sheetView>
  </sheetViews>
  <sheetFormatPr defaultColWidth="10.28515625" defaultRowHeight="17.850000000000001" customHeight="1" x14ac:dyDescent="0.3"/>
  <cols>
    <col min="1" max="1" width="0" style="6" hidden="1" customWidth="1"/>
    <col min="2" max="4" width="10.28515625" style="7"/>
    <col min="5" max="5" width="10.28515625" style="6"/>
    <col min="6" max="6" width="10.7109375" style="44" customWidth="1"/>
    <col min="7" max="7" width="14.28515625" style="35" customWidth="1"/>
    <col min="8" max="8" width="14.28515625" style="44" customWidth="1"/>
    <col min="9" max="9" width="18.5703125" style="35" customWidth="1"/>
    <col min="10" max="10" width="19.28515625" style="44" customWidth="1"/>
    <col min="11" max="11" width="11.140625" style="6" bestFit="1" customWidth="1"/>
    <col min="12" max="12" width="10.28515625" style="6"/>
    <col min="13" max="13" width="18.28515625" style="6" bestFit="1" customWidth="1"/>
    <col min="14" max="14" width="10.28515625" style="6"/>
    <col min="15" max="15" width="9" style="6" bestFit="1" customWidth="1"/>
    <col min="16" max="16" width="9.85546875" style="6" bestFit="1" customWidth="1"/>
    <col min="17" max="17" width="12.85546875" style="6" bestFit="1" customWidth="1"/>
    <col min="18" max="18" width="13.5703125" style="6" bestFit="1" customWidth="1"/>
    <col min="19" max="16384" width="10.28515625" style="6"/>
  </cols>
  <sheetData>
    <row r="1" spans="1:20" ht="17.850000000000001" hidden="1" customHeight="1" x14ac:dyDescent="0.3"/>
    <row r="3" spans="1:20" ht="32.25" thickBot="1" x14ac:dyDescent="0.55000000000000004">
      <c r="F3" s="194" t="s">
        <v>36</v>
      </c>
      <c r="G3" s="194"/>
      <c r="H3" s="194"/>
      <c r="I3" s="194"/>
      <c r="J3" s="194"/>
    </row>
    <row r="4" spans="1:20" ht="17.25" thickTop="1" thickBot="1" x14ac:dyDescent="0.35">
      <c r="B4" s="170" t="s">
        <v>1</v>
      </c>
      <c r="C4" s="170"/>
      <c r="D4" s="170"/>
    </row>
    <row r="5" spans="1:20" ht="17.850000000000001" customHeight="1" thickBot="1" x14ac:dyDescent="0.35">
      <c r="B5" s="170"/>
      <c r="C5" s="170"/>
      <c r="D5" s="170"/>
      <c r="F5" s="187" t="s">
        <v>69</v>
      </c>
      <c r="G5" s="188"/>
      <c r="H5" s="188"/>
      <c r="I5" s="188"/>
      <c r="J5" s="189"/>
      <c r="K5" s="2"/>
      <c r="L5" s="2"/>
      <c r="M5" s="2"/>
      <c r="N5" s="2"/>
      <c r="O5" s="2"/>
      <c r="P5"/>
      <c r="Q5"/>
      <c r="R5"/>
      <c r="S5"/>
      <c r="T5" s="5"/>
    </row>
    <row r="6" spans="1:20" ht="17.850000000000001" customHeight="1" x14ac:dyDescent="0.3">
      <c r="F6" s="62"/>
      <c r="G6" s="36" t="s">
        <v>56</v>
      </c>
      <c r="H6" s="45"/>
      <c r="I6" s="36" t="s">
        <v>7</v>
      </c>
      <c r="J6" s="46"/>
      <c r="K6" s="1"/>
      <c r="L6" s="70"/>
      <c r="M6" s="70"/>
      <c r="N6" s="70"/>
      <c r="O6" s="71"/>
      <c r="P6"/>
      <c r="Q6"/>
      <c r="R6"/>
      <c r="S6"/>
      <c r="T6" s="5"/>
    </row>
    <row r="7" spans="1:20" ht="17.850000000000001" customHeight="1" x14ac:dyDescent="0.3">
      <c r="B7" s="173" t="s">
        <v>0</v>
      </c>
      <c r="C7" s="173"/>
      <c r="D7" s="173"/>
      <c r="F7" s="151" t="s">
        <v>204</v>
      </c>
      <c r="G7" s="121">
        <v>2200000</v>
      </c>
      <c r="H7" s="116" t="s">
        <v>37</v>
      </c>
      <c r="I7" s="117">
        <f>G7*from_Nm_to_lbfin</f>
        <v>12562.33</v>
      </c>
      <c r="J7" s="13" t="s">
        <v>38</v>
      </c>
      <c r="K7" s="2"/>
      <c r="L7" s="193" t="s">
        <v>202</v>
      </c>
      <c r="M7" s="193"/>
      <c r="N7" s="193"/>
      <c r="O7"/>
      <c r="P7"/>
      <c r="Q7"/>
      <c r="R7"/>
      <c r="S7"/>
    </row>
    <row r="8" spans="1:20" ht="17.850000000000001" customHeight="1" x14ac:dyDescent="0.3">
      <c r="F8" s="63"/>
      <c r="G8" s="115"/>
      <c r="H8" s="114"/>
      <c r="I8" s="115"/>
      <c r="J8" s="16"/>
      <c r="K8" s="1"/>
      <c r="L8" s="1"/>
      <c r="M8" s="1"/>
      <c r="N8" s="1"/>
      <c r="O8" s="2"/>
      <c r="P8"/>
      <c r="Q8"/>
      <c r="R8"/>
      <c r="S8"/>
    </row>
    <row r="9" spans="1:20" ht="17.850000000000001" customHeight="1" x14ac:dyDescent="0.3">
      <c r="C9" s="174" t="s">
        <v>2</v>
      </c>
      <c r="D9" s="174"/>
      <c r="F9" s="151" t="s">
        <v>205</v>
      </c>
      <c r="G9" s="121">
        <v>50000</v>
      </c>
      <c r="H9" s="116" t="s">
        <v>39</v>
      </c>
      <c r="I9" s="117">
        <f>G9*from_Nm_to_lbfin</f>
        <v>285.50749999999999</v>
      </c>
      <c r="J9" s="13" t="s">
        <v>40</v>
      </c>
      <c r="K9" s="2"/>
      <c r="L9" s="193" t="s">
        <v>203</v>
      </c>
      <c r="M9" s="193"/>
      <c r="N9" s="193"/>
      <c r="O9" s="2"/>
      <c r="P9"/>
      <c r="Q9"/>
      <c r="R9"/>
      <c r="S9"/>
    </row>
    <row r="10" spans="1:20" ht="17.850000000000001" customHeight="1" x14ac:dyDescent="0.3">
      <c r="C10" s="174"/>
      <c r="D10" s="174"/>
      <c r="F10" s="118"/>
      <c r="G10" s="115"/>
      <c r="H10" s="114"/>
      <c r="I10" s="115"/>
      <c r="J10" s="16"/>
      <c r="K10" s="1"/>
      <c r="L10" s="1"/>
      <c r="M10" s="1"/>
      <c r="N10" s="1"/>
      <c r="O10" s="2"/>
      <c r="P10"/>
      <c r="Q10"/>
      <c r="R10"/>
      <c r="S10"/>
    </row>
    <row r="11" spans="1:20" ht="17.850000000000001" customHeight="1" x14ac:dyDescent="0.3">
      <c r="F11" s="151" t="s">
        <v>210</v>
      </c>
      <c r="G11" s="120">
        <v>0.46899999999999997</v>
      </c>
      <c r="H11" s="116" t="s">
        <v>22</v>
      </c>
      <c r="I11" s="117">
        <f>G11*from_m_to_in</f>
        <v>18.464576900000001</v>
      </c>
      <c r="J11" s="13" t="s">
        <v>23</v>
      </c>
      <c r="K11"/>
      <c r="L11" s="193" t="s">
        <v>211</v>
      </c>
      <c r="M11" s="193"/>
      <c r="N11" s="193"/>
      <c r="O11"/>
      <c r="P11"/>
      <c r="Q11"/>
      <c r="R11"/>
      <c r="S11"/>
    </row>
    <row r="12" spans="1:20" ht="17.850000000000001" customHeight="1" x14ac:dyDescent="0.3">
      <c r="B12" s="173" t="s">
        <v>3</v>
      </c>
      <c r="C12" s="173"/>
      <c r="D12" s="173"/>
      <c r="F12" s="58"/>
      <c r="G12" s="141"/>
      <c r="H12" s="142"/>
      <c r="I12" s="141"/>
      <c r="J12" s="15"/>
      <c r="K12"/>
      <c r="L12"/>
      <c r="M12"/>
      <c r="N12"/>
      <c r="O12"/>
      <c r="P12"/>
      <c r="Q12"/>
      <c r="R12"/>
      <c r="S12"/>
    </row>
    <row r="13" spans="1:20" ht="17.850000000000001" customHeight="1" x14ac:dyDescent="0.3">
      <c r="F13" s="151" t="s">
        <v>252</v>
      </c>
      <c r="G13" s="120">
        <v>0.16200000000000001</v>
      </c>
      <c r="H13" s="116" t="s">
        <v>22</v>
      </c>
      <c r="I13" s="117">
        <f>G13*from_m_to_in</f>
        <v>6.3779562000000007</v>
      </c>
      <c r="J13" s="13" t="s">
        <v>23</v>
      </c>
      <c r="K13"/>
      <c r="L13" s="193" t="s">
        <v>253</v>
      </c>
      <c r="M13" s="193"/>
      <c r="N13" s="193"/>
      <c r="O13" s="193"/>
      <c r="P13" s="193"/>
      <c r="Q13" s="193"/>
      <c r="R13"/>
      <c r="S13"/>
    </row>
    <row r="14" spans="1:20" ht="17.850000000000001" customHeight="1" thickBot="1" x14ac:dyDescent="0.35">
      <c r="B14" s="173" t="s">
        <v>4</v>
      </c>
      <c r="C14" s="173"/>
      <c r="D14" s="173"/>
      <c r="F14" s="59"/>
      <c r="G14" s="39"/>
      <c r="H14" s="50"/>
      <c r="I14" s="39"/>
      <c r="J14" s="47"/>
      <c r="K14"/>
      <c r="L14"/>
      <c r="M14"/>
      <c r="N14"/>
      <c r="O14"/>
      <c r="P14"/>
      <c r="Q14"/>
      <c r="R14"/>
      <c r="S14"/>
    </row>
    <row r="15" spans="1:20" ht="17.850000000000001" customHeight="1" x14ac:dyDescent="0.3">
      <c r="A15" s="8"/>
      <c r="B15" s="176" t="s">
        <v>251</v>
      </c>
      <c r="C15" s="176"/>
      <c r="D15" s="176"/>
      <c r="F15" s="12"/>
      <c r="G15" s="38"/>
      <c r="H15" s="12"/>
      <c r="I15" s="38"/>
      <c r="J15" s="12"/>
      <c r="K15"/>
      <c r="L15"/>
      <c r="M15"/>
      <c r="N15"/>
      <c r="O15"/>
      <c r="P15"/>
      <c r="Q15"/>
      <c r="R15"/>
      <c r="S15"/>
    </row>
    <row r="16" spans="1:20" ht="17.850000000000001" customHeight="1" x14ac:dyDescent="0.3">
      <c r="A16" s="8"/>
      <c r="B16" s="176" t="s">
        <v>28</v>
      </c>
      <c r="C16" s="176"/>
      <c r="D16" s="176"/>
      <c r="F16" s="12"/>
      <c r="G16" s="38"/>
      <c r="H16" s="12"/>
      <c r="I16" s="38"/>
      <c r="J16" s="12"/>
      <c r="K16"/>
      <c r="L16"/>
      <c r="M16"/>
      <c r="N16"/>
      <c r="O16"/>
      <c r="P16"/>
      <c r="Q16"/>
      <c r="R16"/>
      <c r="S16"/>
    </row>
    <row r="17" spans="1:20" ht="17.850000000000001" customHeight="1" x14ac:dyDescent="0.3">
      <c r="A17" s="8"/>
      <c r="B17" s="176" t="s">
        <v>29</v>
      </c>
      <c r="C17" s="176"/>
      <c r="D17" s="176"/>
      <c r="F17" s="12"/>
      <c r="G17" s="38"/>
      <c r="H17" s="12"/>
      <c r="I17" s="38"/>
      <c r="J17" s="12"/>
      <c r="K17"/>
      <c r="L17"/>
      <c r="M17"/>
      <c r="N17"/>
      <c r="O17"/>
      <c r="P17"/>
      <c r="Q17"/>
      <c r="R17"/>
      <c r="S17"/>
    </row>
    <row r="18" spans="1:20" ht="17.850000000000001" customHeight="1" x14ac:dyDescent="0.3">
      <c r="A18" s="137" t="s">
        <v>31</v>
      </c>
      <c r="B18" s="176" t="s">
        <v>30</v>
      </c>
      <c r="C18" s="176"/>
      <c r="D18" s="176"/>
      <c r="F18" s="12"/>
      <c r="G18" s="38"/>
      <c r="H18" s="12"/>
      <c r="I18" s="38"/>
      <c r="J18" s="12"/>
      <c r="K18"/>
      <c r="L18"/>
      <c r="M18"/>
      <c r="N18"/>
      <c r="O18"/>
      <c r="P18"/>
      <c r="Q18"/>
      <c r="R18"/>
      <c r="S18"/>
    </row>
    <row r="19" spans="1:20" ht="17.850000000000001" customHeight="1" x14ac:dyDescent="0.3">
      <c r="A19" s="8"/>
      <c r="B19" s="176" t="s">
        <v>31</v>
      </c>
      <c r="C19" s="176"/>
      <c r="D19" s="176"/>
      <c r="F19" s="12"/>
      <c r="G19" s="38"/>
      <c r="H19" s="12"/>
      <c r="I19" s="38"/>
      <c r="J19" s="12"/>
      <c r="K19"/>
      <c r="L19"/>
      <c r="M19"/>
      <c r="N19"/>
      <c r="O19"/>
      <c r="P19"/>
      <c r="Q19"/>
      <c r="R19"/>
      <c r="S19"/>
    </row>
    <row r="20" spans="1:20" ht="17.850000000000001" customHeight="1" x14ac:dyDescent="0.3">
      <c r="A20" s="8"/>
      <c r="B20" s="176" t="s">
        <v>32</v>
      </c>
      <c r="C20" s="176"/>
      <c r="D20" s="176"/>
      <c r="F20" s="12"/>
      <c r="G20" s="38"/>
      <c r="H20" s="12"/>
      <c r="I20" s="38"/>
      <c r="J20" s="12"/>
      <c r="K20" s="2"/>
      <c r="L20" s="2"/>
      <c r="M20" s="2"/>
      <c r="N20" s="2"/>
      <c r="O20" s="2"/>
      <c r="P20" s="2"/>
      <c r="Q20" s="2"/>
      <c r="R20" s="2"/>
      <c r="S20"/>
    </row>
    <row r="21" spans="1:20" ht="17.850000000000001" customHeight="1" x14ac:dyDescent="0.3">
      <c r="A21" s="8"/>
      <c r="B21" s="192" t="s">
        <v>33</v>
      </c>
      <c r="C21" s="192"/>
      <c r="D21" s="192"/>
      <c r="F21" s="12"/>
      <c r="G21" s="38"/>
      <c r="H21" s="12"/>
      <c r="I21" s="38"/>
      <c r="J21" s="12"/>
      <c r="K21"/>
      <c r="L21"/>
      <c r="M21"/>
      <c r="N21"/>
      <c r="O21"/>
      <c r="P21"/>
      <c r="Q21"/>
      <c r="R21"/>
      <c r="S21"/>
    </row>
    <row r="22" spans="1:20" ht="17.850000000000001" customHeight="1" x14ac:dyDescent="0.3">
      <c r="B22" s="176" t="s">
        <v>34</v>
      </c>
      <c r="C22" s="176"/>
      <c r="D22" s="176"/>
      <c r="F22" s="12"/>
      <c r="G22" s="38"/>
      <c r="H22" s="12"/>
      <c r="I22" s="38"/>
      <c r="J22" s="12"/>
      <c r="K22"/>
      <c r="L22"/>
      <c r="M22"/>
      <c r="N22"/>
      <c r="O22"/>
      <c r="P22"/>
      <c r="Q22"/>
      <c r="R22"/>
      <c r="S22"/>
    </row>
    <row r="23" spans="1:20" ht="17.850000000000001" customHeight="1" x14ac:dyDescent="0.3">
      <c r="B23" s="176" t="s">
        <v>136</v>
      </c>
      <c r="C23" s="176"/>
      <c r="D23" s="176"/>
      <c r="F23" s="12"/>
      <c r="G23" s="38"/>
      <c r="H23" s="12"/>
      <c r="I23" s="38"/>
      <c r="J23" s="12"/>
      <c r="K23"/>
      <c r="L23"/>
      <c r="M23"/>
      <c r="N23"/>
      <c r="O23"/>
      <c r="P23"/>
      <c r="Q23"/>
      <c r="R23"/>
      <c r="S23"/>
    </row>
    <row r="24" spans="1:20" ht="17.850000000000001" customHeight="1" x14ac:dyDescent="0.3">
      <c r="B24" s="134"/>
      <c r="C24" s="134"/>
      <c r="D24" s="134"/>
      <c r="F24" s="12"/>
      <c r="G24" s="38"/>
      <c r="H24" s="12"/>
      <c r="I24" s="38"/>
      <c r="J24" s="12"/>
      <c r="K24"/>
      <c r="L24"/>
      <c r="M24"/>
      <c r="N24"/>
      <c r="O24"/>
      <c r="P24"/>
      <c r="Q24"/>
      <c r="R24"/>
      <c r="S24"/>
    </row>
    <row r="25" spans="1:20" ht="17.850000000000001" customHeight="1" x14ac:dyDescent="0.3">
      <c r="B25" s="172" t="s">
        <v>5</v>
      </c>
      <c r="C25" s="172"/>
      <c r="D25" s="172"/>
      <c r="F25" s="12"/>
      <c r="G25" s="38"/>
      <c r="H25" s="12"/>
      <c r="I25" s="38"/>
      <c r="J25" s="12"/>
      <c r="K25"/>
      <c r="L25"/>
      <c r="M25"/>
      <c r="N25"/>
      <c r="O25"/>
      <c r="P25"/>
      <c r="Q25"/>
      <c r="R25"/>
      <c r="S25"/>
    </row>
    <row r="26" spans="1:20" ht="17.850000000000001" customHeight="1" x14ac:dyDescent="0.3">
      <c r="F26" s="12"/>
      <c r="G26" s="38"/>
      <c r="H26" s="12"/>
      <c r="I26" s="38"/>
      <c r="J26" s="12"/>
      <c r="K26"/>
      <c r="L26"/>
      <c r="M26"/>
      <c r="N26"/>
      <c r="O26"/>
      <c r="P26"/>
      <c r="Q26"/>
      <c r="R26"/>
      <c r="S26"/>
    </row>
    <row r="27" spans="1:20" ht="17.850000000000001" customHeight="1" x14ac:dyDescent="0.3">
      <c r="F27" s="12"/>
      <c r="G27" s="38"/>
      <c r="H27" s="12"/>
      <c r="I27" s="38"/>
      <c r="J27" s="12"/>
      <c r="K27"/>
      <c r="L27"/>
      <c r="M27"/>
      <c r="N27"/>
      <c r="O27"/>
      <c r="P27"/>
      <c r="Q27"/>
      <c r="R27"/>
      <c r="S27"/>
    </row>
    <row r="28" spans="1:20" ht="17.850000000000001" customHeight="1" x14ac:dyDescent="0.3">
      <c r="F28" s="12"/>
      <c r="G28" s="38"/>
      <c r="H28" s="12"/>
      <c r="I28" s="38"/>
      <c r="J28" s="12"/>
      <c r="K28"/>
      <c r="L28"/>
      <c r="M28"/>
      <c r="N28"/>
      <c r="O28"/>
      <c r="P28"/>
      <c r="Q28"/>
      <c r="R28"/>
      <c r="S28"/>
    </row>
    <row r="29" spans="1:20" ht="17.850000000000001" customHeight="1" x14ac:dyDescent="0.3">
      <c r="F29" s="12"/>
      <c r="G29" s="38"/>
      <c r="H29" s="12"/>
      <c r="I29" s="38"/>
      <c r="J29" s="12"/>
      <c r="K29"/>
      <c r="L29"/>
      <c r="M29"/>
      <c r="N29"/>
      <c r="O29"/>
      <c r="P29"/>
      <c r="Q29"/>
      <c r="R29"/>
      <c r="S29"/>
    </row>
    <row r="30" spans="1:20" ht="17.850000000000001" customHeight="1" x14ac:dyDescent="0.3">
      <c r="F30" s="12"/>
      <c r="G30" s="38"/>
      <c r="H30" s="12"/>
      <c r="I30" s="38"/>
      <c r="J30" s="12"/>
      <c r="K30"/>
      <c r="L30"/>
      <c r="M30"/>
      <c r="N30"/>
      <c r="O30"/>
      <c r="P30"/>
      <c r="Q30"/>
      <c r="R30"/>
      <c r="S30"/>
    </row>
    <row r="31" spans="1:20" ht="17.850000000000001" customHeight="1" x14ac:dyDescent="0.3">
      <c r="F31" s="12"/>
      <c r="G31" s="38"/>
      <c r="H31" s="12"/>
      <c r="I31" s="38"/>
      <c r="J31" s="12"/>
      <c r="K31"/>
      <c r="L31"/>
      <c r="M31"/>
      <c r="N31"/>
      <c r="O31"/>
      <c r="P31"/>
      <c r="Q31"/>
      <c r="R31"/>
      <c r="S31"/>
      <c r="T31" s="5"/>
    </row>
    <row r="32" spans="1:20" ht="17.850000000000001" customHeight="1" x14ac:dyDescent="0.3">
      <c r="F32" s="12"/>
      <c r="G32" s="38"/>
      <c r="H32" s="12"/>
      <c r="I32" s="38"/>
      <c r="J32" s="12"/>
      <c r="K32"/>
      <c r="L32"/>
      <c r="M32"/>
      <c r="N32"/>
      <c r="O32"/>
      <c r="P32"/>
      <c r="Q32"/>
      <c r="R32"/>
      <c r="S32"/>
      <c r="T32" s="5"/>
    </row>
  </sheetData>
  <mergeCells count="21">
    <mergeCell ref="L7:N7"/>
    <mergeCell ref="L9:N9"/>
    <mergeCell ref="B16:D16"/>
    <mergeCell ref="B17:D17"/>
    <mergeCell ref="B19:D19"/>
    <mergeCell ref="B12:D12"/>
    <mergeCell ref="B14:D14"/>
    <mergeCell ref="B15:D15"/>
    <mergeCell ref="C9:D10"/>
    <mergeCell ref="L11:N11"/>
    <mergeCell ref="B18:D18"/>
    <mergeCell ref="L13:Q13"/>
    <mergeCell ref="B22:D22"/>
    <mergeCell ref="B23:D23"/>
    <mergeCell ref="B25:D25"/>
    <mergeCell ref="F3:J3"/>
    <mergeCell ref="B21:D21"/>
    <mergeCell ref="B20:D20"/>
    <mergeCell ref="B4:D5"/>
    <mergeCell ref="F5:J5"/>
    <mergeCell ref="B7:D7"/>
  </mergeCells>
  <hyperlinks>
    <hyperlink ref="B12:D12" location="RESULTS!A1" display="Results" xr:uid="{BC003428-D472-45C1-B39F-17E5F641D975}"/>
    <hyperlink ref="B7:D7" location="USAGE!A1" display="Usage" xr:uid="{7BAE8357-97F2-4797-9F63-71541E9BEC34}"/>
    <hyperlink ref="B14:D14" location="DASHBOARD!A1" display="DASHBOARD" xr:uid="{6DACE05A-D654-4302-A136-884881D0E1E7}"/>
    <hyperlink ref="A18:D18" location="'BODY 4'!A1" display="Swing Chassis" xr:uid="{09948EF2-D394-4102-B47A-BF0FB62BA141}"/>
    <hyperlink ref="B18:D18" location="'BODY 3'!A1" display="Rear Axle" xr:uid="{F77500E7-584E-4EC2-9DED-64E81D4E8543}"/>
    <hyperlink ref="B16:D16" location="'BODY 1'!A1" display="Drive Chassis" xr:uid="{EA19CB5F-4A9C-4000-997D-9D7B4151C1DA}"/>
    <hyperlink ref="B17:D17" location="'BODY 2'!A1" display="Front Axle" xr:uid="{1A9D3D24-BE2B-42CD-905A-CE5D68D6E8F5}"/>
    <hyperlink ref="B19:D19" location="'BODY 4'!A1" display="Swing Chassis" xr:uid="{BA28311F-AD94-42E7-BFAC-B1DEFDDE6E36}"/>
    <hyperlink ref="B21:D21" location="WHEELS!A1" display="Wheels" xr:uid="{C0230143-7C6E-4063-863E-5FE6FFF231CF}"/>
    <hyperlink ref="B15:D15" location="GENERIC!A1" display="Generic Parameters" xr:uid="{495CCCCB-398A-4C88-BE56-096B05A8E7D1}"/>
    <hyperlink ref="B22:D22" location="'OSCILLATE HC'!A1" display="Oscillate HC" xr:uid="{A488C522-AB55-4047-9471-8D8136CC405C}"/>
    <hyperlink ref="B23:D23" location="'BASE MOTION'!A1" display="Input (Base Motion)" xr:uid="{5120686E-3E12-4235-B14B-8ECB84A1D8DA}"/>
    <hyperlink ref="B20:D20" location="'BODY 5'!A1" display="Boom" xr:uid="{D04C40FA-A20E-4D24-BBE0-3A5BB7F614E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HIDE_TYRE_SCHEME">
                <anchor moveWithCells="1" sizeWithCells="1">
                  <from>
                    <xdr:col>10</xdr:col>
                    <xdr:colOff>695325</xdr:colOff>
                    <xdr:row>3</xdr:row>
                    <xdr:rowOff>114300</xdr:rowOff>
                  </from>
                  <to>
                    <xdr:col>13</xdr:col>
                    <xdr:colOff>647700</xdr:colOff>
                    <xdr:row>4</xdr:row>
                    <xdr:rowOff>219075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43CAA-BECF-448E-BC25-970E8BE3C9AD}">
  <sheetPr codeName="OSCILLATE"/>
  <dimension ref="A1:BO62"/>
  <sheetViews>
    <sheetView showGridLines="0" topLeftCell="B2" zoomScaleNormal="100" workbookViewId="0">
      <pane xSplit="3" topLeftCell="E1" activePane="topRight" state="frozen"/>
      <selection activeCell="B2" sqref="B2"/>
      <selection pane="topRight" activeCell="B21" sqref="B21:D21"/>
    </sheetView>
  </sheetViews>
  <sheetFormatPr defaultColWidth="10.28515625" defaultRowHeight="17.850000000000001" customHeight="1" x14ac:dyDescent="0.3"/>
  <cols>
    <col min="1" max="1" width="0" style="6" hidden="1" customWidth="1"/>
    <col min="2" max="4" width="10.28515625" style="7"/>
    <col min="5" max="5" width="10.28515625" style="6"/>
    <col min="6" max="6" width="10.7109375" style="44" customWidth="1"/>
    <col min="7" max="7" width="14.28515625" style="35" customWidth="1"/>
    <col min="8" max="8" width="14.28515625" style="44" customWidth="1"/>
    <col min="9" max="9" width="18.5703125" style="35" customWidth="1"/>
    <col min="10" max="10" width="19.28515625" style="44" customWidth="1"/>
    <col min="11" max="11" width="11.140625" style="6" bestFit="1" customWidth="1"/>
    <col min="12" max="12" width="10.28515625" style="6"/>
    <col min="13" max="13" width="18.28515625" style="6" bestFit="1" customWidth="1"/>
    <col min="14" max="14" width="10.28515625" style="6"/>
    <col min="15" max="15" width="9" style="6" bestFit="1" customWidth="1"/>
    <col min="16" max="16" width="9.85546875" style="6" bestFit="1" customWidth="1"/>
    <col min="17" max="17" width="12.85546875" style="6" bestFit="1" customWidth="1"/>
    <col min="18" max="18" width="13.5703125" style="6" bestFit="1" customWidth="1"/>
    <col min="19" max="19" width="15.5703125" style="6" bestFit="1" customWidth="1"/>
    <col min="20" max="16384" width="10.28515625" style="6"/>
  </cols>
  <sheetData>
    <row r="1" spans="1:67" ht="17.850000000000001" hidden="1" customHeight="1" x14ac:dyDescent="0.3"/>
    <row r="2" spans="1:67" ht="17.850000000000001" customHeight="1" x14ac:dyDescent="0.3">
      <c r="BO2" s="74"/>
    </row>
    <row r="3" spans="1:67" ht="32.25" thickBot="1" x14ac:dyDescent="0.55000000000000004">
      <c r="F3" s="194" t="s">
        <v>208</v>
      </c>
      <c r="G3" s="194"/>
      <c r="H3" s="194"/>
      <c r="I3" s="194"/>
      <c r="J3" s="194"/>
    </row>
    <row r="4" spans="1:67" ht="17.25" thickTop="1" thickBot="1" x14ac:dyDescent="0.35">
      <c r="B4" s="170" t="s">
        <v>1</v>
      </c>
      <c r="C4" s="170"/>
      <c r="D4" s="170"/>
    </row>
    <row r="5" spans="1:67" ht="17.850000000000001" customHeight="1" thickBot="1" x14ac:dyDescent="0.35">
      <c r="B5" s="170"/>
      <c r="C5" s="170"/>
      <c r="D5" s="170"/>
      <c r="F5" s="187" t="s">
        <v>70</v>
      </c>
      <c r="G5" s="188"/>
      <c r="H5" s="188"/>
      <c r="I5" s="188"/>
      <c r="J5" s="189"/>
      <c r="K5" s="83"/>
      <c r="L5" s="83"/>
      <c r="M5" s="2"/>
      <c r="N5" s="2"/>
      <c r="O5" s="2"/>
      <c r="P5" s="2"/>
      <c r="Q5" s="2"/>
      <c r="R5" s="2"/>
      <c r="S5"/>
      <c r="T5" s="5"/>
    </row>
    <row r="6" spans="1:67" ht="17.850000000000001" customHeight="1" x14ac:dyDescent="0.3">
      <c r="F6" s="56"/>
      <c r="G6" s="36" t="s">
        <v>56</v>
      </c>
      <c r="H6" s="45"/>
      <c r="I6" s="36" t="s">
        <v>7</v>
      </c>
      <c r="J6" s="22"/>
      <c r="K6" s="82"/>
      <c r="L6" s="82"/>
      <c r="M6" s="69"/>
      <c r="N6" s="69"/>
      <c r="O6" s="69"/>
      <c r="P6" s="69"/>
      <c r="Q6" s="69"/>
      <c r="R6" s="3"/>
      <c r="S6"/>
      <c r="T6" s="5"/>
    </row>
    <row r="7" spans="1:67" ht="17.850000000000001" customHeight="1" x14ac:dyDescent="0.3">
      <c r="B7" s="173" t="s">
        <v>0</v>
      </c>
      <c r="C7" s="173"/>
      <c r="D7" s="173"/>
      <c r="F7" s="53" t="s">
        <v>42</v>
      </c>
      <c r="G7" s="84">
        <v>1500</v>
      </c>
      <c r="H7" s="10" t="s">
        <v>43</v>
      </c>
      <c r="I7" s="41">
        <f>G7*from_MPa_to_psi</f>
        <v>217557.00000000003</v>
      </c>
      <c r="J7" s="13" t="s">
        <v>44</v>
      </c>
      <c r="K7" s="2"/>
      <c r="L7" s="193" t="s">
        <v>71</v>
      </c>
      <c r="M7" s="193"/>
      <c r="N7" s="193"/>
      <c r="O7" s="2"/>
      <c r="P7" s="2"/>
      <c r="Q7" s="2"/>
      <c r="R7" s="2"/>
      <c r="S7"/>
    </row>
    <row r="8" spans="1:67" ht="17.850000000000001" customHeight="1" x14ac:dyDescent="0.3">
      <c r="F8" s="54"/>
      <c r="G8" s="37"/>
      <c r="H8" s="11"/>
      <c r="I8" s="37"/>
      <c r="J8" s="13"/>
      <c r="K8" s="2"/>
      <c r="L8" s="2"/>
      <c r="M8" s="2"/>
      <c r="N8" s="2"/>
      <c r="O8" s="2"/>
      <c r="P8" s="2"/>
      <c r="Q8" s="2"/>
      <c r="R8" s="2"/>
      <c r="S8"/>
    </row>
    <row r="9" spans="1:67" ht="17.850000000000001" customHeight="1" x14ac:dyDescent="0.3">
      <c r="C9" s="174" t="s">
        <v>2</v>
      </c>
      <c r="D9" s="174"/>
      <c r="F9" s="57" t="s">
        <v>72</v>
      </c>
      <c r="G9" s="84">
        <v>50.012599999999999</v>
      </c>
      <c r="H9" s="10" t="s">
        <v>46</v>
      </c>
      <c r="I9" s="41">
        <f>G9/from_in_to_mm</f>
        <v>1.9690000000000001</v>
      </c>
      <c r="J9" s="14" t="s">
        <v>23</v>
      </c>
      <c r="K9" s="2"/>
      <c r="L9" s="193" t="s">
        <v>73</v>
      </c>
      <c r="M9" s="193"/>
      <c r="N9" s="193"/>
      <c r="O9"/>
      <c r="P9"/>
      <c r="Q9"/>
      <c r="R9"/>
      <c r="S9"/>
    </row>
    <row r="10" spans="1:67" ht="17.850000000000001" customHeight="1" x14ac:dyDescent="0.3">
      <c r="C10" s="174"/>
      <c r="D10" s="174"/>
      <c r="F10" s="54"/>
      <c r="G10" s="37"/>
      <c r="H10" s="11"/>
      <c r="I10" s="37"/>
      <c r="J10" s="13"/>
      <c r="K10" s="2"/>
      <c r="L10" s="1"/>
      <c r="M10" s="1"/>
      <c r="N10" s="1"/>
      <c r="O10"/>
      <c r="P10"/>
      <c r="Q10"/>
      <c r="R10"/>
      <c r="S10"/>
    </row>
    <row r="11" spans="1:67" ht="17.850000000000001" customHeight="1" x14ac:dyDescent="0.3">
      <c r="F11" s="57" t="s">
        <v>74</v>
      </c>
      <c r="G11" s="84">
        <v>100.051</v>
      </c>
      <c r="H11" s="10" t="s">
        <v>46</v>
      </c>
      <c r="I11" s="41">
        <f>G11/from_in_to_mm</f>
        <v>3.9390157480314962</v>
      </c>
      <c r="J11" s="14" t="s">
        <v>23</v>
      </c>
      <c r="K11" s="2"/>
      <c r="L11" s="193" t="s">
        <v>75</v>
      </c>
      <c r="M11" s="193"/>
      <c r="N11" s="193"/>
      <c r="O11"/>
      <c r="P11"/>
      <c r="Q11"/>
      <c r="R11"/>
      <c r="S11"/>
    </row>
    <row r="12" spans="1:67" ht="17.850000000000001" customHeight="1" x14ac:dyDescent="0.3">
      <c r="B12" s="173" t="s">
        <v>3</v>
      </c>
      <c r="C12" s="173"/>
      <c r="D12" s="173"/>
      <c r="F12" s="54"/>
      <c r="G12" s="37"/>
      <c r="H12" s="11"/>
      <c r="I12" s="37"/>
      <c r="J12" s="13"/>
      <c r="K12" s="2"/>
      <c r="L12" s="2"/>
      <c r="M12" s="2"/>
      <c r="N12" s="2"/>
      <c r="O12" s="2"/>
      <c r="P12" s="2"/>
      <c r="Q12"/>
      <c r="R12"/>
      <c r="S12"/>
    </row>
    <row r="13" spans="1:67" ht="17.850000000000001" customHeight="1" x14ac:dyDescent="0.3">
      <c r="F13" s="57" t="s">
        <v>76</v>
      </c>
      <c r="G13" s="84">
        <v>406.5016</v>
      </c>
      <c r="H13" s="10" t="s">
        <v>46</v>
      </c>
      <c r="I13" s="41">
        <f>G13/from_in_to_mm</f>
        <v>16.004000000000001</v>
      </c>
      <c r="J13" s="14" t="s">
        <v>23</v>
      </c>
      <c r="K13" s="2"/>
      <c r="L13" s="193" t="s">
        <v>77</v>
      </c>
      <c r="M13" s="193"/>
      <c r="N13" s="193"/>
      <c r="O13" s="193"/>
      <c r="P13" s="193"/>
      <c r="Q13"/>
      <c r="R13"/>
      <c r="S13"/>
    </row>
    <row r="14" spans="1:67" ht="17.850000000000001" customHeight="1" x14ac:dyDescent="0.3">
      <c r="B14" s="173" t="s">
        <v>4</v>
      </c>
      <c r="C14" s="173"/>
      <c r="D14" s="173"/>
      <c r="F14" s="54"/>
      <c r="G14" s="37"/>
      <c r="H14" s="11"/>
      <c r="I14" s="37"/>
      <c r="J14" s="13"/>
      <c r="K14" s="2"/>
      <c r="L14" s="2"/>
      <c r="M14" s="2"/>
      <c r="N14" s="2"/>
      <c r="O14" s="2"/>
      <c r="P14" s="2"/>
      <c r="Q14"/>
      <c r="R14"/>
      <c r="S14"/>
    </row>
    <row r="15" spans="1:67" ht="17.850000000000001" customHeight="1" x14ac:dyDescent="0.3">
      <c r="A15" s="8"/>
      <c r="B15" s="176" t="s">
        <v>251</v>
      </c>
      <c r="C15" s="176"/>
      <c r="D15" s="176"/>
      <c r="F15" s="54" t="s">
        <v>78</v>
      </c>
      <c r="G15" s="84">
        <v>88.9</v>
      </c>
      <c r="H15" s="11" t="s">
        <v>46</v>
      </c>
      <c r="I15" s="41">
        <f>G15/from_in_to_mm</f>
        <v>3.5000000000000004</v>
      </c>
      <c r="J15" s="14" t="s">
        <v>23</v>
      </c>
      <c r="K15" s="2"/>
      <c r="L15" s="193" t="s">
        <v>79</v>
      </c>
      <c r="M15" s="193"/>
      <c r="N15" s="193"/>
      <c r="O15" s="193"/>
      <c r="P15"/>
      <c r="Q15"/>
      <c r="R15"/>
      <c r="S15"/>
    </row>
    <row r="16" spans="1:67" ht="17.850000000000001" customHeight="1" x14ac:dyDescent="0.3">
      <c r="A16" s="8"/>
      <c r="B16" s="176" t="s">
        <v>28</v>
      </c>
      <c r="C16" s="176"/>
      <c r="D16" s="176"/>
      <c r="F16" s="54"/>
      <c r="G16" s="37"/>
      <c r="H16" s="11"/>
      <c r="I16" s="37"/>
      <c r="J16" s="13"/>
      <c r="K16" s="2"/>
      <c r="L16" s="2"/>
      <c r="M16" s="2"/>
      <c r="N16" s="2"/>
      <c r="O16" s="2"/>
      <c r="P16" s="2"/>
      <c r="Q16" s="2"/>
      <c r="R16" s="2"/>
      <c r="S16"/>
    </row>
    <row r="17" spans="1:19" ht="17.850000000000001" customHeight="1" x14ac:dyDescent="0.3">
      <c r="A17" s="8"/>
      <c r="B17" s="176" t="s">
        <v>29</v>
      </c>
      <c r="C17" s="176"/>
      <c r="D17" s="176"/>
      <c r="F17" s="54" t="s">
        <v>80</v>
      </c>
      <c r="G17" s="84">
        <v>469.9</v>
      </c>
      <c r="H17" s="11" t="s">
        <v>46</v>
      </c>
      <c r="I17" s="41">
        <f>G17/from_in_to_mm</f>
        <v>18.5</v>
      </c>
      <c r="J17" s="14" t="s">
        <v>23</v>
      </c>
      <c r="K17" s="2"/>
      <c r="L17" s="193" t="s">
        <v>155</v>
      </c>
      <c r="M17" s="193"/>
      <c r="N17" s="193"/>
      <c r="O17" s="193"/>
      <c r="P17" s="193"/>
      <c r="Q17" s="193"/>
      <c r="R17" s="193"/>
      <c r="S17"/>
    </row>
    <row r="18" spans="1:19" ht="17.850000000000001" customHeight="1" x14ac:dyDescent="0.3">
      <c r="A18" s="137" t="s">
        <v>31</v>
      </c>
      <c r="B18" s="176" t="s">
        <v>30</v>
      </c>
      <c r="C18" s="176"/>
      <c r="D18" s="176"/>
      <c r="F18" s="54"/>
      <c r="G18" s="37"/>
      <c r="H18" s="11"/>
      <c r="I18" s="37"/>
      <c r="J18" s="13"/>
      <c r="K18" s="2"/>
      <c r="L18" s="2"/>
      <c r="M18" s="2"/>
      <c r="N18" s="2"/>
      <c r="O18" s="2"/>
      <c r="P18" s="2"/>
      <c r="Q18" s="2"/>
      <c r="R18" s="2"/>
      <c r="S18"/>
    </row>
    <row r="19" spans="1:19" ht="17.850000000000001" customHeight="1" x14ac:dyDescent="0.3">
      <c r="A19" s="8"/>
      <c r="B19" s="176" t="s">
        <v>31</v>
      </c>
      <c r="C19" s="176"/>
      <c r="D19" s="176"/>
      <c r="F19" s="54" t="s">
        <v>81</v>
      </c>
      <c r="G19" s="84">
        <v>228.6</v>
      </c>
      <c r="H19" s="11" t="s">
        <v>46</v>
      </c>
      <c r="I19" s="41">
        <f>G19/from_in_to_mm</f>
        <v>9</v>
      </c>
      <c r="J19" s="14" t="s">
        <v>23</v>
      </c>
      <c r="K19" s="2"/>
      <c r="L19" s="193" t="s">
        <v>156</v>
      </c>
      <c r="M19" s="193"/>
      <c r="N19" s="193"/>
      <c r="O19" s="193"/>
      <c r="P19" s="193"/>
      <c r="Q19" s="193"/>
      <c r="R19" s="193"/>
      <c r="S19"/>
    </row>
    <row r="20" spans="1:19" ht="17.850000000000001" customHeight="1" x14ac:dyDescent="0.3">
      <c r="A20" s="8"/>
      <c r="B20" s="176" t="s">
        <v>32</v>
      </c>
      <c r="C20" s="176"/>
      <c r="D20" s="176"/>
      <c r="F20" s="55"/>
      <c r="G20" s="37"/>
      <c r="H20" s="11"/>
      <c r="I20" s="37"/>
      <c r="J20" s="13"/>
      <c r="K20" s="2"/>
      <c r="L20" s="2"/>
      <c r="M20" s="195"/>
      <c r="N20" s="195"/>
      <c r="O20" s="195"/>
      <c r="P20" s="2"/>
      <c r="Q20" s="2"/>
      <c r="R20" s="2"/>
      <c r="S20"/>
    </row>
    <row r="21" spans="1:19" ht="17.850000000000001" customHeight="1" x14ac:dyDescent="0.3">
      <c r="A21" s="8"/>
      <c r="B21" s="176" t="s">
        <v>33</v>
      </c>
      <c r="C21" s="176"/>
      <c r="D21" s="176"/>
      <c r="F21" s="54" t="s">
        <v>82</v>
      </c>
      <c r="G21" s="84">
        <v>221.23</v>
      </c>
      <c r="H21" s="11" t="s">
        <v>46</v>
      </c>
      <c r="I21" s="41">
        <f>G21/from_in_to_mm</f>
        <v>8.70984251968504</v>
      </c>
      <c r="J21" s="14" t="s">
        <v>23</v>
      </c>
      <c r="K21"/>
      <c r="L21" s="193" t="s">
        <v>157</v>
      </c>
      <c r="M21" s="193"/>
      <c r="N21" s="193"/>
      <c r="O21" s="193"/>
      <c r="P21" s="193"/>
      <c r="Q21" s="193"/>
      <c r="R21" s="193"/>
      <c r="S21"/>
    </row>
    <row r="22" spans="1:19" ht="17.850000000000001" customHeight="1" x14ac:dyDescent="0.3">
      <c r="B22" s="192" t="s">
        <v>34</v>
      </c>
      <c r="C22" s="192"/>
      <c r="D22" s="192"/>
      <c r="F22" s="58"/>
      <c r="G22" s="38"/>
      <c r="H22" s="12"/>
      <c r="I22" s="38"/>
      <c r="J22" s="15"/>
      <c r="K22"/>
      <c r="L22"/>
      <c r="M22"/>
      <c r="N22"/>
      <c r="O22"/>
      <c r="P22"/>
      <c r="Q22"/>
      <c r="R22"/>
      <c r="S22"/>
    </row>
    <row r="23" spans="1:19" ht="17.850000000000001" customHeight="1" x14ac:dyDescent="0.3">
      <c r="B23" s="176" t="s">
        <v>136</v>
      </c>
      <c r="C23" s="176"/>
      <c r="D23" s="176"/>
      <c r="F23" s="54" t="s">
        <v>83</v>
      </c>
      <c r="G23" s="84">
        <v>495.3</v>
      </c>
      <c r="H23" s="11" t="s">
        <v>46</v>
      </c>
      <c r="I23" s="41">
        <f>G23/from_in_to_mm</f>
        <v>19.5</v>
      </c>
      <c r="J23" s="14" t="s">
        <v>23</v>
      </c>
      <c r="K23"/>
      <c r="L23" s="193" t="s">
        <v>158</v>
      </c>
      <c r="M23" s="193"/>
      <c r="N23" s="193"/>
      <c r="O23" s="193"/>
      <c r="P23" s="193"/>
      <c r="Q23" s="193"/>
      <c r="R23" s="193"/>
      <c r="S23"/>
    </row>
    <row r="24" spans="1:19" ht="17.850000000000001" customHeight="1" x14ac:dyDescent="0.3">
      <c r="B24" s="134"/>
      <c r="C24" s="134"/>
      <c r="D24" s="134"/>
      <c r="F24" s="58"/>
      <c r="G24" s="38"/>
      <c r="H24" s="12"/>
      <c r="I24" s="38"/>
      <c r="J24" s="15"/>
      <c r="K24"/>
      <c r="L24"/>
      <c r="M24"/>
      <c r="N24"/>
      <c r="O24"/>
      <c r="P24"/>
      <c r="Q24"/>
      <c r="R24"/>
      <c r="S24"/>
    </row>
    <row r="25" spans="1:19" ht="17.850000000000001" customHeight="1" x14ac:dyDescent="0.3">
      <c r="B25" s="172" t="s">
        <v>5</v>
      </c>
      <c r="C25" s="172"/>
      <c r="D25" s="172"/>
      <c r="F25" s="53" t="s">
        <v>54</v>
      </c>
      <c r="G25" s="84">
        <v>0</v>
      </c>
      <c r="H25" s="11" t="s">
        <v>84</v>
      </c>
      <c r="I25" s="41">
        <f>G25</f>
        <v>0</v>
      </c>
      <c r="J25" s="14" t="s">
        <v>84</v>
      </c>
      <c r="K25"/>
      <c r="L25" s="193" t="s">
        <v>85</v>
      </c>
      <c r="M25" s="193"/>
      <c r="N25" s="193"/>
      <c r="O25" s="193"/>
      <c r="P25" s="193"/>
      <c r="Q25" s="193"/>
      <c r="R25"/>
      <c r="S25"/>
    </row>
    <row r="26" spans="1:19" ht="17.850000000000001" customHeight="1" thickBot="1" x14ac:dyDescent="0.35">
      <c r="F26" s="59"/>
      <c r="G26" s="39"/>
      <c r="H26" s="50"/>
      <c r="I26" s="39"/>
      <c r="J26" s="47"/>
      <c r="K26"/>
      <c r="L26"/>
      <c r="M26"/>
      <c r="N26"/>
      <c r="O26"/>
      <c r="P26"/>
      <c r="Q26"/>
      <c r="R26"/>
      <c r="S26"/>
    </row>
    <row r="27" spans="1:19" ht="17.850000000000001" customHeight="1" x14ac:dyDescent="0.3">
      <c r="F27" s="12"/>
      <c r="G27" s="38"/>
      <c r="H27" s="12"/>
      <c r="I27" s="38"/>
      <c r="J27" s="12"/>
      <c r="K27"/>
      <c r="L27"/>
      <c r="M27"/>
      <c r="N27"/>
      <c r="O27"/>
      <c r="P27"/>
      <c r="Q27"/>
      <c r="R27"/>
      <c r="S27"/>
    </row>
    <row r="28" spans="1:19" ht="17.850000000000001" customHeight="1" thickBot="1" x14ac:dyDescent="0.35">
      <c r="F28" s="12"/>
      <c r="G28" s="38"/>
      <c r="H28" s="12"/>
      <c r="I28" s="38"/>
      <c r="J28" s="12"/>
      <c r="K28" s="33"/>
      <c r="L28"/>
      <c r="M28"/>
      <c r="N28"/>
      <c r="O28"/>
      <c r="P28"/>
      <c r="Q28"/>
      <c r="R28"/>
      <c r="S28"/>
    </row>
    <row r="29" spans="1:19" ht="17.850000000000001" customHeight="1" thickBot="1" x14ac:dyDescent="0.35">
      <c r="F29" s="187" t="s">
        <v>160</v>
      </c>
      <c r="G29" s="188"/>
      <c r="H29" s="188"/>
      <c r="I29" s="188"/>
      <c r="J29" s="189"/>
      <c r="K29"/>
      <c r="L29"/>
      <c r="M29"/>
      <c r="N29"/>
      <c r="O29"/>
      <c r="P29"/>
      <c r="Q29"/>
      <c r="R29"/>
      <c r="S29"/>
    </row>
    <row r="30" spans="1:19" ht="17.850000000000001" customHeight="1" x14ac:dyDescent="0.3">
      <c r="F30" s="60"/>
      <c r="G30" s="40"/>
      <c r="H30" s="51"/>
      <c r="I30" s="40"/>
      <c r="J30" s="48"/>
      <c r="K30"/>
      <c r="L30"/>
      <c r="M30"/>
      <c r="N30"/>
      <c r="O30"/>
      <c r="P30"/>
      <c r="Q30"/>
      <c r="R30"/>
      <c r="S30"/>
    </row>
    <row r="31" spans="1:19" ht="17.850000000000001" customHeight="1" x14ac:dyDescent="0.3">
      <c r="F31" s="54" t="s">
        <v>119</v>
      </c>
      <c r="G31" s="41">
        <f>SQRT(oscillate_length_l1^2+oscillate_length_l2^2)</f>
        <v>522.55523153060096</v>
      </c>
      <c r="H31" s="21" t="s">
        <v>46</v>
      </c>
      <c r="I31" s="41">
        <f>oscillate_length_a/from_in_to_mm</f>
        <v>20.573040611440984</v>
      </c>
      <c r="J31" s="13" t="s">
        <v>23</v>
      </c>
      <c r="K31"/>
      <c r="L31" s="193" t="s">
        <v>123</v>
      </c>
      <c r="M31" s="193"/>
      <c r="N31"/>
      <c r="O31"/>
      <c r="P31"/>
      <c r="Q31"/>
      <c r="R31"/>
      <c r="S31"/>
    </row>
    <row r="32" spans="1:19" ht="17.850000000000001" customHeight="1" x14ac:dyDescent="0.3">
      <c r="F32" s="57"/>
      <c r="J32" s="13"/>
      <c r="K32"/>
      <c r="Q32"/>
      <c r="R32"/>
      <c r="S32"/>
    </row>
    <row r="33" spans="3:20" ht="17.850000000000001" customHeight="1" x14ac:dyDescent="0.3">
      <c r="F33" s="54" t="s">
        <v>120</v>
      </c>
      <c r="G33" s="41">
        <f>SQRT(oscillate_length_l3^2+oscillate_length_l4^2)</f>
        <v>542.46179856281128</v>
      </c>
      <c r="H33" s="21" t="s">
        <v>46</v>
      </c>
      <c r="I33" s="41">
        <f>oscillate_length_b/from_in_to_mm</f>
        <v>21.356763722945328</v>
      </c>
      <c r="J33" s="13" t="s">
        <v>23</v>
      </c>
      <c r="K33"/>
      <c r="L33" s="193" t="s">
        <v>124</v>
      </c>
      <c r="M33" s="193"/>
      <c r="Q33"/>
      <c r="R33"/>
      <c r="S33"/>
    </row>
    <row r="34" spans="3:20" ht="17.850000000000001" customHeight="1" x14ac:dyDescent="0.3">
      <c r="F34" s="58"/>
      <c r="G34" s="38"/>
      <c r="H34" s="12"/>
      <c r="I34" s="38"/>
      <c r="J34" s="13"/>
      <c r="K34"/>
      <c r="Q34"/>
      <c r="R34"/>
      <c r="S34"/>
    </row>
    <row r="35" spans="3:20" ht="17.850000000000001" customHeight="1" x14ac:dyDescent="0.3">
      <c r="F35" s="54" t="s">
        <v>121</v>
      </c>
      <c r="G35" s="41">
        <f xml:space="preserve"> oscillate_length_a</f>
        <v>522.55523153060096</v>
      </c>
      <c r="H35" s="21" t="s">
        <v>46</v>
      </c>
      <c r="I35" s="41">
        <f>oscillate_length_c/from_in_to_mm</f>
        <v>20.573040611440984</v>
      </c>
      <c r="J35" s="13" t="s">
        <v>23</v>
      </c>
      <c r="K35"/>
      <c r="L35" s="193" t="s">
        <v>125</v>
      </c>
      <c r="M35" s="193"/>
      <c r="Q35"/>
      <c r="R35"/>
      <c r="S35"/>
    </row>
    <row r="36" spans="3:20" ht="17.850000000000001" customHeight="1" x14ac:dyDescent="0.3">
      <c r="F36" s="58"/>
      <c r="G36" s="38"/>
      <c r="H36" s="12"/>
      <c r="I36" s="38"/>
      <c r="J36" s="13"/>
      <c r="K36"/>
      <c r="Q36"/>
      <c r="R36"/>
      <c r="S36"/>
    </row>
    <row r="37" spans="3:20" ht="17.850000000000001" customHeight="1" x14ac:dyDescent="0.3">
      <c r="F37" s="54" t="s">
        <v>122</v>
      </c>
      <c r="G37" s="41">
        <f>oscillate_length_b</f>
        <v>542.46179856281128</v>
      </c>
      <c r="H37" s="21" t="s">
        <v>46</v>
      </c>
      <c r="I37" s="41">
        <f>oscillate_length_d/from_in_to_mm</f>
        <v>21.356763722945328</v>
      </c>
      <c r="J37" s="13" t="s">
        <v>23</v>
      </c>
      <c r="K37"/>
      <c r="L37" s="193" t="s">
        <v>126</v>
      </c>
      <c r="M37" s="193"/>
      <c r="N37"/>
      <c r="O37"/>
      <c r="P37"/>
      <c r="Q37"/>
      <c r="R37"/>
      <c r="S37"/>
    </row>
    <row r="38" spans="3:20" ht="17.850000000000001" customHeight="1" x14ac:dyDescent="0.3">
      <c r="F38" s="57"/>
      <c r="G38" s="38"/>
      <c r="H38" s="12"/>
      <c r="I38" s="38"/>
      <c r="J38" s="13"/>
      <c r="R38"/>
      <c r="S38"/>
      <c r="T38" s="5"/>
    </row>
    <row r="39" spans="3:20" ht="17.850000000000001" customHeight="1" x14ac:dyDescent="0.3">
      <c r="F39" s="54" t="s">
        <v>86</v>
      </c>
      <c r="G39" s="41">
        <f>PI()*(oscillate_od_rod^2)/4</f>
        <v>1964.4851348693137</v>
      </c>
      <c r="H39" s="21" t="s">
        <v>87</v>
      </c>
      <c r="I39" s="41">
        <f>oscillate_section_rod/(from_in_to_mm)^2</f>
        <v>3.0449580489635344</v>
      </c>
      <c r="J39" s="13" t="s">
        <v>88</v>
      </c>
      <c r="L39" s="193" t="s">
        <v>89</v>
      </c>
      <c r="M39" s="193"/>
      <c r="R39"/>
      <c r="S39"/>
      <c r="T39" s="5"/>
    </row>
    <row r="40" spans="3:20" ht="17.850000000000001" customHeight="1" x14ac:dyDescent="0.3">
      <c r="C40" s="152"/>
      <c r="F40" s="57"/>
      <c r="G40" s="38"/>
      <c r="H40" s="21"/>
      <c r="I40" s="38"/>
      <c r="J40" s="13"/>
    </row>
    <row r="41" spans="3:20" ht="17.850000000000001" customHeight="1" x14ac:dyDescent="0.3">
      <c r="F41" s="54" t="s">
        <v>90</v>
      </c>
      <c r="G41" s="41">
        <f>PI()*(oscillate_id_barrel^2)/4</f>
        <v>7861.9947380617605</v>
      </c>
      <c r="H41" s="21" t="s">
        <v>87</v>
      </c>
      <c r="I41" s="41">
        <f>oscillate_section_barrel/(from_in_to_mm)^2</f>
        <v>12.186116216228163</v>
      </c>
      <c r="J41" s="13" t="s">
        <v>88</v>
      </c>
      <c r="L41" s="193" t="s">
        <v>91</v>
      </c>
      <c r="M41" s="193"/>
    </row>
    <row r="42" spans="3:20" ht="17.850000000000001" customHeight="1" x14ac:dyDescent="0.3">
      <c r="F42" s="57"/>
      <c r="H42" s="21"/>
      <c r="J42" s="13"/>
    </row>
    <row r="43" spans="3:20" ht="17.850000000000001" customHeight="1" x14ac:dyDescent="0.3">
      <c r="F43" s="54" t="s">
        <v>92</v>
      </c>
      <c r="G43" s="41">
        <f>oscillate_section_barrel-oscillate_section_rod</f>
        <v>5897.5096031924468</v>
      </c>
      <c r="H43" s="21" t="s">
        <v>87</v>
      </c>
      <c r="I43" s="41">
        <f>oscillate_section_annulus/(from_in_to_mm)^2</f>
        <v>9.1411581672646278</v>
      </c>
      <c r="J43" s="13" t="s">
        <v>88</v>
      </c>
      <c r="L43" s="193" t="s">
        <v>93</v>
      </c>
      <c r="M43" s="193"/>
    </row>
    <row r="44" spans="3:20" ht="17.850000000000001" customHeight="1" x14ac:dyDescent="0.3">
      <c r="F44" s="57"/>
      <c r="G44" s="38"/>
      <c r="H44" s="21"/>
      <c r="I44" s="38"/>
      <c r="J44" s="13"/>
    </row>
    <row r="45" spans="3:20" ht="17.850000000000001" customHeight="1" x14ac:dyDescent="0.3">
      <c r="F45" s="54" t="s">
        <v>94</v>
      </c>
      <c r="G45" s="41">
        <f>SQRT((oscillate_length_l2+oscillate_length_l3)^2 + (oscillate_length_l4-oscillate_length_l1)^2)</f>
        <v>450.54654465437864</v>
      </c>
      <c r="H45" s="21" t="s">
        <v>46</v>
      </c>
      <c r="I45" s="41">
        <f>oscillate_length_initial/from_in_to_mm</f>
        <v>17.738052939148766</v>
      </c>
      <c r="J45" s="13" t="s">
        <v>23</v>
      </c>
      <c r="L45" s="193" t="s">
        <v>95</v>
      </c>
      <c r="M45" s="193"/>
      <c r="N45" s="193"/>
    </row>
    <row r="46" spans="3:20" ht="17.850000000000001" customHeight="1" x14ac:dyDescent="0.3">
      <c r="F46" s="57"/>
      <c r="H46" s="21"/>
      <c r="J46" s="13"/>
    </row>
    <row r="47" spans="3:20" ht="17.850000000000001" customHeight="1" x14ac:dyDescent="0.3">
      <c r="F47" s="57" t="s">
        <v>96</v>
      </c>
      <c r="G47" s="41" cm="1">
        <f t="array" ref="G47">oscillate_length_initial-oscillate_length_closed</f>
        <v>44.044944654378639</v>
      </c>
      <c r="H47" s="21" t="s">
        <v>46</v>
      </c>
      <c r="I47" s="41">
        <f>oscillate_stroke_initial/from_in_to_mm</f>
        <v>1.7340529391487653</v>
      </c>
      <c r="J47" s="13" t="s">
        <v>23</v>
      </c>
      <c r="L47" s="193" t="s">
        <v>97</v>
      </c>
      <c r="M47" s="193"/>
      <c r="N47" s="193"/>
    </row>
    <row r="48" spans="3:20" ht="17.850000000000001" customHeight="1" x14ac:dyDescent="0.3">
      <c r="F48" s="57"/>
      <c r="H48" s="21"/>
      <c r="J48" s="13"/>
    </row>
    <row r="49" spans="6:19" ht="17.850000000000001" customHeight="1" x14ac:dyDescent="0.3">
      <c r="F49" s="57" t="s">
        <v>98</v>
      </c>
      <c r="G49" s="41">
        <f>oscillate_section_barrel*oscillate_stroke_initial*(2/100)</f>
        <v>6925.6224622189266</v>
      </c>
      <c r="H49" s="21" t="s">
        <v>99</v>
      </c>
      <c r="I49" s="41">
        <f>oscillate_V_10/(from_in_to_mm)^3</f>
        <v>0.4226274128311775</v>
      </c>
      <c r="J49" s="13" t="s">
        <v>100</v>
      </c>
      <c r="L49" s="193" t="s">
        <v>101</v>
      </c>
      <c r="M49" s="193"/>
      <c r="N49" s="193"/>
      <c r="O49" s="193"/>
    </row>
    <row r="50" spans="6:19" ht="17.850000000000001" customHeight="1" x14ac:dyDescent="0.3">
      <c r="F50" s="57"/>
      <c r="H50" s="21"/>
      <c r="J50" s="13"/>
    </row>
    <row r="51" spans="6:19" ht="17.850000000000001" customHeight="1" x14ac:dyDescent="0.3">
      <c r="F51" s="57" t="s">
        <v>102</v>
      </c>
      <c r="G51" s="41">
        <f>oscillate_section_annulus*((oscillate_stroke - oscillate_stroke_initial)*(2/100))</f>
        <v>5290.6623930506148</v>
      </c>
      <c r="H51" s="21" t="s">
        <v>99</v>
      </c>
      <c r="I51" s="41">
        <f>oscillate_V_20/(from_in_to_mm)^3</f>
        <v>0.32285602796514468</v>
      </c>
      <c r="J51" s="13" t="s">
        <v>100</v>
      </c>
      <c r="L51" s="193" t="s">
        <v>103</v>
      </c>
      <c r="M51" s="193"/>
      <c r="N51" s="193"/>
      <c r="O51" s="193"/>
    </row>
    <row r="52" spans="6:19" ht="17.850000000000001" customHeight="1" x14ac:dyDescent="0.3">
      <c r="F52" s="57"/>
      <c r="G52" s="38"/>
      <c r="H52" s="21"/>
      <c r="I52" s="38"/>
      <c r="J52" s="15"/>
      <c r="K52"/>
      <c r="L52"/>
      <c r="M52"/>
      <c r="N52"/>
      <c r="O52"/>
      <c r="P52"/>
      <c r="Q52"/>
    </row>
    <row r="53" spans="6:19" ht="17.850000000000001" customHeight="1" x14ac:dyDescent="0.3">
      <c r="F53" s="54" t="s">
        <v>104</v>
      </c>
      <c r="G53" s="123">
        <f>oscillate_bulk_modulus*(oscillate_section_annulus/((oscillate_stroke-oscillate_stroke_initial)+(oscillate_V_20/oscillate_section_annulus)))*10^(3)</f>
        <v>193351856.84561884</v>
      </c>
      <c r="H53" s="21" t="s">
        <v>37</v>
      </c>
      <c r="I53" s="41">
        <f>oscillate_kt*from_Nm_to_lbfin</f>
        <v>1104068.1053670105</v>
      </c>
      <c r="J53" s="13" t="s">
        <v>38</v>
      </c>
      <c r="L53" s="193" t="s">
        <v>105</v>
      </c>
      <c r="M53" s="193"/>
      <c r="N53" s="193"/>
      <c r="O53" s="193"/>
      <c r="P53" s="193"/>
      <c r="Q53" s="193"/>
      <c r="S53" s="150"/>
    </row>
    <row r="54" spans="6:19" ht="17.850000000000001" customHeight="1" x14ac:dyDescent="0.3">
      <c r="F54" s="57"/>
      <c r="G54" s="38"/>
      <c r="H54" s="21"/>
      <c r="I54" s="38"/>
      <c r="J54" s="15"/>
      <c r="O54"/>
      <c r="P54"/>
      <c r="Q54"/>
    </row>
    <row r="55" spans="6:19" ht="17.850000000000001" customHeight="1" x14ac:dyDescent="0.3">
      <c r="F55" s="54" t="s">
        <v>106</v>
      </c>
      <c r="G55" s="123">
        <f>oscillate_bulk_modulus*(oscillate_section_barrel/(oscillate_stroke_initial+(oscillate_V_10/oscillate_section_barrel)))*10^(3)</f>
        <v>262499069.04102543</v>
      </c>
      <c r="H55" s="21" t="s">
        <v>37</v>
      </c>
      <c r="I55" s="41">
        <f>oscillate_kc*from_Nm_to_lbfin</f>
        <v>1498909.0590846112</v>
      </c>
      <c r="J55" s="13" t="s">
        <v>38</v>
      </c>
      <c r="L55" s="193" t="s">
        <v>107</v>
      </c>
      <c r="M55" s="193"/>
      <c r="N55" s="193"/>
      <c r="O55" s="193"/>
      <c r="P55" s="193"/>
      <c r="Q55" s="193"/>
      <c r="S55" s="150"/>
    </row>
    <row r="56" spans="6:19" ht="17.850000000000001" customHeight="1" x14ac:dyDescent="0.3">
      <c r="F56" s="54"/>
      <c r="G56" s="42"/>
      <c r="H56" s="21"/>
      <c r="I56" s="42"/>
      <c r="J56" s="13"/>
      <c r="L56" s="34"/>
      <c r="M56" s="34"/>
      <c r="N56" s="34"/>
      <c r="O56" s="34"/>
      <c r="P56" s="34"/>
      <c r="Q56" s="34"/>
    </row>
    <row r="57" spans="6:19" ht="17.850000000000001" customHeight="1" x14ac:dyDescent="0.3">
      <c r="F57" s="54" t="s">
        <v>130</v>
      </c>
      <c r="G57" s="41">
        <f>ASIN((oscillate_length_initial^2-oscillate_length_a^2-oscillate_length_b^2)/(-2*oscillate_length_a*oscillate_length_b))</f>
        <v>0.69794611929334005</v>
      </c>
      <c r="H57" s="21" t="s">
        <v>129</v>
      </c>
      <c r="I57" s="41">
        <f>oscillate_chi0</f>
        <v>0.69794611929334005</v>
      </c>
      <c r="J57" s="13" t="s">
        <v>129</v>
      </c>
      <c r="L57" s="193" t="s">
        <v>131</v>
      </c>
      <c r="M57" s="193"/>
      <c r="N57" s="193"/>
      <c r="O57" s="193"/>
      <c r="P57" s="193"/>
      <c r="Q57" s="193"/>
    </row>
    <row r="58" spans="6:19" ht="17.850000000000001" customHeight="1" x14ac:dyDescent="0.3">
      <c r="F58" s="57"/>
      <c r="H58" s="21"/>
      <c r="J58" s="32"/>
    </row>
    <row r="59" spans="6:19" ht="17.850000000000001" customHeight="1" x14ac:dyDescent="0.3">
      <c r="F59" s="54" t="s">
        <v>127</v>
      </c>
      <c r="G59" s="123">
        <f>(oscillate_kt+oscillate_kc)*(((oscillate_length_a*10^(-3))^2*(oscillate_length_b*10^(-3))^2*SIN(oscillate_chi0)^2)/((oscillate_length_a*10^(-3))^2+(oscillate_length_b*10^(-3))^2-(2*(oscillate_length_a*10^(-3))*(oscillate_length_b*10^(-3))*COS(oscillate_chi0))))</f>
        <v>113770305.44743228</v>
      </c>
      <c r="H59" s="21" t="s">
        <v>132</v>
      </c>
      <c r="I59" s="41">
        <f>(oscillate_k12xx*from_N_to_lbf)*from_m_to_in</f>
        <v>1006912538.4010904</v>
      </c>
      <c r="J59" s="13" t="s">
        <v>133</v>
      </c>
      <c r="K59"/>
      <c r="L59" s="196" t="s">
        <v>108</v>
      </c>
      <c r="M59" s="196"/>
      <c r="N59" s="196"/>
    </row>
    <row r="60" spans="6:19" ht="17.850000000000001" customHeight="1" x14ac:dyDescent="0.3">
      <c r="F60" s="57"/>
      <c r="G60" s="38"/>
      <c r="H60" s="21"/>
      <c r="I60" s="38"/>
      <c r="J60" s="15"/>
      <c r="K60"/>
      <c r="L60"/>
      <c r="M60"/>
      <c r="N60"/>
    </row>
    <row r="61" spans="6:19" ht="17.850000000000001" customHeight="1" x14ac:dyDescent="0.3">
      <c r="F61" s="54" t="s">
        <v>128</v>
      </c>
      <c r="G61" s="123">
        <f>2*oscillate_csi*SQRT(oscillate_k12xx*((drive_chassis_Ixx+(drive_chassis_mass*(drive_chassis_yg^2+drive_chassis_zg^2)))+(swing_chassis_Ixx+(swing_chassis_mass*(swing_chassis_yg^2+swing_chassis_zg^2)))+(boom_Ixx+(boom_mass*(boom_yg^2+boom_zg^2)))))</f>
        <v>0</v>
      </c>
      <c r="H61" s="11" t="s">
        <v>134</v>
      </c>
      <c r="I61" s="41">
        <f>oscillate_c12xx*from_N_to_lbf*from_m_to_in</f>
        <v>0</v>
      </c>
      <c r="J61" s="13" t="s">
        <v>135</v>
      </c>
      <c r="L61" s="193" t="s">
        <v>109</v>
      </c>
      <c r="M61" s="193"/>
      <c r="N61" s="193"/>
    </row>
    <row r="62" spans="6:19" ht="17.850000000000001" customHeight="1" thickBot="1" x14ac:dyDescent="0.35">
      <c r="F62" s="61"/>
      <c r="G62" s="43"/>
      <c r="H62" s="52"/>
      <c r="I62" s="43"/>
      <c r="J62" s="49"/>
    </row>
  </sheetData>
  <mergeCells count="45">
    <mergeCell ref="L61:N61"/>
    <mergeCell ref="L53:Q53"/>
    <mergeCell ref="L55:Q55"/>
    <mergeCell ref="F29:J29"/>
    <mergeCell ref="L25:Q25"/>
    <mergeCell ref="L59:N59"/>
    <mergeCell ref="L51:O51"/>
    <mergeCell ref="L49:O49"/>
    <mergeCell ref="L47:N47"/>
    <mergeCell ref="L45:N45"/>
    <mergeCell ref="L43:M43"/>
    <mergeCell ref="L41:M41"/>
    <mergeCell ref="L39:M39"/>
    <mergeCell ref="L37:M37"/>
    <mergeCell ref="L35:M35"/>
    <mergeCell ref="L31:M31"/>
    <mergeCell ref="L33:M33"/>
    <mergeCell ref="F3:J3"/>
    <mergeCell ref="L57:Q57"/>
    <mergeCell ref="B21:D21"/>
    <mergeCell ref="B12:D12"/>
    <mergeCell ref="B14:D14"/>
    <mergeCell ref="B15:D15"/>
    <mergeCell ref="B16:D16"/>
    <mergeCell ref="B17:D17"/>
    <mergeCell ref="B4:D5"/>
    <mergeCell ref="B7:D7"/>
    <mergeCell ref="C9:D10"/>
    <mergeCell ref="B19:D19"/>
    <mergeCell ref="F5:J5"/>
    <mergeCell ref="B25:D25"/>
    <mergeCell ref="L17:R17"/>
    <mergeCell ref="L7:N7"/>
    <mergeCell ref="L9:N9"/>
    <mergeCell ref="L11:N11"/>
    <mergeCell ref="L13:P13"/>
    <mergeCell ref="L15:O15"/>
    <mergeCell ref="B22:D22"/>
    <mergeCell ref="B18:D18"/>
    <mergeCell ref="B20:D20"/>
    <mergeCell ref="B23:D23"/>
    <mergeCell ref="M20:O20"/>
    <mergeCell ref="L19:R19"/>
    <mergeCell ref="L21:R21"/>
    <mergeCell ref="L23:R23"/>
  </mergeCells>
  <hyperlinks>
    <hyperlink ref="B12:D12" location="RESULTS!A1" display="Results" xr:uid="{724B9901-E44F-40C7-B071-62FC659DE5B2}"/>
    <hyperlink ref="B7:D7" location="USAGE!A1" display="Usage" xr:uid="{F927B160-E31E-45E6-9FCF-D9A8E2AC9449}"/>
    <hyperlink ref="B14:D14" location="DASHBOARD!A1" display="DASHBOARD" xr:uid="{4F89DC9C-B8CF-4B27-A816-276BC8B910FF}"/>
    <hyperlink ref="A18:D18" location="'BODY 4'!A1" display="Swing Chassis" xr:uid="{E068AD97-AC3D-4EB4-80E9-32CD208FB545}"/>
    <hyperlink ref="B18:D18" location="'BODY 3'!A1" display="Rear Axle" xr:uid="{EF738CE7-67CE-4FB0-802B-D93DCB7A6052}"/>
    <hyperlink ref="B16:D16" location="'BODY 1'!A1" display="Drive Chassis" xr:uid="{47F19964-A65A-4925-89F1-D547CBD301EC}"/>
    <hyperlink ref="B17:D17" location="'BODY 2'!A1" display="Front Axle" xr:uid="{1BE9DF0D-9777-4EBD-927A-C9EA408DB94E}"/>
    <hyperlink ref="B19:D19" location="'BODY 4'!A1" display="Swing Chassis" xr:uid="{685218D9-C26C-435D-A558-70D552F34554}"/>
    <hyperlink ref="B21:D21" location="WHEELS!A1" display="Wheels" xr:uid="{26B2C0F5-32FB-4A8E-B49D-32E8D2510DB6}"/>
    <hyperlink ref="B15:D15" location="GENERIC!A1" display="Generic Parameters" xr:uid="{A11A74BE-7921-4480-B5AD-4E6CE256A16A}"/>
    <hyperlink ref="B20:D20" location="'BODY 5'!A1" display="Boom" xr:uid="{105AE9D3-8242-461C-8B43-3D6F863D101F}"/>
    <hyperlink ref="B23:D23" location="'BASE MOTION'!A1" display="Input (Base Motion)" xr:uid="{D0C4E529-A4C8-4118-8B70-E6F07B1523E3}"/>
  </hyperlink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4CBCF-F831-457C-9C4C-8176AA89595E}">
  <sheetPr codeName="BASE_MOTION"/>
  <dimension ref="A1:BV64"/>
  <sheetViews>
    <sheetView showGridLines="0" topLeftCell="B2" zoomScaleNormal="100" workbookViewId="0">
      <pane xSplit="3" topLeftCell="E1" activePane="topRight" state="frozen"/>
      <selection activeCell="B2" sqref="B2"/>
      <selection pane="topRight" activeCell="K5" sqref="K5"/>
    </sheetView>
  </sheetViews>
  <sheetFormatPr defaultColWidth="10.28515625" defaultRowHeight="17.850000000000001" customHeight="1" x14ac:dyDescent="0.3"/>
  <cols>
    <col min="1" max="1" width="0" style="6" hidden="1" customWidth="1"/>
    <col min="2" max="4" width="10.28515625" style="85"/>
    <col min="5" max="5" width="10.28515625" style="6"/>
    <col min="6" max="6" width="10.7109375" style="44" customWidth="1"/>
    <col min="7" max="7" width="14.28515625" style="35" customWidth="1"/>
    <col min="8" max="8" width="14.28515625" style="73" customWidth="1"/>
    <col min="9" max="9" width="18.5703125" style="35" customWidth="1"/>
    <col min="10" max="10" width="19.28515625" style="44" customWidth="1"/>
    <col min="11" max="11" width="11.140625" style="6" bestFit="1" customWidth="1"/>
    <col min="12" max="12" width="10.28515625" style="6"/>
    <col min="13" max="13" width="18.28515625" style="6" bestFit="1" customWidth="1"/>
    <col min="14" max="14" width="10.28515625" style="6"/>
    <col min="15" max="15" width="9" style="6" bestFit="1" customWidth="1"/>
    <col min="16" max="16" width="9.85546875" style="6" bestFit="1" customWidth="1"/>
    <col min="17" max="17" width="12.85546875" style="6" bestFit="1" customWidth="1"/>
    <col min="18" max="18" width="13.5703125" style="6" bestFit="1" customWidth="1"/>
    <col min="19" max="29" width="10.28515625" style="6"/>
    <col min="30" max="65" width="10.28515625" style="6" customWidth="1"/>
    <col min="66" max="16384" width="10.28515625" style="6"/>
  </cols>
  <sheetData>
    <row r="1" spans="1:74" ht="17.850000000000001" hidden="1" customHeight="1" x14ac:dyDescent="0.3">
      <c r="A1" s="8"/>
    </row>
    <row r="2" spans="1:74" ht="17.850000000000001" customHeight="1" x14ac:dyDescent="0.3">
      <c r="AJ2" s="81"/>
      <c r="AM2" s="74"/>
      <c r="AO2" s="74"/>
      <c r="BG2" s="74"/>
      <c r="BP2" s="74"/>
    </row>
    <row r="3" spans="1:74" ht="32.25" thickBot="1" x14ac:dyDescent="0.55000000000000004">
      <c r="F3" s="194" t="s">
        <v>162</v>
      </c>
      <c r="G3" s="194"/>
      <c r="H3" s="194"/>
      <c r="I3" s="194"/>
      <c r="J3" s="194"/>
      <c r="AE3" s="194" t="s">
        <v>172</v>
      </c>
      <c r="AF3" s="194"/>
      <c r="AG3" s="194"/>
      <c r="AH3" s="194"/>
      <c r="AI3" s="194"/>
      <c r="AJ3" s="194"/>
      <c r="AW3" s="194" t="s">
        <v>184</v>
      </c>
      <c r="AX3" s="194"/>
      <c r="AY3" s="194"/>
      <c r="AZ3" s="194"/>
      <c r="BA3" s="194"/>
      <c r="BB3" s="194"/>
      <c r="BC3" s="194"/>
      <c r="BO3" s="171" t="s">
        <v>187</v>
      </c>
      <c r="BP3" s="171"/>
      <c r="BQ3" s="171"/>
      <c r="BR3" s="171"/>
      <c r="BS3" s="171"/>
      <c r="BT3" s="171"/>
      <c r="BU3" s="171"/>
      <c r="BV3" s="171"/>
    </row>
    <row r="4" spans="1:74" ht="17.25" customHeight="1" thickTop="1" thickBot="1" x14ac:dyDescent="0.35">
      <c r="B4" s="170" t="s">
        <v>1</v>
      </c>
      <c r="C4" s="170"/>
      <c r="D4" s="170"/>
      <c r="F4"/>
      <c r="G4"/>
      <c r="H4" s="86"/>
      <c r="I4"/>
      <c r="J4"/>
      <c r="K4"/>
      <c r="L4"/>
      <c r="M4"/>
      <c r="O4"/>
      <c r="P4"/>
      <c r="Q4"/>
      <c r="R4"/>
      <c r="AE4"/>
      <c r="AF4"/>
      <c r="AG4"/>
      <c r="AH4"/>
      <c r="AW4"/>
      <c r="AX4"/>
      <c r="AY4"/>
      <c r="AZ4"/>
    </row>
    <row r="5" spans="1:74" ht="17.850000000000001" customHeight="1" thickBot="1" x14ac:dyDescent="0.35">
      <c r="B5" s="170"/>
      <c r="C5" s="170"/>
      <c r="D5" s="170"/>
      <c r="F5" s="187" t="s">
        <v>163</v>
      </c>
      <c r="G5" s="188"/>
      <c r="H5" s="188"/>
      <c r="I5" s="188"/>
      <c r="J5" s="189"/>
      <c r="K5" s="83"/>
      <c r="L5" s="83"/>
      <c r="M5" s="2"/>
      <c r="N5" s="2"/>
      <c r="O5" s="2"/>
      <c r="P5" s="2"/>
      <c r="Q5" s="2"/>
      <c r="R5" s="2"/>
      <c r="S5"/>
      <c r="T5" s="5"/>
      <c r="AE5" s="187" t="s">
        <v>175</v>
      </c>
      <c r="AF5" s="188"/>
      <c r="AG5" s="188"/>
      <c r="AH5" s="188"/>
      <c r="AI5" s="188"/>
      <c r="AJ5" s="188"/>
      <c r="AK5" s="189"/>
      <c r="AL5" s="74"/>
      <c r="AW5" s="187" t="s">
        <v>175</v>
      </c>
      <c r="AX5" s="188"/>
      <c r="AY5" s="188"/>
      <c r="AZ5" s="188"/>
      <c r="BA5" s="188"/>
      <c r="BB5" s="188"/>
      <c r="BC5" s="189"/>
      <c r="BD5" s="74"/>
    </row>
    <row r="6" spans="1:74" ht="17.850000000000001" customHeight="1" x14ac:dyDescent="0.3">
      <c r="F6" s="56"/>
      <c r="G6" s="36"/>
      <c r="H6" s="87"/>
      <c r="I6" s="36"/>
      <c r="J6" s="22"/>
      <c r="K6" s="82"/>
      <c r="L6" s="82"/>
      <c r="M6" s="69"/>
      <c r="N6" s="69"/>
      <c r="O6" s="69"/>
      <c r="P6" s="69"/>
      <c r="Q6" s="69"/>
      <c r="R6" s="3"/>
      <c r="S6"/>
      <c r="T6" s="5"/>
      <c r="AE6" s="90"/>
      <c r="AF6" s="203" t="s">
        <v>56</v>
      </c>
      <c r="AG6" s="203"/>
      <c r="AH6" s="112"/>
      <c r="AI6" s="203" t="s">
        <v>7</v>
      </c>
      <c r="AJ6" s="203"/>
      <c r="AK6" s="91"/>
      <c r="AM6" s="74"/>
      <c r="AW6" s="90"/>
      <c r="AX6" s="203" t="s">
        <v>56</v>
      </c>
      <c r="AY6" s="203"/>
      <c r="BA6" s="203" t="s">
        <v>7</v>
      </c>
      <c r="BB6" s="203"/>
      <c r="BC6" s="91"/>
      <c r="BE6" s="74"/>
    </row>
    <row r="7" spans="1:74" ht="17.850000000000001" customHeight="1" x14ac:dyDescent="0.3">
      <c r="B7" s="173" t="s">
        <v>0</v>
      </c>
      <c r="C7" s="173"/>
      <c r="D7" s="173"/>
      <c r="F7" s="157" t="s">
        <v>255</v>
      </c>
      <c r="G7" s="94"/>
      <c r="H7" s="122">
        <v>1E-3</v>
      </c>
      <c r="I7" s="113" t="s">
        <v>256</v>
      </c>
      <c r="J7" s="32"/>
      <c r="K7" s="2"/>
      <c r="L7" s="154" t="s">
        <v>257</v>
      </c>
      <c r="M7" s="154"/>
      <c r="N7" s="154"/>
      <c r="O7" s="154"/>
      <c r="AE7" s="157" t="s">
        <v>212</v>
      </c>
      <c r="AF7" s="199">
        <v>0.127</v>
      </c>
      <c r="AG7" s="200"/>
      <c r="AH7" s="113" t="s">
        <v>22</v>
      </c>
      <c r="AI7" s="197">
        <f>curbs_height*from_m_to_in</f>
        <v>5.0000027000000005</v>
      </c>
      <c r="AJ7" s="198"/>
      <c r="AK7" s="32" t="s">
        <v>23</v>
      </c>
      <c r="AM7" s="190" t="s">
        <v>179</v>
      </c>
      <c r="AN7" s="190"/>
      <c r="AO7" s="190"/>
      <c r="AP7" s="190"/>
      <c r="AQ7" s="153"/>
      <c r="AR7" s="153"/>
      <c r="AS7" s="153"/>
      <c r="AT7" s="153"/>
      <c r="AU7" s="153"/>
      <c r="AW7" s="99" t="s">
        <v>171</v>
      </c>
      <c r="AX7" s="199">
        <v>0.127</v>
      </c>
      <c r="AY7" s="200"/>
      <c r="AZ7" s="92" t="s">
        <v>22</v>
      </c>
      <c r="BA7" s="201">
        <f>curbs_height*from_m_to_in</f>
        <v>5.0000027000000005</v>
      </c>
      <c r="BB7" s="202"/>
      <c r="BC7" s="93" t="s">
        <v>23</v>
      </c>
      <c r="BE7" s="193"/>
      <c r="BF7" s="193"/>
      <c r="BG7" s="193"/>
      <c r="BH7" s="193"/>
    </row>
    <row r="8" spans="1:74" ht="17.850000000000001" customHeight="1" x14ac:dyDescent="0.3">
      <c r="F8" s="102"/>
      <c r="G8" s="88"/>
      <c r="H8" s="88"/>
      <c r="I8" s="88"/>
      <c r="J8" s="103"/>
      <c r="K8" s="2"/>
      <c r="AE8" s="157"/>
      <c r="AF8" s="94"/>
      <c r="AG8" s="94"/>
      <c r="AH8" s="113"/>
      <c r="AI8" s="160"/>
      <c r="AJ8" s="160"/>
      <c r="AK8" s="32"/>
      <c r="AM8" s="153"/>
      <c r="AN8" s="153"/>
      <c r="AO8" s="153"/>
      <c r="AP8" s="153"/>
      <c r="AQ8" s="153"/>
      <c r="AR8" s="153"/>
      <c r="AS8" s="153"/>
      <c r="AT8" s="153"/>
      <c r="AU8" s="153"/>
      <c r="AW8" s="99"/>
      <c r="AX8" s="94"/>
      <c r="AY8" s="94"/>
      <c r="AZ8" s="92"/>
      <c r="BA8" s="92"/>
      <c r="BB8" s="92"/>
      <c r="BC8" s="93"/>
    </row>
    <row r="9" spans="1:74" ht="17.850000000000001" customHeight="1" x14ac:dyDescent="0.3">
      <c r="C9" s="174" t="s">
        <v>2</v>
      </c>
      <c r="D9" s="174"/>
      <c r="F9" s="157" t="s">
        <v>185</v>
      </c>
      <c r="G9" s="158"/>
      <c r="H9" s="122">
        <v>0.36</v>
      </c>
      <c r="I9" s="113" t="s">
        <v>186</v>
      </c>
      <c r="J9" s="32"/>
      <c r="K9" s="2"/>
      <c r="L9" s="154" t="s">
        <v>188</v>
      </c>
      <c r="M9" s="154"/>
      <c r="N9" s="154"/>
      <c r="O9" s="154"/>
      <c r="AE9" s="157" t="s">
        <v>258</v>
      </c>
      <c r="AF9" s="199">
        <v>0.254</v>
      </c>
      <c r="AG9" s="200"/>
      <c r="AH9" s="113" t="s">
        <v>22</v>
      </c>
      <c r="AI9" s="197">
        <f>curbs_major_base*from_m_to_in</f>
        <v>10.000005400000001</v>
      </c>
      <c r="AJ9" s="198"/>
      <c r="AK9" s="32" t="s">
        <v>23</v>
      </c>
      <c r="AM9" s="190" t="s">
        <v>180</v>
      </c>
      <c r="AN9" s="190"/>
      <c r="AO9" s="190"/>
      <c r="AP9" s="190"/>
      <c r="AQ9" s="190"/>
      <c r="AR9" s="153"/>
      <c r="AS9" s="153"/>
      <c r="AT9" s="153"/>
      <c r="AU9" s="153"/>
      <c r="AW9" s="99" t="s">
        <v>173</v>
      </c>
      <c r="AX9" s="199">
        <v>0.254</v>
      </c>
      <c r="AY9" s="200"/>
      <c r="AZ9" s="92" t="s">
        <v>22</v>
      </c>
      <c r="BA9" s="201">
        <f>curbs_major_base*from_m_to_in</f>
        <v>10.000005400000001</v>
      </c>
      <c r="BB9" s="202"/>
      <c r="BC9" s="93" t="s">
        <v>23</v>
      </c>
      <c r="BE9" s="193"/>
      <c r="BF9" s="193"/>
      <c r="BG9" s="193"/>
      <c r="BH9" s="193"/>
      <c r="BI9" s="193"/>
    </row>
    <row r="10" spans="1:74" ht="17.850000000000001" customHeight="1" x14ac:dyDescent="0.3">
      <c r="C10" s="174"/>
      <c r="D10" s="174"/>
      <c r="F10" s="157"/>
      <c r="G10" s="94"/>
      <c r="H10" s="156"/>
      <c r="I10" s="94"/>
      <c r="J10" s="32"/>
      <c r="K10" s="2"/>
      <c r="AE10" s="157"/>
      <c r="AF10" s="94"/>
      <c r="AG10" s="94"/>
      <c r="AH10" s="113"/>
      <c r="AI10" s="160"/>
      <c r="AJ10" s="160"/>
      <c r="AK10" s="32"/>
      <c r="AM10" s="153"/>
      <c r="AN10" s="153"/>
      <c r="AO10" s="153"/>
      <c r="AP10" s="153"/>
      <c r="AQ10" s="153"/>
      <c r="AR10" s="153"/>
      <c r="AS10" s="153"/>
      <c r="AT10" s="153"/>
      <c r="AU10" s="153"/>
      <c r="AW10" s="99"/>
      <c r="AX10" s="94"/>
      <c r="AY10" s="94"/>
      <c r="AZ10" s="92"/>
      <c r="BA10" s="92"/>
      <c r="BB10" s="92"/>
      <c r="BC10" s="93"/>
    </row>
    <row r="11" spans="1:74" ht="17.850000000000001" customHeight="1" x14ac:dyDescent="0.3">
      <c r="F11" s="155" t="s">
        <v>168</v>
      </c>
      <c r="G11" s="156"/>
      <c r="H11" s="88"/>
      <c r="I11" s="88"/>
      <c r="J11" s="109" t="b">
        <v>1</v>
      </c>
      <c r="K11" s="2"/>
      <c r="L11" s="154" t="s">
        <v>169</v>
      </c>
      <c r="M11" s="154"/>
      <c r="N11" s="154"/>
      <c r="O11" s="154"/>
      <c r="P11" s="154"/>
      <c r="Q11" s="154"/>
      <c r="R11" s="154"/>
      <c r="S11" s="154"/>
      <c r="AE11" s="157" t="s">
        <v>259</v>
      </c>
      <c r="AF11" s="199">
        <v>0.127</v>
      </c>
      <c r="AG11" s="200"/>
      <c r="AH11" s="113" t="s">
        <v>22</v>
      </c>
      <c r="AI11" s="197">
        <f>curbs_minor_base*from_m_to_in</f>
        <v>5.0000027000000005</v>
      </c>
      <c r="AJ11" s="198"/>
      <c r="AK11" s="32" t="s">
        <v>23</v>
      </c>
      <c r="AM11" s="190" t="s">
        <v>181</v>
      </c>
      <c r="AN11" s="190"/>
      <c r="AO11" s="190"/>
      <c r="AP11" s="190"/>
      <c r="AQ11" s="190"/>
      <c r="AR11" s="153"/>
      <c r="AS11" s="153"/>
      <c r="AT11" s="153"/>
      <c r="AU11" s="153"/>
      <c r="AW11" s="99" t="s">
        <v>174</v>
      </c>
      <c r="AX11" s="199">
        <v>0.127</v>
      </c>
      <c r="AY11" s="200"/>
      <c r="AZ11" s="92" t="s">
        <v>22</v>
      </c>
      <c r="BA11" s="201">
        <f>curbs_minor_base*from_m_to_in</f>
        <v>5.0000027000000005</v>
      </c>
      <c r="BB11" s="202"/>
      <c r="BC11" s="93" t="s">
        <v>23</v>
      </c>
      <c r="BE11" s="193"/>
      <c r="BF11" s="193"/>
      <c r="BG11" s="193"/>
      <c r="BH11" s="193"/>
      <c r="BI11" s="193"/>
    </row>
    <row r="12" spans="1:74" ht="17.850000000000001" customHeight="1" x14ac:dyDescent="0.3">
      <c r="B12" s="173" t="s">
        <v>3</v>
      </c>
      <c r="C12" s="173"/>
      <c r="D12" s="173"/>
      <c r="F12" s="102"/>
      <c r="G12" s="88"/>
      <c r="H12" s="88"/>
      <c r="I12" s="88"/>
      <c r="J12" s="110"/>
      <c r="K12" s="2"/>
      <c r="L12" s="1"/>
      <c r="M12" s="1"/>
      <c r="N12" s="1"/>
      <c r="O12"/>
      <c r="P12"/>
      <c r="Q12"/>
      <c r="R12"/>
      <c r="S12"/>
      <c r="AE12" s="95"/>
      <c r="AF12" s="92"/>
      <c r="AG12" s="92"/>
      <c r="AH12" s="113"/>
      <c r="AI12" s="160"/>
      <c r="AJ12" s="160"/>
      <c r="AK12" s="32"/>
      <c r="AM12" s="153"/>
      <c r="AN12" s="153"/>
      <c r="AO12" s="153"/>
      <c r="AP12" s="153"/>
      <c r="AQ12" s="153"/>
      <c r="AR12" s="153"/>
      <c r="AS12" s="153"/>
      <c r="AT12" s="153"/>
      <c r="AU12" s="153"/>
      <c r="AW12" s="95"/>
      <c r="AX12" s="92"/>
      <c r="AY12" s="92"/>
      <c r="AZ12" s="92"/>
      <c r="BA12" s="92"/>
      <c r="BB12" s="92"/>
      <c r="BC12" s="93"/>
    </row>
    <row r="13" spans="1:74" ht="17.850000000000001" customHeight="1" x14ac:dyDescent="0.3">
      <c r="F13" s="155"/>
      <c r="G13" s="88"/>
      <c r="H13" s="88"/>
      <c r="I13" s="88"/>
      <c r="J13" s="109" t="b">
        <v>1</v>
      </c>
      <c r="K13" s="2"/>
      <c r="L13" s="154" t="s">
        <v>169</v>
      </c>
      <c r="M13" s="154"/>
      <c r="N13" s="154"/>
      <c r="O13" s="154"/>
      <c r="P13" s="154"/>
      <c r="Q13" s="154"/>
      <c r="R13" s="154"/>
      <c r="S13" s="154"/>
      <c r="AE13" s="95" t="s">
        <v>176</v>
      </c>
      <c r="AF13" s="199">
        <v>1.85</v>
      </c>
      <c r="AG13" s="200"/>
      <c r="AH13" s="113" t="s">
        <v>22</v>
      </c>
      <c r="AI13" s="197">
        <f>curbs_pitch*from_m_to_in</f>
        <v>72.834685000000007</v>
      </c>
      <c r="AJ13" s="198"/>
      <c r="AK13" s="32" t="s">
        <v>23</v>
      </c>
      <c r="AM13" s="190" t="s">
        <v>182</v>
      </c>
      <c r="AN13" s="190"/>
      <c r="AO13" s="190"/>
      <c r="AP13" s="190"/>
      <c r="AQ13" s="190"/>
      <c r="AR13" s="153"/>
      <c r="AS13" s="153"/>
      <c r="AT13" s="153"/>
      <c r="AU13" s="153"/>
      <c r="AW13" s="95" t="s">
        <v>176</v>
      </c>
      <c r="AX13" s="199">
        <v>1.85</v>
      </c>
      <c r="AY13" s="200"/>
      <c r="AZ13" s="92" t="s">
        <v>22</v>
      </c>
      <c r="BA13" s="201">
        <f>curbs_pitch*from_m_to_in</f>
        <v>72.834685000000007</v>
      </c>
      <c r="BB13" s="202"/>
      <c r="BC13" s="93" t="s">
        <v>23</v>
      </c>
      <c r="BE13" s="193"/>
      <c r="BF13" s="193"/>
      <c r="BG13" s="193"/>
      <c r="BH13" s="193"/>
      <c r="BI13" s="193"/>
    </row>
    <row r="14" spans="1:74" ht="17.850000000000001" customHeight="1" x14ac:dyDescent="0.3">
      <c r="B14" s="173" t="s">
        <v>4</v>
      </c>
      <c r="C14" s="173"/>
      <c r="D14" s="173"/>
      <c r="F14" s="102"/>
      <c r="G14" s="88"/>
      <c r="H14" s="88"/>
      <c r="I14" s="88"/>
      <c r="J14" s="110"/>
      <c r="K14" s="2"/>
      <c r="L14" s="2"/>
      <c r="M14" s="2"/>
      <c r="N14" s="2"/>
      <c r="O14" s="2"/>
      <c r="P14" s="2"/>
      <c r="Q14"/>
      <c r="R14"/>
      <c r="S14"/>
      <c r="AE14" s="95"/>
      <c r="AF14" s="92"/>
      <c r="AG14" s="92"/>
      <c r="AH14" s="113"/>
      <c r="AI14" s="160"/>
      <c r="AJ14" s="160"/>
      <c r="AK14" s="32"/>
      <c r="AM14" s="153"/>
      <c r="AN14" s="153"/>
      <c r="AO14" s="153"/>
      <c r="AP14" s="153"/>
      <c r="AQ14" s="153"/>
      <c r="AR14" s="153"/>
      <c r="AS14" s="153"/>
      <c r="AT14" s="153"/>
      <c r="AU14" s="153"/>
      <c r="AW14" s="95"/>
      <c r="AX14" s="92"/>
      <c r="AY14" s="92"/>
      <c r="AZ14" s="92"/>
      <c r="BA14" s="92"/>
      <c r="BB14" s="92"/>
      <c r="BC14" s="93"/>
    </row>
    <row r="15" spans="1:74" ht="17.850000000000001" customHeight="1" x14ac:dyDescent="0.3">
      <c r="A15" s="8"/>
      <c r="B15" s="176" t="s">
        <v>251</v>
      </c>
      <c r="C15" s="176"/>
      <c r="D15" s="176"/>
      <c r="F15" s="155"/>
      <c r="G15" s="88"/>
      <c r="H15" s="88"/>
      <c r="I15" s="88"/>
      <c r="J15" s="109" t="b">
        <v>0</v>
      </c>
      <c r="K15"/>
      <c r="L15" s="154" t="s">
        <v>169</v>
      </c>
      <c r="M15" s="154"/>
      <c r="N15" s="154"/>
      <c r="O15" s="154"/>
      <c r="P15" s="154"/>
      <c r="Q15" s="154"/>
      <c r="R15" s="154"/>
      <c r="S15" s="154"/>
      <c r="AE15" s="95" t="s">
        <v>177</v>
      </c>
      <c r="AF15" s="199">
        <f>(curbs_pitch-(2*curbs_major_base))/2</f>
        <v>0.67100000000000004</v>
      </c>
      <c r="AG15" s="200"/>
      <c r="AH15" s="113" t="s">
        <v>22</v>
      </c>
      <c r="AI15" s="197">
        <f>curbs_offset*from_m_to_in</f>
        <v>26.417337100000001</v>
      </c>
      <c r="AJ15" s="198"/>
      <c r="AK15" s="32" t="s">
        <v>23</v>
      </c>
      <c r="AM15" s="190" t="s">
        <v>183</v>
      </c>
      <c r="AN15" s="190"/>
      <c r="AO15" s="190"/>
      <c r="AP15" s="190"/>
      <c r="AQ15" s="190"/>
      <c r="AR15" s="153"/>
      <c r="AS15" s="153"/>
      <c r="AT15" s="153"/>
      <c r="AU15" s="153"/>
      <c r="AW15" s="95" t="s">
        <v>177</v>
      </c>
      <c r="AX15" s="199">
        <v>0.85199999999999998</v>
      </c>
      <c r="AY15" s="200"/>
      <c r="AZ15" s="92" t="s">
        <v>22</v>
      </c>
      <c r="BA15" s="201">
        <f>curbs_offset*from_m_to_in</f>
        <v>26.417337100000001</v>
      </c>
      <c r="BB15" s="202"/>
      <c r="BC15" s="93" t="s">
        <v>23</v>
      </c>
      <c r="BE15" s="193"/>
      <c r="BF15" s="193"/>
      <c r="BG15" s="193"/>
      <c r="BH15" s="193"/>
      <c r="BI15" s="193"/>
    </row>
    <row r="16" spans="1:74" ht="17.850000000000001" customHeight="1" x14ac:dyDescent="0.3">
      <c r="A16" s="8"/>
      <c r="B16" s="176" t="s">
        <v>28</v>
      </c>
      <c r="C16" s="176"/>
      <c r="D16" s="176"/>
      <c r="F16" s="102"/>
      <c r="G16" s="88"/>
      <c r="H16" s="88"/>
      <c r="I16" s="88"/>
      <c r="J16" s="110"/>
      <c r="K16"/>
      <c r="L16" s="2"/>
      <c r="M16" s="2"/>
      <c r="N16" s="2"/>
      <c r="O16" s="2"/>
      <c r="P16" s="2"/>
      <c r="Q16"/>
      <c r="R16"/>
      <c r="S16"/>
      <c r="AE16" s="95"/>
      <c r="AF16" s="92"/>
      <c r="AG16" s="92"/>
      <c r="AH16" s="113"/>
      <c r="AI16" s="160"/>
      <c r="AJ16" s="160"/>
      <c r="AK16" s="32"/>
      <c r="AM16" s="153"/>
      <c r="AN16" s="153"/>
      <c r="AO16" s="153"/>
      <c r="AP16" s="153"/>
      <c r="AQ16" s="153"/>
      <c r="AR16" s="153"/>
      <c r="AS16" s="153"/>
      <c r="AT16" s="153"/>
      <c r="AU16" s="153"/>
      <c r="AW16" s="95"/>
      <c r="AX16" s="92"/>
      <c r="AY16" s="92"/>
      <c r="AZ16" s="92"/>
      <c r="BA16" s="92"/>
      <c r="BB16" s="92"/>
      <c r="BC16" s="93"/>
    </row>
    <row r="17" spans="1:65" ht="17.850000000000001" customHeight="1" x14ac:dyDescent="0.3">
      <c r="A17" s="8"/>
      <c r="B17" s="176" t="s">
        <v>29</v>
      </c>
      <c r="C17" s="176"/>
      <c r="D17" s="176"/>
      <c r="E17"/>
      <c r="F17" s="102"/>
      <c r="G17" s="88"/>
      <c r="H17" s="88"/>
      <c r="I17" s="88"/>
      <c r="J17" s="109" t="b">
        <v>0</v>
      </c>
      <c r="K17"/>
      <c r="L17" s="193" t="s">
        <v>170</v>
      </c>
      <c r="M17" s="193"/>
      <c r="N17" s="193"/>
      <c r="O17" s="193"/>
      <c r="P17" s="193"/>
      <c r="Q17" s="193"/>
      <c r="R17" s="193"/>
      <c r="S17" s="193"/>
      <c r="AE17" s="111" t="s">
        <v>194</v>
      </c>
      <c r="AF17" s="199">
        <v>45</v>
      </c>
      <c r="AG17" s="200"/>
      <c r="AH17" s="113" t="s">
        <v>195</v>
      </c>
      <c r="AI17" s="197">
        <f>curbs_angle</f>
        <v>45</v>
      </c>
      <c r="AJ17" s="198"/>
      <c r="AK17" s="32" t="s">
        <v>195</v>
      </c>
      <c r="AM17" s="190" t="s">
        <v>196</v>
      </c>
      <c r="AN17" s="190"/>
      <c r="AO17" s="190"/>
      <c r="AP17" s="153"/>
      <c r="AQ17" s="153"/>
      <c r="AR17" s="153"/>
      <c r="AS17" s="153"/>
      <c r="AT17" s="153"/>
      <c r="AU17" s="153"/>
      <c r="AV17" s="101"/>
      <c r="AW17" s="95" t="s">
        <v>178</v>
      </c>
      <c r="AX17" s="199">
        <v>6</v>
      </c>
      <c r="AY17" s="200"/>
      <c r="AZ17" s="92" t="s">
        <v>84</v>
      </c>
      <c r="BA17" s="201">
        <f>curbs_left_number</f>
        <v>5</v>
      </c>
      <c r="BB17" s="202"/>
      <c r="BC17" s="93" t="s">
        <v>84</v>
      </c>
      <c r="BE17" s="193"/>
      <c r="BF17" s="193"/>
      <c r="BG17" s="193"/>
      <c r="BH17" s="193"/>
      <c r="BI17" s="193"/>
      <c r="BJ17" s="193"/>
      <c r="BK17" s="193"/>
      <c r="BL17" s="193"/>
      <c r="BM17" s="193"/>
    </row>
    <row r="18" spans="1:65" ht="17.850000000000001" customHeight="1" thickBot="1" x14ac:dyDescent="0.35">
      <c r="A18" s="137" t="s">
        <v>31</v>
      </c>
      <c r="B18" s="176" t="s">
        <v>30</v>
      </c>
      <c r="C18" s="176"/>
      <c r="D18" s="176"/>
      <c r="E18"/>
      <c r="F18" s="104"/>
      <c r="G18" s="89"/>
      <c r="H18" s="89"/>
      <c r="I18" s="89"/>
      <c r="J18" s="105"/>
      <c r="K18"/>
      <c r="AE18" s="95"/>
      <c r="AF18" s="92"/>
      <c r="AG18" s="92"/>
      <c r="AH18" s="113"/>
      <c r="AI18" s="160"/>
      <c r="AJ18" s="160"/>
      <c r="AK18" s="32"/>
      <c r="AM18" s="153"/>
      <c r="AN18" s="153"/>
      <c r="AO18" s="153"/>
      <c r="AP18" s="153"/>
      <c r="AQ18" s="153"/>
      <c r="AR18" s="153"/>
      <c r="AS18" s="153"/>
      <c r="AT18" s="153"/>
      <c r="AU18" s="153"/>
      <c r="AW18" s="96"/>
      <c r="AX18" s="97"/>
      <c r="AY18" s="97"/>
      <c r="AZ18" s="97"/>
      <c r="BA18" s="97"/>
      <c r="BB18" s="97"/>
      <c r="BC18" s="98"/>
    </row>
    <row r="19" spans="1:65" ht="17.850000000000001" customHeight="1" x14ac:dyDescent="0.35">
      <c r="A19" s="8"/>
      <c r="B19" s="176" t="s">
        <v>31</v>
      </c>
      <c r="C19" s="176"/>
      <c r="D19" s="176"/>
      <c r="E19"/>
      <c r="AE19" s="95" t="s">
        <v>261</v>
      </c>
      <c r="AF19" s="199">
        <v>6</v>
      </c>
      <c r="AG19" s="200"/>
      <c r="AH19" s="113" t="s">
        <v>84</v>
      </c>
      <c r="AI19" s="197">
        <f>curbs_left_number</f>
        <v>5</v>
      </c>
      <c r="AJ19" s="198"/>
      <c r="AK19" s="32" t="s">
        <v>84</v>
      </c>
      <c r="AM19" s="190" t="s">
        <v>262</v>
      </c>
      <c r="AN19" s="190"/>
      <c r="AO19" s="190"/>
      <c r="AP19" s="190"/>
      <c r="AQ19" s="159"/>
      <c r="AR19" s="159"/>
      <c r="AS19" s="159"/>
      <c r="AT19" s="159"/>
      <c r="AU19" s="159"/>
    </row>
    <row r="20" spans="1:65" ht="17.850000000000001" customHeight="1" x14ac:dyDescent="0.3">
      <c r="A20" s="8"/>
      <c r="B20" s="176" t="s">
        <v>32</v>
      </c>
      <c r="C20" s="176"/>
      <c r="D20" s="176"/>
      <c r="E20"/>
      <c r="AE20" s="95"/>
      <c r="AF20" s="92"/>
      <c r="AG20" s="92"/>
      <c r="AH20" s="113"/>
      <c r="AI20" s="160"/>
      <c r="AJ20" s="160"/>
      <c r="AK20" s="32"/>
    </row>
    <row r="21" spans="1:65" ht="17.850000000000001" customHeight="1" x14ac:dyDescent="0.35">
      <c r="A21" s="8"/>
      <c r="B21" s="176" t="s">
        <v>33</v>
      </c>
      <c r="C21" s="176"/>
      <c r="D21" s="176"/>
      <c r="E21"/>
      <c r="K21"/>
      <c r="AE21" s="95" t="s">
        <v>260</v>
      </c>
      <c r="AF21" s="199">
        <v>5</v>
      </c>
      <c r="AG21" s="200"/>
      <c r="AH21" s="113" t="s">
        <v>84</v>
      </c>
      <c r="AI21" s="197">
        <f>curbs_left_number</f>
        <v>5</v>
      </c>
      <c r="AJ21" s="198"/>
      <c r="AK21" s="32" t="s">
        <v>84</v>
      </c>
      <c r="AM21" s="190" t="s">
        <v>263</v>
      </c>
      <c r="AN21" s="190"/>
      <c r="AO21" s="190"/>
      <c r="AP21" s="190"/>
    </row>
    <row r="22" spans="1:65" ht="17.850000000000001" customHeight="1" thickBot="1" x14ac:dyDescent="0.35">
      <c r="B22" s="176" t="s">
        <v>34</v>
      </c>
      <c r="C22" s="176"/>
      <c r="D22" s="176"/>
      <c r="E22"/>
      <c r="F22"/>
      <c r="G22"/>
      <c r="H22"/>
      <c r="I22"/>
      <c r="J22"/>
      <c r="K22"/>
      <c r="AE22" s="96"/>
      <c r="AF22" s="97"/>
      <c r="AG22" s="97"/>
      <c r="AH22" s="97"/>
      <c r="AI22" s="97"/>
      <c r="AJ22" s="97"/>
      <c r="AK22" s="98"/>
    </row>
    <row r="23" spans="1:65" ht="17.850000000000001" customHeight="1" x14ac:dyDescent="0.3">
      <c r="B23" s="192" t="s">
        <v>136</v>
      </c>
      <c r="C23" s="192"/>
      <c r="D23" s="192"/>
      <c r="E23"/>
      <c r="F23"/>
      <c r="G23"/>
      <c r="H23"/>
      <c r="I23"/>
      <c r="J23"/>
      <c r="K23"/>
    </row>
    <row r="24" spans="1:65" ht="17.850000000000001" customHeight="1" thickBot="1" x14ac:dyDescent="0.35">
      <c r="B24" s="134"/>
      <c r="C24" s="134"/>
      <c r="D24" s="134"/>
      <c r="E24"/>
      <c r="F24"/>
      <c r="G24"/>
      <c r="H24"/>
      <c r="I24"/>
      <c r="J24"/>
      <c r="K24"/>
    </row>
    <row r="25" spans="1:65" ht="17.850000000000001" customHeight="1" thickBot="1" x14ac:dyDescent="0.35">
      <c r="B25" s="172" t="s">
        <v>5</v>
      </c>
      <c r="C25" s="172"/>
      <c r="D25" s="172"/>
      <c r="E25"/>
      <c r="F25" s="187" t="s">
        <v>192</v>
      </c>
      <c r="G25" s="188"/>
      <c r="H25" s="188"/>
      <c r="I25" s="188"/>
      <c r="J25" s="188"/>
      <c r="K25" s="189"/>
    </row>
    <row r="26" spans="1:65" ht="17.850000000000001" customHeight="1" thickBot="1" x14ac:dyDescent="0.35">
      <c r="E26"/>
      <c r="F26" s="204" t="s">
        <v>190</v>
      </c>
      <c r="G26" s="205"/>
      <c r="H26" s="206"/>
      <c r="I26" s="207" t="s">
        <v>191</v>
      </c>
      <c r="J26" s="208"/>
      <c r="K26" s="209"/>
    </row>
    <row r="27" spans="1:65" ht="17.850000000000001" customHeight="1" x14ac:dyDescent="0.3">
      <c r="B27" s="100"/>
      <c r="C27" s="100"/>
      <c r="D27" s="100"/>
      <c r="E27"/>
      <c r="F27" s="164" t="s">
        <v>189</v>
      </c>
      <c r="G27" s="162">
        <f>curbs_height</f>
        <v>0.127</v>
      </c>
      <c r="H27" s="106" t="s">
        <v>22</v>
      </c>
      <c r="I27" s="88"/>
      <c r="J27" s="88"/>
      <c r="K27" s="88"/>
    </row>
    <row r="28" spans="1:65" ht="17.850000000000001" customHeight="1" x14ac:dyDescent="0.3">
      <c r="E28"/>
      <c r="F28" s="165" t="s">
        <v>264</v>
      </c>
      <c r="G28" s="161">
        <f>curbs_major_base</f>
        <v>0.254</v>
      </c>
      <c r="H28" s="107" t="s">
        <v>22</v>
      </c>
      <c r="I28" s="88"/>
      <c r="J28" s="88"/>
      <c r="K28" s="88"/>
    </row>
    <row r="29" spans="1:65" ht="17.850000000000001" customHeight="1" x14ac:dyDescent="0.3">
      <c r="F29" s="165" t="s">
        <v>265</v>
      </c>
      <c r="G29" s="161">
        <f>curbs_minor_base</f>
        <v>0.127</v>
      </c>
      <c r="H29" s="107" t="s">
        <v>22</v>
      </c>
      <c r="I29" s="88"/>
      <c r="J29" s="88"/>
      <c r="K29" s="88"/>
    </row>
    <row r="30" spans="1:65" ht="17.850000000000001" customHeight="1" x14ac:dyDescent="0.3">
      <c r="F30" s="166" t="s">
        <v>176</v>
      </c>
      <c r="G30" s="161">
        <f>curbs_pitch</f>
        <v>1.85</v>
      </c>
      <c r="H30" s="107" t="s">
        <v>22</v>
      </c>
      <c r="I30" s="88"/>
      <c r="J30" s="88"/>
      <c r="K30" s="88"/>
    </row>
    <row r="31" spans="1:65" ht="17.850000000000001" customHeight="1" x14ac:dyDescent="0.3">
      <c r="F31" s="166" t="s">
        <v>177</v>
      </c>
      <c r="G31" s="161">
        <f>curbs_offset</f>
        <v>0.67100000000000004</v>
      </c>
      <c r="H31" s="107" t="s">
        <v>22</v>
      </c>
      <c r="I31" s="88"/>
      <c r="J31" s="88"/>
      <c r="K31" s="88"/>
      <c r="L31" s="88"/>
      <c r="R31"/>
      <c r="S31"/>
    </row>
    <row r="32" spans="1:65" ht="17.850000000000001" customHeight="1" x14ac:dyDescent="0.3">
      <c r="F32" s="167" t="s">
        <v>194</v>
      </c>
      <c r="G32" s="161">
        <f>curbs_angle</f>
        <v>45</v>
      </c>
      <c r="H32" s="67" t="s">
        <v>195</v>
      </c>
      <c r="I32" s="88"/>
      <c r="J32" s="88"/>
      <c r="K32" s="88"/>
      <c r="L32" s="88"/>
      <c r="R32"/>
      <c r="S32"/>
    </row>
    <row r="33" spans="6:20" ht="17.850000000000001" customHeight="1" x14ac:dyDescent="0.3">
      <c r="F33" s="168" t="s">
        <v>266</v>
      </c>
      <c r="G33" s="161">
        <f>curbs_right_number</f>
        <v>6</v>
      </c>
      <c r="H33" s="107" t="s">
        <v>84</v>
      </c>
      <c r="I33" s="86"/>
      <c r="J33" s="86"/>
      <c r="K33" s="86"/>
      <c r="L33" s="88"/>
      <c r="M33" s="88"/>
      <c r="N33" s="88"/>
      <c r="O33" s="88"/>
      <c r="P33"/>
      <c r="Q33"/>
      <c r="R33"/>
      <c r="S33"/>
    </row>
    <row r="34" spans="6:20" ht="17.850000000000001" customHeight="1" thickBot="1" x14ac:dyDescent="0.35">
      <c r="F34" s="169" t="s">
        <v>267</v>
      </c>
      <c r="G34" s="163">
        <f>curbs_left_number</f>
        <v>5</v>
      </c>
      <c r="H34" s="108" t="s">
        <v>84</v>
      </c>
      <c r="L34" s="88"/>
      <c r="M34" s="88"/>
      <c r="N34" s="88"/>
      <c r="O34" s="88"/>
      <c r="P34"/>
      <c r="Q34"/>
      <c r="R34"/>
      <c r="S34"/>
    </row>
    <row r="35" spans="6:20" ht="17.850000000000001" customHeight="1" x14ac:dyDescent="0.3">
      <c r="L35" s="86"/>
      <c r="M35" s="86"/>
      <c r="N35" s="86"/>
      <c r="O35" s="86"/>
      <c r="P35"/>
      <c r="Q35"/>
      <c r="R35"/>
      <c r="S35"/>
    </row>
    <row r="36" spans="6:20" ht="17.850000000000001" customHeight="1" x14ac:dyDescent="0.3">
      <c r="F36" s="86"/>
      <c r="G36" s="86"/>
      <c r="H36" s="86"/>
      <c r="I36" s="86"/>
      <c r="J36" s="86"/>
      <c r="K36" s="86"/>
      <c r="L36" s="86"/>
      <c r="M36" s="86"/>
      <c r="N36" s="86"/>
      <c r="O36" s="86"/>
      <c r="P36"/>
      <c r="Q36"/>
      <c r="R36"/>
      <c r="S36"/>
    </row>
    <row r="37" spans="6:20" ht="17.850000000000001" customHeight="1" x14ac:dyDescent="0.3">
      <c r="F37" s="86"/>
      <c r="G37" s="86"/>
      <c r="H37" s="86"/>
      <c r="I37" s="86"/>
      <c r="J37" s="86"/>
      <c r="K37" s="86"/>
      <c r="L37" s="86"/>
      <c r="M37" s="86"/>
      <c r="N37" s="86"/>
      <c r="O37" s="86"/>
      <c r="P37"/>
      <c r="Q37"/>
      <c r="R37"/>
      <c r="S37"/>
    </row>
    <row r="38" spans="6:20" ht="17.850000000000001" customHeight="1" x14ac:dyDescent="0.3">
      <c r="F38"/>
      <c r="G38"/>
      <c r="H38" s="86"/>
      <c r="I38"/>
      <c r="J38"/>
      <c r="K38"/>
      <c r="L38"/>
      <c r="M38"/>
      <c r="N38"/>
      <c r="O38"/>
      <c r="P38"/>
      <c r="Q38"/>
      <c r="R38"/>
      <c r="S38"/>
    </row>
    <row r="39" spans="6:20" ht="17.850000000000001" customHeight="1" x14ac:dyDescent="0.3">
      <c r="F39"/>
      <c r="G39"/>
      <c r="H39" s="86"/>
      <c r="I39"/>
      <c r="J39"/>
      <c r="K39"/>
      <c r="L39"/>
      <c r="M39"/>
      <c r="N39"/>
      <c r="O39"/>
      <c r="P39"/>
      <c r="Q39"/>
      <c r="R39"/>
      <c r="S39"/>
      <c r="T39" s="5"/>
    </row>
    <row r="40" spans="6:20" ht="17.850000000000001" customHeight="1" x14ac:dyDescent="0.3">
      <c r="F40"/>
      <c r="G40"/>
      <c r="H40" s="86"/>
      <c r="I40"/>
      <c r="J40"/>
      <c r="K40"/>
      <c r="L40"/>
      <c r="M40"/>
      <c r="N40"/>
      <c r="O40"/>
      <c r="P40"/>
      <c r="Q40"/>
      <c r="R40"/>
      <c r="S40"/>
      <c r="T40" s="5"/>
    </row>
    <row r="41" spans="6:20" ht="17.850000000000001" customHeight="1" x14ac:dyDescent="0.3">
      <c r="F41"/>
      <c r="G41"/>
      <c r="H41" s="86"/>
      <c r="I41"/>
      <c r="J41"/>
      <c r="K41"/>
      <c r="L41"/>
      <c r="M41"/>
      <c r="N41"/>
      <c r="O41"/>
      <c r="P41"/>
      <c r="Q41"/>
      <c r="R41"/>
      <c r="S41"/>
    </row>
    <row r="42" spans="6:20" ht="17.850000000000001" customHeight="1" x14ac:dyDescent="0.3">
      <c r="F42"/>
      <c r="G42"/>
      <c r="H42" s="86"/>
      <c r="I42"/>
      <c r="J42"/>
      <c r="K42"/>
      <c r="L42"/>
      <c r="M42"/>
      <c r="N42"/>
      <c r="O42"/>
      <c r="P42"/>
      <c r="Q42"/>
      <c r="R42"/>
      <c r="S42"/>
    </row>
    <row r="43" spans="6:20" ht="17.850000000000001" customHeight="1" x14ac:dyDescent="0.3">
      <c r="F43"/>
      <c r="G43"/>
      <c r="H43" s="86"/>
      <c r="I43"/>
      <c r="J43"/>
      <c r="K43"/>
      <c r="L43"/>
      <c r="M43"/>
      <c r="N43"/>
      <c r="O43"/>
      <c r="P43"/>
      <c r="Q43"/>
      <c r="R43"/>
      <c r="S43"/>
    </row>
    <row r="44" spans="6:20" ht="17.850000000000001" customHeight="1" x14ac:dyDescent="0.3">
      <c r="F44"/>
      <c r="G44"/>
      <c r="H44" s="86"/>
      <c r="I44"/>
      <c r="J44"/>
      <c r="K44"/>
      <c r="L44"/>
      <c r="M44"/>
      <c r="N44"/>
      <c r="O44"/>
      <c r="P44"/>
      <c r="Q44"/>
      <c r="R44"/>
      <c r="S44"/>
    </row>
    <row r="45" spans="6:20" ht="17.850000000000001" customHeight="1" x14ac:dyDescent="0.3">
      <c r="F45"/>
      <c r="G45"/>
      <c r="H45" s="86"/>
      <c r="I45"/>
      <c r="J45"/>
      <c r="K45"/>
      <c r="L45"/>
      <c r="M45"/>
      <c r="N45"/>
      <c r="O45"/>
      <c r="P45"/>
      <c r="Q45"/>
      <c r="R45"/>
      <c r="S45"/>
    </row>
    <row r="46" spans="6:20" ht="17.850000000000001" customHeight="1" x14ac:dyDescent="0.3">
      <c r="F46"/>
      <c r="G46"/>
      <c r="H46" s="86"/>
      <c r="I46"/>
      <c r="J46"/>
      <c r="K46"/>
      <c r="L46"/>
      <c r="M46"/>
      <c r="N46"/>
      <c r="O46"/>
      <c r="P46"/>
      <c r="Q46"/>
      <c r="R46"/>
      <c r="S46"/>
    </row>
    <row r="47" spans="6:20" ht="17.850000000000001" customHeight="1" x14ac:dyDescent="0.3">
      <c r="F47"/>
      <c r="G47"/>
      <c r="H47" s="86"/>
      <c r="I47"/>
      <c r="J47"/>
      <c r="K47"/>
      <c r="L47"/>
      <c r="M47"/>
      <c r="N47"/>
      <c r="O47"/>
      <c r="P47"/>
      <c r="Q47"/>
      <c r="R47"/>
      <c r="S47"/>
    </row>
    <row r="48" spans="6:20" ht="17.850000000000001" customHeight="1" x14ac:dyDescent="0.3">
      <c r="F48"/>
      <c r="G48"/>
      <c r="H48" s="86"/>
      <c r="I48"/>
      <c r="J48"/>
      <c r="K48"/>
      <c r="L48"/>
      <c r="M48"/>
      <c r="N48"/>
      <c r="O48"/>
      <c r="P48"/>
      <c r="Q48"/>
      <c r="R48"/>
      <c r="S48"/>
    </row>
    <row r="49" spans="6:19" ht="17.850000000000001" customHeight="1" x14ac:dyDescent="0.3">
      <c r="F49"/>
      <c r="G49"/>
      <c r="H49" s="86"/>
      <c r="I49"/>
      <c r="J49"/>
      <c r="K49"/>
      <c r="L49"/>
      <c r="M49"/>
      <c r="N49"/>
      <c r="O49"/>
      <c r="P49"/>
      <c r="Q49"/>
      <c r="R49"/>
      <c r="S49"/>
    </row>
    <row r="50" spans="6:19" ht="17.850000000000001" customHeight="1" x14ac:dyDescent="0.3">
      <c r="F50"/>
      <c r="G50"/>
      <c r="H50" s="86"/>
      <c r="I50"/>
      <c r="J50"/>
      <c r="K50"/>
      <c r="L50"/>
      <c r="M50"/>
      <c r="N50"/>
      <c r="O50"/>
      <c r="P50"/>
      <c r="Q50"/>
      <c r="R50"/>
      <c r="S50"/>
    </row>
    <row r="51" spans="6:19" ht="17.850000000000001" customHeight="1" x14ac:dyDescent="0.3">
      <c r="F51"/>
      <c r="G51"/>
      <c r="H51" s="86"/>
      <c r="I51"/>
      <c r="J51"/>
      <c r="K51"/>
      <c r="L51"/>
      <c r="M51"/>
      <c r="N51"/>
      <c r="O51"/>
      <c r="P51"/>
      <c r="Q51"/>
      <c r="R51"/>
      <c r="S51"/>
    </row>
    <row r="52" spans="6:19" ht="17.850000000000001" customHeight="1" x14ac:dyDescent="0.3">
      <c r="F52"/>
      <c r="G52"/>
      <c r="H52" s="86"/>
      <c r="I52"/>
      <c r="J52"/>
      <c r="K52"/>
      <c r="L52"/>
      <c r="M52"/>
      <c r="N52"/>
      <c r="O52"/>
      <c r="P52"/>
      <c r="Q52"/>
      <c r="R52"/>
      <c r="S52"/>
    </row>
    <row r="53" spans="6:19" ht="17.850000000000001" customHeight="1" x14ac:dyDescent="0.3">
      <c r="F53"/>
      <c r="G53"/>
      <c r="H53" s="86"/>
      <c r="I53"/>
      <c r="J53"/>
      <c r="K53"/>
      <c r="L53"/>
      <c r="M53"/>
      <c r="N53"/>
      <c r="O53"/>
      <c r="P53"/>
      <c r="Q53"/>
      <c r="R53"/>
      <c r="S53"/>
    </row>
    <row r="54" spans="6:19" ht="17.850000000000001" customHeight="1" x14ac:dyDescent="0.3">
      <c r="F54"/>
      <c r="G54"/>
      <c r="H54" s="86"/>
      <c r="I54"/>
      <c r="J54"/>
      <c r="K54"/>
      <c r="L54"/>
      <c r="M54"/>
      <c r="N54"/>
      <c r="O54"/>
      <c r="P54"/>
      <c r="Q54"/>
      <c r="R54"/>
      <c r="S54"/>
    </row>
    <row r="55" spans="6:19" ht="17.850000000000001" customHeight="1" x14ac:dyDescent="0.3">
      <c r="F55"/>
      <c r="G55"/>
      <c r="H55" s="86"/>
      <c r="I55"/>
      <c r="J55"/>
      <c r="K55"/>
      <c r="L55"/>
      <c r="M55"/>
      <c r="N55"/>
      <c r="O55"/>
      <c r="P55"/>
      <c r="Q55"/>
      <c r="R55"/>
      <c r="S55"/>
    </row>
    <row r="56" spans="6:19" ht="17.850000000000001" customHeight="1" x14ac:dyDescent="0.3">
      <c r="F56"/>
      <c r="G56"/>
      <c r="H56" s="86"/>
      <c r="I56"/>
      <c r="J56"/>
      <c r="K56"/>
      <c r="L56"/>
      <c r="M56"/>
      <c r="N56"/>
      <c r="O56"/>
      <c r="P56"/>
      <c r="Q56"/>
      <c r="R56"/>
      <c r="S56"/>
    </row>
    <row r="57" spans="6:19" ht="17.850000000000001" customHeight="1" x14ac:dyDescent="0.3">
      <c r="F57"/>
      <c r="G57"/>
      <c r="H57" s="86"/>
      <c r="I57"/>
      <c r="J57"/>
      <c r="K57"/>
      <c r="L57"/>
      <c r="M57"/>
      <c r="N57"/>
      <c r="O57"/>
      <c r="P57"/>
      <c r="Q57"/>
      <c r="R57"/>
      <c r="S57"/>
    </row>
    <row r="58" spans="6:19" ht="17.850000000000001" customHeight="1" x14ac:dyDescent="0.3">
      <c r="F58"/>
      <c r="G58"/>
      <c r="H58" s="86"/>
      <c r="I58"/>
      <c r="J58"/>
      <c r="K58"/>
      <c r="L58"/>
      <c r="M58"/>
      <c r="N58"/>
      <c r="O58"/>
      <c r="P58"/>
      <c r="Q58"/>
      <c r="R58"/>
      <c r="S58"/>
    </row>
    <row r="59" spans="6:19" ht="17.850000000000001" customHeight="1" x14ac:dyDescent="0.3">
      <c r="F59"/>
      <c r="G59"/>
      <c r="H59" s="86"/>
      <c r="I59"/>
      <c r="J59"/>
      <c r="K59"/>
      <c r="L59"/>
      <c r="M59"/>
      <c r="N59"/>
      <c r="O59"/>
      <c r="P59"/>
      <c r="Q59"/>
      <c r="R59"/>
      <c r="S59"/>
    </row>
    <row r="60" spans="6:19" ht="17.850000000000001" customHeight="1" x14ac:dyDescent="0.3">
      <c r="F60"/>
      <c r="G60"/>
      <c r="H60" s="86"/>
      <c r="I60"/>
      <c r="J60"/>
      <c r="K60"/>
      <c r="L60"/>
      <c r="M60"/>
      <c r="N60"/>
      <c r="O60"/>
      <c r="P60"/>
      <c r="Q60"/>
      <c r="R60"/>
      <c r="S60"/>
    </row>
    <row r="61" spans="6:19" ht="17.850000000000001" customHeight="1" x14ac:dyDescent="0.3">
      <c r="F61"/>
      <c r="G61"/>
      <c r="H61" s="86"/>
      <c r="I61"/>
      <c r="J61"/>
      <c r="K61"/>
      <c r="L61"/>
      <c r="M61"/>
      <c r="N61"/>
      <c r="O61"/>
      <c r="P61"/>
      <c r="Q61"/>
      <c r="R61"/>
      <c r="S61"/>
    </row>
    <row r="62" spans="6:19" ht="17.850000000000001" customHeight="1" x14ac:dyDescent="0.3">
      <c r="F62"/>
      <c r="G62"/>
      <c r="H62" s="86"/>
      <c r="I62"/>
      <c r="J62"/>
      <c r="K62"/>
      <c r="L62"/>
      <c r="M62"/>
      <c r="N62"/>
      <c r="O62"/>
      <c r="P62"/>
      <c r="Q62"/>
      <c r="R62"/>
      <c r="S62"/>
    </row>
    <row r="63" spans="6:19" ht="17.850000000000001" customHeight="1" x14ac:dyDescent="0.3">
      <c r="F63"/>
      <c r="G63"/>
      <c r="H63" s="86"/>
      <c r="I63"/>
      <c r="J63"/>
      <c r="K63"/>
      <c r="L63"/>
      <c r="M63"/>
      <c r="N63"/>
      <c r="O63"/>
      <c r="P63"/>
      <c r="Q63"/>
      <c r="R63"/>
      <c r="S63"/>
    </row>
    <row r="64" spans="6:19" ht="17.850000000000001" customHeight="1" x14ac:dyDescent="0.3">
      <c r="F64"/>
      <c r="G64"/>
      <c r="H64" s="86"/>
      <c r="I64"/>
      <c r="J64"/>
      <c r="K64"/>
      <c r="L64"/>
      <c r="M64"/>
      <c r="N64"/>
      <c r="O64"/>
      <c r="P64"/>
      <c r="Q64"/>
      <c r="R64"/>
      <c r="S64"/>
    </row>
  </sheetData>
  <mergeCells count="72">
    <mergeCell ref="B18:D18"/>
    <mergeCell ref="B22:D22"/>
    <mergeCell ref="AM9:AQ9"/>
    <mergeCell ref="AF15:AG15"/>
    <mergeCell ref="AI15:AJ15"/>
    <mergeCell ref="AM15:AQ15"/>
    <mergeCell ref="B15:D15"/>
    <mergeCell ref="L17:S17"/>
    <mergeCell ref="AF17:AG17"/>
    <mergeCell ref="AI17:AJ17"/>
    <mergeCell ref="AM17:AO17"/>
    <mergeCell ref="AF9:AG9"/>
    <mergeCell ref="AF11:AG11"/>
    <mergeCell ref="AI9:AJ9"/>
    <mergeCell ref="AM7:AP7"/>
    <mergeCell ref="AM11:AQ11"/>
    <mergeCell ref="AE3:AJ3"/>
    <mergeCell ref="B21:D21"/>
    <mergeCell ref="B16:D16"/>
    <mergeCell ref="B17:D17"/>
    <mergeCell ref="B19:D19"/>
    <mergeCell ref="F3:J3"/>
    <mergeCell ref="B4:D5"/>
    <mergeCell ref="B7:D7"/>
    <mergeCell ref="C9:D10"/>
    <mergeCell ref="F5:J5"/>
    <mergeCell ref="B12:D12"/>
    <mergeCell ref="B14:D14"/>
    <mergeCell ref="AE5:AK5"/>
    <mergeCell ref="AM13:AQ13"/>
    <mergeCell ref="AF7:AG7"/>
    <mergeCell ref="AI6:AJ6"/>
    <mergeCell ref="AF6:AG6"/>
    <mergeCell ref="AF13:AG13"/>
    <mergeCell ref="AI13:AJ13"/>
    <mergeCell ref="AI7:AJ7"/>
    <mergeCell ref="AI11:AJ11"/>
    <mergeCell ref="F26:H26"/>
    <mergeCell ref="I26:K26"/>
    <mergeCell ref="AF21:AG21"/>
    <mergeCell ref="BE9:BI9"/>
    <mergeCell ref="AX15:AY15"/>
    <mergeCell ref="BA15:BB15"/>
    <mergeCell ref="BE15:BI15"/>
    <mergeCell ref="AX11:AY11"/>
    <mergeCell ref="BA11:BB11"/>
    <mergeCell ref="BE11:BI11"/>
    <mergeCell ref="AX13:AY13"/>
    <mergeCell ref="BA13:BB13"/>
    <mergeCell ref="BE13:BI13"/>
    <mergeCell ref="AI21:AJ21"/>
    <mergeCell ref="AF19:AG19"/>
    <mergeCell ref="BO3:BV3"/>
    <mergeCell ref="AX17:AY17"/>
    <mergeCell ref="BA17:BB17"/>
    <mergeCell ref="BE17:BM17"/>
    <mergeCell ref="AW3:BC3"/>
    <mergeCell ref="AW5:BC5"/>
    <mergeCell ref="AX7:AY7"/>
    <mergeCell ref="BA7:BB7"/>
    <mergeCell ref="BE7:BH7"/>
    <mergeCell ref="AX6:AY6"/>
    <mergeCell ref="BA6:BB6"/>
    <mergeCell ref="AX9:AY9"/>
    <mergeCell ref="BA9:BB9"/>
    <mergeCell ref="AI19:AJ19"/>
    <mergeCell ref="AM19:AP19"/>
    <mergeCell ref="AM21:AP21"/>
    <mergeCell ref="B25:D25"/>
    <mergeCell ref="B23:D23"/>
    <mergeCell ref="B20:D20"/>
    <mergeCell ref="F25:K25"/>
  </mergeCells>
  <hyperlinks>
    <hyperlink ref="B12:D12" location="RESULTS!A1" display="Results" xr:uid="{021373F7-23A7-4C52-A86B-2020411224E7}"/>
    <hyperlink ref="B7:D7" location="USAGE!A1" display="Usage" xr:uid="{B5F5A7E9-BF86-4CA1-866C-4D80D10F2303}"/>
    <hyperlink ref="B14:D14" location="DASHBOARD!A1" display="DASHBOARD" xr:uid="{E3EEF158-38CD-4ADE-B190-FD0EA5235B67}"/>
    <hyperlink ref="A18:D18" location="'BODY 4'!A1" display="Swing Chassis" xr:uid="{6E7933E2-1FEE-4CB6-9E4E-7FCA24040F50}"/>
    <hyperlink ref="B18:D18" location="'BODY 3'!A1" display="Rear Axle" xr:uid="{6EA7179A-B477-40C1-BBAC-93A5E9520AB5}"/>
    <hyperlink ref="B16:D16" location="'BODY 1'!A1" display="Drive Chassis" xr:uid="{00B315BC-4799-4922-84F7-93D16C05FDFB}"/>
    <hyperlink ref="B17:D17" location="'BODY 2'!A1" display="Front Axle" xr:uid="{A3FB76FF-6CB7-40AC-A48E-3095973037BB}"/>
    <hyperlink ref="B19:D19" location="'BODY 4'!A1" display="Swing Chassis" xr:uid="{F3455B15-BE0A-46D3-8303-D674FC0C10F9}"/>
    <hyperlink ref="B21:D21" location="WHEELS!A1" display="Wheels" xr:uid="{FD967873-637F-4DEC-9357-276938896D3C}"/>
    <hyperlink ref="B15:D15" location="GENERIC!A1" display="Generic Parameters" xr:uid="{653DE342-97BF-4933-BAD3-A123DF8212AE}"/>
    <hyperlink ref="B22:D22" location="'OSCILLATE HC'!A1" display="Oscillate HC" xr:uid="{CF58134F-3B3C-4C7B-994D-8FD7460DC859}"/>
    <hyperlink ref="B20:D20" location="'BODY 5'!A1" display="Boom" xr:uid="{604CBC36-A942-4E41-87D1-E705F593670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curbs_check_box">
              <controlPr locked="0" defaultSize="0" autoFill="0" autoLine="0" autoPict="0" macro="[0]!curbs_check_Click">
                <anchor moveWithCells="1">
                  <from>
                    <xdr:col>7</xdr:col>
                    <xdr:colOff>0</xdr:colOff>
                    <xdr:row>10</xdr:row>
                    <xdr:rowOff>0</xdr:rowOff>
                  </from>
                  <to>
                    <xdr:col>9</xdr:col>
                    <xdr:colOff>0</xdr:colOff>
                    <xdr:row>11</xdr:row>
                    <xdr:rowOff>9525</xdr:rowOff>
                  </to>
                </anchor>
              </controlPr>
            </control>
          </mc:Choice>
        </mc:AlternateContent>
        <mc:AlternateContent xmlns:mc="http://schemas.openxmlformats.org/markup-compatibility/2006">
          <mc:Choice Requires="x14">
            <control shapeId="11269" r:id="rId5" name="potholes_check_box">
              <controlPr locked="0" defaultSize="0" autoFill="0" autoLine="0" autoPict="0" macro="[0]!potholes_check_Click">
                <anchor moveWithCells="1">
                  <from>
                    <xdr:col>6</xdr:col>
                    <xdr:colOff>942975</xdr:colOff>
                    <xdr:row>11</xdr:row>
                    <xdr:rowOff>209550</xdr:rowOff>
                  </from>
                  <to>
                    <xdr:col>8</xdr:col>
                    <xdr:colOff>1228725</xdr:colOff>
                    <xdr:row>13</xdr:row>
                    <xdr:rowOff>0</xdr:rowOff>
                  </to>
                </anchor>
              </controlPr>
            </control>
          </mc:Choice>
        </mc:AlternateContent>
        <mc:AlternateContent xmlns:mc="http://schemas.openxmlformats.org/markup-compatibility/2006">
          <mc:Choice Requires="x14">
            <control shapeId="11270" r:id="rId6" name="roughterrain_check_box">
              <controlPr locked="0" defaultSize="0" autoFill="0" autoLine="0" autoPict="0">
                <anchor moveWithCells="1">
                  <from>
                    <xdr:col>7</xdr:col>
                    <xdr:colOff>0</xdr:colOff>
                    <xdr:row>14</xdr:row>
                    <xdr:rowOff>0</xdr:rowOff>
                  </from>
                  <to>
                    <xdr:col>9</xdr:col>
                    <xdr:colOff>0</xdr:colOff>
                    <xdr:row>15</xdr:row>
                    <xdr:rowOff>9525</xdr:rowOff>
                  </to>
                </anchor>
              </controlPr>
            </control>
          </mc:Choice>
        </mc:AlternateContent>
        <mc:AlternateContent xmlns:mc="http://schemas.openxmlformats.org/markup-compatibility/2006">
          <mc:Choice Requires="x14">
            <control shapeId="11271" r:id="rId7" name="allinput_check_box">
              <controlPr locked="0" defaultSize="0" autoFill="0" autoLine="0" autoPict="0">
                <anchor moveWithCells="1">
                  <from>
                    <xdr:col>7</xdr:col>
                    <xdr:colOff>0</xdr:colOff>
                    <xdr:row>15</xdr:row>
                    <xdr:rowOff>209550</xdr:rowOff>
                  </from>
                  <to>
                    <xdr:col>9</xdr:col>
                    <xdr:colOff>0</xdr:colOff>
                    <xdr:row>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10881-9F88-4A9A-8580-FCF79C93BDF7}">
  <sheetPr codeName="SERVICE"/>
  <dimension ref="A1:W31"/>
  <sheetViews>
    <sheetView showGridLines="0" topLeftCell="B1" zoomScaleNormal="100" workbookViewId="0">
      <selection activeCell="E3" sqref="E3"/>
    </sheetView>
  </sheetViews>
  <sheetFormatPr defaultColWidth="10.28515625" defaultRowHeight="15.75" x14ac:dyDescent="0.25"/>
  <cols>
    <col min="1" max="1" width="32.140625" style="35" bestFit="1" customWidth="1"/>
    <col min="2" max="2" width="39.5703125" style="9" bestFit="1" customWidth="1"/>
    <col min="3" max="3" width="21.7109375" style="9" bestFit="1" customWidth="1"/>
    <col min="4" max="4" width="37.42578125" style="9" bestFit="1" customWidth="1"/>
    <col min="5" max="5" width="27.5703125" style="9" bestFit="1" customWidth="1"/>
    <col min="6" max="6" width="35" style="9" customWidth="1"/>
    <col min="7" max="7" width="32" style="21" bestFit="1" customWidth="1"/>
    <col min="8" max="8" width="10.28515625" style="9" customWidth="1"/>
    <col min="9" max="16384" width="10.28515625" style="9"/>
  </cols>
  <sheetData>
    <row r="1" spans="1:23" x14ac:dyDescent="0.25">
      <c r="E1" s="135"/>
      <c r="G1"/>
      <c r="H1"/>
      <c r="I1"/>
      <c r="J1"/>
      <c r="K1"/>
      <c r="L1"/>
      <c r="M1"/>
      <c r="N1"/>
      <c r="O1"/>
      <c r="P1"/>
      <c r="Q1"/>
      <c r="R1"/>
      <c r="S1"/>
      <c r="T1"/>
      <c r="U1"/>
      <c r="V1"/>
      <c r="W1"/>
    </row>
    <row r="2" spans="1:23" x14ac:dyDescent="0.25">
      <c r="E2" s="135"/>
      <c r="G2"/>
      <c r="H2"/>
      <c r="I2"/>
      <c r="J2"/>
      <c r="K2"/>
      <c r="L2"/>
      <c r="M2"/>
      <c r="N2"/>
      <c r="O2"/>
      <c r="P2"/>
      <c r="Q2"/>
      <c r="R2"/>
      <c r="S2"/>
      <c r="T2"/>
      <c r="U2"/>
      <c r="V2"/>
      <c r="W2"/>
    </row>
    <row r="3" spans="1:23" x14ac:dyDescent="0.25">
      <c r="E3" s="135"/>
      <c r="G3"/>
      <c r="H3"/>
      <c r="I3"/>
      <c r="J3"/>
      <c r="K3"/>
      <c r="L3"/>
      <c r="M3"/>
      <c r="N3"/>
      <c r="O3"/>
      <c r="P3"/>
      <c r="Q3"/>
      <c r="R3"/>
      <c r="S3"/>
      <c r="T3"/>
      <c r="U3"/>
      <c r="V3"/>
      <c r="W3"/>
    </row>
    <row r="4" spans="1:23" x14ac:dyDescent="0.25">
      <c r="E4" s="135"/>
      <c r="G4"/>
      <c r="H4"/>
      <c r="I4"/>
      <c r="J4"/>
      <c r="K4"/>
      <c r="L4"/>
      <c r="M4"/>
      <c r="N4"/>
      <c r="O4"/>
      <c r="P4"/>
      <c r="Q4"/>
      <c r="R4"/>
      <c r="S4"/>
      <c r="T4"/>
      <c r="U4"/>
      <c r="V4"/>
      <c r="W4"/>
    </row>
    <row r="5" spans="1:23" x14ac:dyDescent="0.25">
      <c r="E5" s="135"/>
      <c r="G5"/>
      <c r="H5"/>
      <c r="I5"/>
      <c r="J5"/>
      <c r="K5"/>
      <c r="L5"/>
      <c r="M5"/>
      <c r="N5"/>
      <c r="O5"/>
      <c r="P5"/>
      <c r="Q5"/>
      <c r="R5"/>
      <c r="S5"/>
      <c r="T5"/>
      <c r="U5"/>
      <c r="V5"/>
      <c r="W5"/>
    </row>
    <row r="6" spans="1:23" x14ac:dyDescent="0.25">
      <c r="E6" s="135"/>
      <c r="G6"/>
      <c r="H6"/>
      <c r="I6"/>
      <c r="J6"/>
      <c r="K6"/>
      <c r="L6"/>
      <c r="M6"/>
      <c r="N6"/>
      <c r="O6"/>
      <c r="P6"/>
      <c r="Q6"/>
      <c r="R6"/>
      <c r="S6"/>
      <c r="T6"/>
      <c r="U6"/>
      <c r="V6"/>
      <c r="W6"/>
    </row>
    <row r="7" spans="1:23" x14ac:dyDescent="0.25">
      <c r="E7" s="135"/>
      <c r="G7"/>
      <c r="H7"/>
      <c r="I7"/>
      <c r="J7"/>
      <c r="K7"/>
      <c r="L7"/>
      <c r="M7"/>
      <c r="N7"/>
      <c r="O7"/>
      <c r="P7"/>
      <c r="Q7"/>
      <c r="R7"/>
      <c r="S7"/>
      <c r="T7"/>
      <c r="U7"/>
      <c r="V7"/>
      <c r="W7"/>
    </row>
    <row r="8" spans="1:23" ht="15" x14ac:dyDescent="0.25">
      <c r="A8" s="38"/>
      <c r="B8" s="38"/>
      <c r="C8" s="38"/>
      <c r="D8" s="38"/>
      <c r="E8" s="135"/>
      <c r="G8"/>
      <c r="H8"/>
      <c r="I8"/>
      <c r="J8"/>
      <c r="K8"/>
      <c r="L8"/>
      <c r="M8"/>
      <c r="N8"/>
      <c r="O8"/>
      <c r="P8"/>
      <c r="Q8"/>
      <c r="R8"/>
      <c r="S8"/>
      <c r="T8"/>
      <c r="U8"/>
      <c r="V8"/>
      <c r="W8"/>
    </row>
    <row r="9" spans="1:23" ht="16.5" x14ac:dyDescent="0.25">
      <c r="A9" s="68" t="s">
        <v>110</v>
      </c>
      <c r="B9" s="68" t="s">
        <v>111</v>
      </c>
      <c r="C9" s="38"/>
      <c r="D9" s="9" t="s">
        <v>164</v>
      </c>
      <c r="G9"/>
      <c r="H9"/>
      <c r="I9"/>
      <c r="J9"/>
      <c r="K9"/>
      <c r="L9"/>
      <c r="M9"/>
      <c r="N9"/>
      <c r="O9"/>
      <c r="P9"/>
      <c r="Q9"/>
      <c r="R9"/>
      <c r="S9"/>
      <c r="T9"/>
      <c r="U9"/>
      <c r="V9"/>
      <c r="W9"/>
    </row>
    <row r="10" spans="1:23" ht="15" x14ac:dyDescent="0.25">
      <c r="A10" s="9">
        <v>2.2046226218</v>
      </c>
      <c r="B10" s="9" t="s">
        <v>112</v>
      </c>
      <c r="C10" s="38"/>
      <c r="D10" s="9" t="s">
        <v>165</v>
      </c>
      <c r="G10"/>
      <c r="H10"/>
      <c r="I10"/>
      <c r="J10"/>
      <c r="K10"/>
      <c r="L10"/>
      <c r="M10"/>
      <c r="N10"/>
      <c r="O10"/>
      <c r="P10"/>
      <c r="Q10"/>
      <c r="R10"/>
      <c r="S10"/>
      <c r="T10"/>
      <c r="U10"/>
      <c r="V10"/>
      <c r="W10"/>
    </row>
    <row r="11" spans="1:23" ht="15" x14ac:dyDescent="0.25">
      <c r="A11" s="9">
        <v>25.4</v>
      </c>
      <c r="B11" s="9" t="s">
        <v>113</v>
      </c>
      <c r="C11" s="38"/>
      <c r="D11" s="9" t="s">
        <v>166</v>
      </c>
      <c r="G11"/>
      <c r="H11"/>
      <c r="I11"/>
      <c r="J11"/>
      <c r="K11"/>
      <c r="L11"/>
      <c r="M11"/>
      <c r="N11"/>
      <c r="O11"/>
      <c r="P11"/>
      <c r="Q11"/>
      <c r="R11"/>
      <c r="S11"/>
      <c r="T11"/>
      <c r="U11"/>
      <c r="V11"/>
      <c r="W11"/>
    </row>
    <row r="12" spans="1:23" ht="17.25" x14ac:dyDescent="0.25">
      <c r="A12" s="9">
        <v>3417.1719029999999</v>
      </c>
      <c r="B12" s="9" t="s">
        <v>114</v>
      </c>
      <c r="C12" s="38"/>
      <c r="D12" s="9" t="s">
        <v>167</v>
      </c>
      <c r="G12"/>
      <c r="H12"/>
      <c r="I12"/>
      <c r="J12"/>
      <c r="K12"/>
      <c r="L12"/>
      <c r="M12"/>
      <c r="N12"/>
      <c r="O12"/>
      <c r="P12"/>
      <c r="Q12"/>
      <c r="R12"/>
      <c r="S12"/>
      <c r="T12"/>
      <c r="U12"/>
      <c r="V12"/>
      <c r="W12"/>
    </row>
    <row r="13" spans="1:23" thickBot="1" x14ac:dyDescent="0.3">
      <c r="A13" s="9">
        <v>39.370100000000001</v>
      </c>
      <c r="B13" s="9" t="s">
        <v>115</v>
      </c>
      <c r="C13" s="38"/>
      <c r="D13" s="38"/>
      <c r="G13"/>
      <c r="H13"/>
      <c r="I13"/>
      <c r="J13"/>
      <c r="K13"/>
      <c r="L13"/>
      <c r="M13"/>
      <c r="N13"/>
      <c r="O13"/>
      <c r="P13"/>
      <c r="Q13"/>
      <c r="R13"/>
      <c r="S13"/>
      <c r="T13"/>
      <c r="U13"/>
      <c r="V13"/>
      <c r="W13"/>
    </row>
    <row r="14" spans="1:23" ht="15" x14ac:dyDescent="0.25">
      <c r="A14" s="9">
        <v>0.2248</v>
      </c>
      <c r="B14" s="9" t="s">
        <v>116</v>
      </c>
      <c r="C14" s="38"/>
      <c r="D14" s="210" t="s">
        <v>161</v>
      </c>
      <c r="E14" s="212" t="s">
        <v>193</v>
      </c>
      <c r="G14"/>
      <c r="H14"/>
      <c r="I14"/>
      <c r="J14"/>
      <c r="K14"/>
      <c r="L14"/>
      <c r="M14"/>
      <c r="N14"/>
      <c r="O14"/>
      <c r="P14"/>
      <c r="Q14"/>
      <c r="R14"/>
      <c r="S14"/>
      <c r="T14"/>
      <c r="U14"/>
      <c r="V14"/>
      <c r="W14"/>
    </row>
    <row r="15" spans="1:23" thickBot="1" x14ac:dyDescent="0.3">
      <c r="A15" s="9">
        <v>5.7101499999999998E-3</v>
      </c>
      <c r="B15" s="9" t="s">
        <v>117</v>
      </c>
      <c r="C15" s="38"/>
      <c r="D15" s="211"/>
      <c r="E15" s="213"/>
      <c r="G15"/>
      <c r="H15"/>
      <c r="I15"/>
      <c r="J15"/>
      <c r="K15"/>
      <c r="L15"/>
      <c r="M15"/>
      <c r="N15"/>
      <c r="O15"/>
      <c r="P15"/>
      <c r="Q15"/>
      <c r="R15"/>
      <c r="S15"/>
      <c r="T15"/>
      <c r="U15"/>
      <c r="V15"/>
      <c r="W15"/>
    </row>
    <row r="16" spans="1:23" ht="15" x14ac:dyDescent="0.25">
      <c r="A16" s="136">
        <v>145.03800000000001</v>
      </c>
      <c r="B16" s="9" t="s">
        <v>118</v>
      </c>
      <c r="C16" s="38"/>
      <c r="D16" s="38"/>
      <c r="G16"/>
      <c r="H16"/>
      <c r="I16"/>
      <c r="J16"/>
      <c r="K16"/>
      <c r="L16"/>
      <c r="M16"/>
      <c r="N16"/>
      <c r="O16"/>
      <c r="P16"/>
      <c r="Q16"/>
      <c r="R16"/>
      <c r="S16"/>
      <c r="T16"/>
      <c r="U16"/>
      <c r="V16"/>
      <c r="W16"/>
    </row>
    <row r="17" spans="1:23" ht="15" x14ac:dyDescent="0.25">
      <c r="A17" s="38"/>
      <c r="B17" s="38"/>
      <c r="C17" s="38"/>
      <c r="D17" s="38"/>
      <c r="G17"/>
      <c r="H17"/>
      <c r="I17"/>
      <c r="J17"/>
      <c r="K17"/>
      <c r="L17"/>
      <c r="M17"/>
      <c r="N17"/>
      <c r="O17"/>
      <c r="P17"/>
      <c r="Q17"/>
      <c r="R17"/>
      <c r="S17"/>
      <c r="T17"/>
      <c r="U17"/>
      <c r="V17"/>
      <c r="W17"/>
    </row>
    <row r="18" spans="1:23" ht="15" x14ac:dyDescent="0.25">
      <c r="A18" s="38"/>
      <c r="B18" s="38"/>
      <c r="C18" s="38"/>
      <c r="D18" s="38"/>
      <c r="G18"/>
      <c r="H18"/>
      <c r="I18"/>
      <c r="J18"/>
      <c r="K18"/>
      <c r="L18"/>
      <c r="M18"/>
      <c r="N18"/>
      <c r="O18"/>
      <c r="P18"/>
      <c r="Q18"/>
      <c r="R18"/>
      <c r="S18"/>
      <c r="T18"/>
      <c r="U18"/>
      <c r="V18"/>
      <c r="W18"/>
    </row>
    <row r="19" spans="1:23" ht="15" x14ac:dyDescent="0.25">
      <c r="A19" s="38"/>
      <c r="B19" s="38"/>
      <c r="C19" s="38"/>
      <c r="D19" s="38"/>
      <c r="G19"/>
      <c r="H19"/>
      <c r="I19"/>
      <c r="J19"/>
      <c r="K19"/>
      <c r="L19"/>
      <c r="M19"/>
      <c r="N19"/>
      <c r="O19"/>
      <c r="P19"/>
      <c r="Q19"/>
      <c r="R19"/>
      <c r="S19"/>
      <c r="T19"/>
      <c r="U19"/>
      <c r="V19"/>
      <c r="W19"/>
    </row>
    <row r="20" spans="1:23" ht="15" x14ac:dyDescent="0.25">
      <c r="A20" s="38"/>
      <c r="B20" s="38"/>
      <c r="C20" s="38"/>
      <c r="D20" s="38"/>
      <c r="G20"/>
      <c r="H20"/>
      <c r="I20"/>
      <c r="J20"/>
      <c r="K20"/>
      <c r="L20"/>
      <c r="M20"/>
      <c r="N20"/>
      <c r="O20"/>
      <c r="P20"/>
      <c r="Q20"/>
      <c r="R20"/>
      <c r="S20"/>
      <c r="T20"/>
      <c r="U20"/>
      <c r="V20"/>
      <c r="W20"/>
    </row>
    <row r="21" spans="1:23" ht="15" x14ac:dyDescent="0.25">
      <c r="A21" s="38"/>
      <c r="B21" s="38"/>
      <c r="C21" s="38"/>
      <c r="D21" s="38"/>
      <c r="G21"/>
      <c r="H21"/>
      <c r="I21"/>
      <c r="J21"/>
      <c r="K21"/>
      <c r="L21"/>
      <c r="M21"/>
      <c r="N21"/>
      <c r="O21"/>
      <c r="P21"/>
      <c r="Q21"/>
      <c r="R21"/>
      <c r="S21"/>
      <c r="T21"/>
      <c r="U21"/>
      <c r="V21"/>
      <c r="W21"/>
    </row>
    <row r="22" spans="1:23" ht="15" x14ac:dyDescent="0.25">
      <c r="A22" s="38"/>
      <c r="B22" s="38"/>
      <c r="C22" s="38"/>
      <c r="D22" s="38"/>
      <c r="G22"/>
      <c r="H22"/>
      <c r="I22"/>
      <c r="J22"/>
      <c r="K22"/>
      <c r="L22"/>
      <c r="M22"/>
      <c r="N22"/>
      <c r="O22"/>
      <c r="P22"/>
      <c r="Q22"/>
      <c r="R22"/>
      <c r="S22"/>
      <c r="T22"/>
      <c r="U22"/>
      <c r="V22"/>
      <c r="W22"/>
    </row>
    <row r="23" spans="1:23" ht="15" x14ac:dyDescent="0.25">
      <c r="A23" s="38"/>
      <c r="B23" s="38"/>
      <c r="C23" s="38"/>
      <c r="D23" s="38"/>
      <c r="G23"/>
      <c r="H23"/>
      <c r="I23"/>
      <c r="J23"/>
      <c r="K23"/>
      <c r="L23"/>
      <c r="M23"/>
      <c r="N23"/>
      <c r="O23"/>
      <c r="P23"/>
      <c r="Q23"/>
      <c r="R23"/>
      <c r="S23"/>
      <c r="T23"/>
      <c r="U23"/>
      <c r="V23"/>
      <c r="W23"/>
    </row>
    <row r="24" spans="1:23" ht="15" x14ac:dyDescent="0.25">
      <c r="A24" s="38"/>
      <c r="B24" s="38"/>
      <c r="C24" s="38"/>
      <c r="D24" s="38"/>
      <c r="G24"/>
      <c r="H24"/>
      <c r="I24"/>
      <c r="J24"/>
      <c r="K24"/>
      <c r="L24"/>
      <c r="M24"/>
      <c r="N24"/>
      <c r="O24"/>
      <c r="P24"/>
      <c r="Q24"/>
      <c r="R24"/>
      <c r="S24"/>
      <c r="T24"/>
      <c r="U24"/>
      <c r="V24"/>
      <c r="W24"/>
    </row>
    <row r="25" spans="1:23" ht="15" x14ac:dyDescent="0.25">
      <c r="A25" s="38"/>
      <c r="B25" s="38"/>
      <c r="C25" s="38"/>
      <c r="D25" s="38"/>
      <c r="G25"/>
      <c r="H25"/>
      <c r="I25"/>
      <c r="J25"/>
      <c r="K25"/>
      <c r="L25"/>
      <c r="M25"/>
      <c r="N25"/>
      <c r="O25"/>
      <c r="P25"/>
      <c r="Q25"/>
      <c r="R25"/>
      <c r="S25"/>
      <c r="T25"/>
      <c r="U25"/>
      <c r="V25"/>
      <c r="W25"/>
    </row>
    <row r="26" spans="1:23" ht="15" x14ac:dyDescent="0.25">
      <c r="A26" s="38"/>
      <c r="B26" s="38"/>
      <c r="C26" s="38"/>
      <c r="D26" s="38"/>
      <c r="G26"/>
      <c r="H26"/>
      <c r="I26"/>
      <c r="J26"/>
      <c r="K26"/>
      <c r="L26"/>
      <c r="M26"/>
      <c r="N26"/>
      <c r="O26"/>
      <c r="P26"/>
      <c r="Q26"/>
      <c r="R26"/>
      <c r="S26"/>
      <c r="T26"/>
      <c r="U26"/>
      <c r="V26"/>
      <c r="W26"/>
    </row>
    <row r="27" spans="1:23" ht="15" x14ac:dyDescent="0.25">
      <c r="A27" s="38"/>
      <c r="B27" s="38"/>
      <c r="C27" s="38"/>
      <c r="D27" s="38"/>
      <c r="G27"/>
      <c r="H27"/>
      <c r="I27"/>
      <c r="J27"/>
      <c r="K27"/>
      <c r="L27"/>
      <c r="M27"/>
      <c r="N27"/>
      <c r="O27"/>
      <c r="P27"/>
      <c r="Q27"/>
      <c r="R27"/>
      <c r="S27"/>
      <c r="T27"/>
      <c r="U27"/>
      <c r="V27"/>
      <c r="W27"/>
    </row>
    <row r="28" spans="1:23" ht="15" x14ac:dyDescent="0.25">
      <c r="A28" s="38"/>
      <c r="B28" s="38"/>
      <c r="C28" s="38"/>
      <c r="D28" s="38"/>
      <c r="G28"/>
      <c r="H28"/>
      <c r="I28"/>
      <c r="J28"/>
      <c r="K28"/>
      <c r="L28"/>
      <c r="M28"/>
      <c r="N28"/>
      <c r="O28"/>
      <c r="P28"/>
      <c r="Q28"/>
      <c r="R28"/>
      <c r="S28"/>
      <c r="T28"/>
      <c r="U28"/>
      <c r="V28"/>
      <c r="W28"/>
    </row>
    <row r="29" spans="1:23" ht="15" x14ac:dyDescent="0.25">
      <c r="A29" s="38"/>
      <c r="B29" s="38"/>
      <c r="C29" s="38"/>
      <c r="D29" s="38"/>
      <c r="G29"/>
      <c r="H29"/>
      <c r="I29"/>
      <c r="J29"/>
      <c r="K29"/>
      <c r="L29"/>
      <c r="M29"/>
      <c r="N29"/>
      <c r="O29"/>
      <c r="P29"/>
      <c r="Q29"/>
      <c r="R29"/>
      <c r="S29"/>
      <c r="T29"/>
      <c r="U29"/>
      <c r="V29"/>
      <c r="W29"/>
    </row>
    <row r="30" spans="1:23" ht="15" x14ac:dyDescent="0.25">
      <c r="A30" s="38"/>
      <c r="B30" s="38"/>
      <c r="C30" s="38"/>
      <c r="D30" s="38"/>
      <c r="G30"/>
      <c r="H30"/>
      <c r="I30"/>
      <c r="J30"/>
      <c r="K30"/>
      <c r="L30"/>
      <c r="M30"/>
      <c r="N30"/>
      <c r="O30"/>
      <c r="P30"/>
      <c r="Q30"/>
      <c r="R30"/>
      <c r="S30"/>
      <c r="T30"/>
      <c r="U30"/>
      <c r="V30"/>
      <c r="W30"/>
    </row>
    <row r="31" spans="1:23" ht="15" x14ac:dyDescent="0.25">
      <c r="A31" s="38"/>
      <c r="B31" s="38"/>
      <c r="C31" s="38"/>
      <c r="D31" s="38"/>
      <c r="G31"/>
      <c r="H31"/>
      <c r="I31"/>
      <c r="J31"/>
      <c r="K31"/>
      <c r="L31"/>
      <c r="M31"/>
      <c r="N31"/>
      <c r="O31"/>
      <c r="P31"/>
      <c r="Q31"/>
      <c r="R31"/>
      <c r="S31"/>
      <c r="T31"/>
      <c r="U31"/>
      <c r="V31"/>
      <c r="W31"/>
    </row>
  </sheetData>
  <mergeCells count="2">
    <mergeCell ref="D14:D15"/>
    <mergeCell ref="E14:E15"/>
  </mergeCells>
  <phoneticPr fontId="42" type="noConversion"/>
  <pageMargins left="0.7" right="0.7" top="0.75" bottom="0.75" header="0.3" footer="0.3"/>
  <pageSetup orientation="portrait"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rCAiACwAIgBpAHMAQwB1AHIAcgBlAG4AYwB5AFMAeQBtAGIAbwBsAEwAZQBhAGQAIgA6AGYAYQBsAHMAZQAsACIAaQBzAEMAdQByAHIAZQBuAGMAeQBTAGUAcABCAHkAUwBwAGEAYwBlACIAOgB0AHIAdQBlACwAIgByAG8AdwBMAGUAdAB0AGUAcgAiADoAIgBSACIALAAiAGMAbwBsAHUAbQBuAEwAZQB0AHQAZQByACIAOgAiAEMAIgAsACIAcgBjAEwAZQBmAHQAQgByAGEAYwBrAGUAdAAiADoAIgBbACIALAAiAHIAYwBSAGkAZwBoAHQAQgByAGEAYwBrAGUAdAAiADoAIgBdACIALAAiAHMAdABhAHQAZQBtAGUAbgB0AFMAZQBwAGEAcgBhAHQAbwByACIAOgAiADsAOwAiACwAIgBsAG8AYwBhAGwAZQBOAGEAbQBlACIAOgAiAGUAbgAtAHUAcwAiAH0AfQA=</AFEJSONBlob>
</file>

<file path=customXml/itemProps1.xml><?xml version="1.0" encoding="utf-8"?>
<ds:datastoreItem xmlns:ds="http://schemas.openxmlformats.org/officeDocument/2006/customXml" ds:itemID="{B4CEF34A-1276-4F65-8244-7C8DA76A6BF5}">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95</vt:i4>
      </vt:variant>
    </vt:vector>
  </HeadingPairs>
  <TitlesOfParts>
    <vt:vector size="108" baseType="lpstr">
      <vt:lpstr>USAGE</vt:lpstr>
      <vt:lpstr>DASHBOARD</vt:lpstr>
      <vt:lpstr>RESULTS</vt:lpstr>
      <vt:lpstr>GENERIC</vt:lpstr>
      <vt:lpstr>BODY 1</vt:lpstr>
      <vt:lpstr>BODY 2</vt:lpstr>
      <vt:lpstr>BODY 3</vt:lpstr>
      <vt:lpstr>BODY 4</vt:lpstr>
      <vt:lpstr>BODY 5</vt:lpstr>
      <vt:lpstr>WHEELS</vt:lpstr>
      <vt:lpstr>OSCILLATE HC</vt:lpstr>
      <vt:lpstr>BASE MOTION</vt:lpstr>
      <vt:lpstr>SERVICE</vt:lpstr>
      <vt:lpstr>boom_Ixx</vt:lpstr>
      <vt:lpstr>boom_Iyy</vt:lpstr>
      <vt:lpstr>boom_Izz</vt:lpstr>
      <vt:lpstr>boom_mass</vt:lpstr>
      <vt:lpstr>boom_xg</vt:lpstr>
      <vt:lpstr>boom_yg</vt:lpstr>
      <vt:lpstr>boom_zg</vt:lpstr>
      <vt:lpstr>curbs_angle</vt:lpstr>
      <vt:lpstr>curbs_height</vt:lpstr>
      <vt:lpstr>curbs_left_number</vt:lpstr>
      <vt:lpstr>curbs_major_base</vt:lpstr>
      <vt:lpstr>curbs_minor_base</vt:lpstr>
      <vt:lpstr>curbs_offset</vt:lpstr>
      <vt:lpstr>curbs_pitch</vt:lpstr>
      <vt:lpstr>curbs_right_number</vt:lpstr>
      <vt:lpstr>drive_chassis_Ixx</vt:lpstr>
      <vt:lpstr>drive_chassis_Iyy</vt:lpstr>
      <vt:lpstr>drive_chassis_Izz</vt:lpstr>
      <vt:lpstr>drive_chassis_mass</vt:lpstr>
      <vt:lpstr>drive_chassis_xg</vt:lpstr>
      <vt:lpstr>drive_chassis_yg</vt:lpstr>
      <vt:lpstr>drive_chassis_zg</vt:lpstr>
      <vt:lpstr>from_in_to_mm</vt:lpstr>
      <vt:lpstr>from_kg_to_lb</vt:lpstr>
      <vt:lpstr>from_kgm2_to_lbin2</vt:lpstr>
      <vt:lpstr>from_m_to_in</vt:lpstr>
      <vt:lpstr>from_MPa_to_psi</vt:lpstr>
      <vt:lpstr>from_N_to_lbf</vt:lpstr>
      <vt:lpstr>from_Nm_to_lbfin</vt:lpstr>
      <vt:lpstr>front_axle_Ixx</vt:lpstr>
      <vt:lpstr>front_axle_Iyy</vt:lpstr>
      <vt:lpstr>front_axle_Izz</vt:lpstr>
      <vt:lpstr>front_axle_mass</vt:lpstr>
      <vt:lpstr>front_axle_xg</vt:lpstr>
      <vt:lpstr>front_axle_yg</vt:lpstr>
      <vt:lpstr>front_axle_zg</vt:lpstr>
      <vt:lpstr>machine_gap</vt:lpstr>
      <vt:lpstr>machine_k13xx</vt:lpstr>
      <vt:lpstr>machine_mass</vt:lpstr>
      <vt:lpstr>machine_RFL</vt:lpstr>
      <vt:lpstr>machine_RFR</vt:lpstr>
      <vt:lpstr>machine_RRL</vt:lpstr>
      <vt:lpstr>machine_RRR</vt:lpstr>
      <vt:lpstr>machine_wheelbase</vt:lpstr>
      <vt:lpstr>machine_wheeltrack</vt:lpstr>
      <vt:lpstr>machine_xg</vt:lpstr>
      <vt:lpstr>machine_yg</vt:lpstr>
      <vt:lpstr>machine_zg</vt:lpstr>
      <vt:lpstr>oscillate_bulk_modulus</vt:lpstr>
      <vt:lpstr>oscillate_c12xx</vt:lpstr>
      <vt:lpstr>oscillate_chi0</vt:lpstr>
      <vt:lpstr>oscillate_csi</vt:lpstr>
      <vt:lpstr>oscillate_id_barrel</vt:lpstr>
      <vt:lpstr>oscillate_k12xx</vt:lpstr>
      <vt:lpstr>oscillate_kc</vt:lpstr>
      <vt:lpstr>oscillate_kt</vt:lpstr>
      <vt:lpstr>oscillate_length_a</vt:lpstr>
      <vt:lpstr>oscillate_length_b</vt:lpstr>
      <vt:lpstr>oscillate_length_c</vt:lpstr>
      <vt:lpstr>oscillate_length_closed</vt:lpstr>
      <vt:lpstr>oscillate_length_d</vt:lpstr>
      <vt:lpstr>oscillate_length_initial</vt:lpstr>
      <vt:lpstr>oscillate_length_l1</vt:lpstr>
      <vt:lpstr>oscillate_length_l2</vt:lpstr>
      <vt:lpstr>oscillate_length_l3</vt:lpstr>
      <vt:lpstr>oscillate_length_l4</vt:lpstr>
      <vt:lpstr>oscillate_od_rod</vt:lpstr>
      <vt:lpstr>oscillate_section_annulus</vt:lpstr>
      <vt:lpstr>oscillate_section_barrel</vt:lpstr>
      <vt:lpstr>oscillate_section_rod</vt:lpstr>
      <vt:lpstr>oscillate_stroke</vt:lpstr>
      <vt:lpstr>oscillate_stroke_initial</vt:lpstr>
      <vt:lpstr>oscillate_V_10</vt:lpstr>
      <vt:lpstr>oscillate_V_20</vt:lpstr>
      <vt:lpstr>password</vt:lpstr>
      <vt:lpstr>rear_axle_Ixx</vt:lpstr>
      <vt:lpstr>rear_axle_Iyy</vt:lpstr>
      <vt:lpstr>rear_axle_Izz</vt:lpstr>
      <vt:lpstr>rear_axle_mass</vt:lpstr>
      <vt:lpstr>rear_axle_xg</vt:lpstr>
      <vt:lpstr>rear_axle_yg</vt:lpstr>
      <vt:lpstr>rear_axle_zg</vt:lpstr>
      <vt:lpstr>simulation_speed</vt:lpstr>
      <vt:lpstr>simulation_time_step</vt:lpstr>
      <vt:lpstr>swing_chassis_Ixx</vt:lpstr>
      <vt:lpstr>swing_chassis_Iyy</vt:lpstr>
      <vt:lpstr>swing_chassis_Izz</vt:lpstr>
      <vt:lpstr>swing_chassis_mass</vt:lpstr>
      <vt:lpstr>swing_chassis_xg</vt:lpstr>
      <vt:lpstr>swing_chassis_yg</vt:lpstr>
      <vt:lpstr>swing_chassis_zg</vt:lpstr>
      <vt:lpstr>wheel_ctire</vt:lpstr>
      <vt:lpstr>wheel_hhub</vt:lpstr>
      <vt:lpstr>wheel_ktire</vt:lpstr>
      <vt:lpstr>wheel_rwheel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Giacomo Cangi</dc:creator>
  <cp:keywords/>
  <dc:description/>
  <cp:lastModifiedBy>Cangi, Giacomo</cp:lastModifiedBy>
  <cp:revision/>
  <dcterms:created xsi:type="dcterms:W3CDTF">2023-04-29T16:38:12Z</dcterms:created>
  <dcterms:modified xsi:type="dcterms:W3CDTF">2025-04-23T09:27:03Z</dcterms:modified>
  <cp:category/>
  <cp:contentStatus/>
</cp:coreProperties>
</file>