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xl/ctrlProps/ctrlProp35.xml" ContentType="application/vnd.ms-excel.controlproperties+xml"/>
  <Override PartName="/xl/ctrlProps/ctrlProp36.xml" ContentType="application/vnd.ms-excel.controlproperties+xml"/>
  <Override PartName="/xl/ctrlProps/ctrlProp37.xml" ContentType="application/vnd.ms-excel.controlproperties+xml"/>
  <Override PartName="/xl/ctrlProps/ctrlProp38.xml" ContentType="application/vnd.ms-excel.controlproperties+xml"/>
  <Override PartName="/xl/ctrlProps/ctrlProp39.xml" ContentType="application/vnd.ms-excel.controlproperties+xml"/>
  <Override PartName="/xl/ctrlProps/ctrlProp40.xml" ContentType="application/vnd.ms-excel.controlproperties+xml"/>
  <Override PartName="/xl/ctrlProps/ctrlProp41.xml" ContentType="application/vnd.ms-excel.controlproperties+xml"/>
  <Override PartName="/xl/ctrlProps/ctrlProp42.xml" ContentType="application/vnd.ms-excel.controlproperties+xml"/>
  <Override PartName="/xl/ctrlProps/ctrlProp43.xml" ContentType="application/vnd.ms-excel.controlproperties+xml"/>
  <Override PartName="/xl/ctrlProps/ctrlProp44.xml" ContentType="application/vnd.ms-excel.controlproperties+xml"/>
  <Override PartName="/xl/ctrlProps/ctrlProp45.xml" ContentType="application/vnd.ms-excel.controlproperties+xml"/>
  <Override PartName="/xl/ctrlProps/ctrlProp46.xml" ContentType="application/vnd.ms-excel.controlproperties+xml"/>
  <Override PartName="/xl/ctrlProps/ctrlProp47.xml" ContentType="application/vnd.ms-excel.controlproperties+xml"/>
  <Override PartName="/xl/ctrlProps/ctrlProp48.xml" ContentType="application/vnd.ms-excel.controlproperties+xml"/>
  <Override PartName="/xl/ctrlProps/ctrlProp49.xml" ContentType="application/vnd.ms-excel.controlproperties+xml"/>
  <Override PartName="/xl/ctrlProps/ctrlProp50.xml" ContentType="application/vnd.ms-excel.controlproperties+xml"/>
  <Override PartName="/xl/ctrlProps/ctrlProp51.xml" ContentType="application/vnd.ms-excel.controlproperties+xml"/>
  <Override PartName="/xl/ctrlProps/ctrlProp52.xml" ContentType="application/vnd.ms-excel.controlproperties+xml"/>
  <Override PartName="/xl/ctrlProps/ctrlProp53.xml" ContentType="application/vnd.ms-excel.controlproperties+xml"/>
  <Override PartName="/xl/ctrlProps/ctrlProp54.xml" ContentType="application/vnd.ms-excel.controlproperties+xml"/>
  <Override PartName="/xl/ctrlProps/ctrlProp55.xml" ContentType="application/vnd.ms-excel.controlproperties+xml"/>
  <Override PartName="/xl/ctrlProps/ctrlProp56.xml" ContentType="application/vnd.ms-excel.controlproperties+xml"/>
  <Override PartName="/xl/ctrlProps/ctrlProp57.xml" ContentType="application/vnd.ms-excel.controlproperties+xml"/>
  <Override PartName="/xl/ctrlProps/ctrlProp58.xml" ContentType="application/vnd.ms-excel.controlproperties+xml"/>
  <Override PartName="/xl/ctrlProps/ctrlProp59.xml" ContentType="application/vnd.ms-excel.controlproperties+xml"/>
  <Override PartName="/xl/ctrlProps/ctrlProp60.xml" ContentType="application/vnd.ms-excel.controlproperties+xml"/>
  <Override PartName="/xl/ctrlProps/ctrlProp61.xml" ContentType="application/vnd.ms-excel.controlproperties+xml"/>
  <Override PartName="/xl/ctrlProps/ctrlProp62.xml" ContentType="application/vnd.ms-excel.controlproperties+xml"/>
  <Override PartName="/xl/ctrlProps/ctrlProp63.xml" ContentType="application/vnd.ms-excel.controlproperties+xml"/>
  <Override PartName="/xl/ctrlProps/ctrlProp64.xml" ContentType="application/vnd.ms-excel.controlproperties+xml"/>
  <Override PartName="/xl/ctrlProps/ctrlProp65.xml" ContentType="application/vnd.ms-excel.controlproperties+xml"/>
  <Override PartName="/xl/ctrlProps/ctrlProp66.xml" ContentType="application/vnd.ms-excel.controlproperties+xml"/>
  <Override PartName="/xl/ctrlProps/ctrlProp67.xml" ContentType="application/vnd.ms-excel.controlproperties+xml"/>
  <Override PartName="/xl/ctrlProps/ctrlProp68.xml" ContentType="application/vnd.ms-excel.controlproperties+xml"/>
  <Override PartName="/xl/ctrlProps/ctrlProp69.xml" ContentType="application/vnd.ms-excel.controlproperties+xml"/>
  <Override PartName="/xl/ctrlProps/ctrlProp70.xml" ContentType="application/vnd.ms-excel.controlproperties+xml"/>
  <Override PartName="/xl/ctrlProps/ctrlProp71.xml" ContentType="application/vnd.ms-excel.controlproperties+xml"/>
  <Override PartName="/xl/ctrlProps/ctrlProp72.xml" ContentType="application/vnd.ms-excel.controlproperties+xml"/>
  <Override PartName="/xl/ctrlProps/ctrlProp73.xml" ContentType="application/vnd.ms-excel.controlproperties+xml"/>
  <Override PartName="/xl/ctrlProps/ctrlProp74.xml" ContentType="application/vnd.ms-excel.controlproperties+xml"/>
  <Override PartName="/xl/ctrlProps/ctrlProp75.xml" ContentType="application/vnd.ms-excel.controlproperties+xml"/>
  <Override PartName="/xl/ctrlProps/ctrlProp76.xml" ContentType="application/vnd.ms-excel.controlproperties+xml"/>
  <Override PartName="/xl/ctrlProps/ctrlProp77.xml" ContentType="application/vnd.ms-excel.controlproperties+xml"/>
  <Override PartName="/xl/ctrlProps/ctrlProp78.xml" ContentType="application/vnd.ms-excel.controlproperties+xml"/>
  <Override PartName="/xl/ctrlProps/ctrlProp79.xml" ContentType="application/vnd.ms-excel.controlproperties+xml"/>
  <Override PartName="/xl/ctrlProps/ctrlProp80.xml" ContentType="application/vnd.ms-excel.controlproperties+xml"/>
  <Override PartName="/xl/ctrlProps/ctrlProp81.xml" ContentType="application/vnd.ms-excel.controlproperties+xml"/>
  <Override PartName="/xl/ctrlProps/ctrlProp82.xml" ContentType="application/vnd.ms-excel.controlproperties+xml"/>
  <Override PartName="/xl/ctrlProps/ctrlProp83.xml" ContentType="application/vnd.ms-excel.controlproperties+xml"/>
  <Override PartName="/xl/ctrlProps/ctrlProp84.xml" ContentType="application/vnd.ms-excel.controlproperties+xml"/>
  <Override PartName="/xl/ctrlProps/ctrlProp85.xml" ContentType="application/vnd.ms-excel.controlproperties+xml"/>
  <Override PartName="/xl/ctrlProps/ctrlProp86.xml" ContentType="application/vnd.ms-excel.controlpropertie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comments1.xml" ContentType="application/vnd.openxmlformats-officedocument.spreadsheetml.comments+xml"/>
  <Override PartName="/xl/drawings/drawing2.xml" ContentType="application/vnd.openxmlformats-officedocument.drawing+xml"/>
  <Override PartName="/xl/ctrlProps/ctrlProp87.xml" ContentType="application/vnd.ms-excel.controlproperties+xml"/>
  <Override PartName="/xl/ctrlProps/ctrlProp88.xml" ContentType="application/vnd.ms-excel.controlproperties+xml"/>
  <Override PartName="/xl/ctrlProps/ctrlProp89.xml" ContentType="application/vnd.ms-excel.controlproperties+xml"/>
  <Override PartName="/xl/ctrlProps/ctrlProp90.xml" ContentType="application/vnd.ms-excel.controlproperties+xml"/>
  <Override PartName="/xl/ctrlProps/ctrlProp91.xml" ContentType="application/vnd.ms-excel.controlproperties+xml"/>
  <Override PartName="/xl/ctrlProps/ctrlProp92.xml" ContentType="application/vnd.ms-excel.controlproperties+xml"/>
  <Override PartName="/xl/ctrlProps/ctrlProp93.xml" ContentType="application/vnd.ms-excel.controlproperties+xml"/>
  <Override PartName="/xl/ctrlProps/ctrlProp94.xml" ContentType="application/vnd.ms-excel.controlproperties+xml"/>
  <Override PartName="/xl/ctrlProps/ctrlProp95.xml" ContentType="application/vnd.ms-excel.controlproperties+xml"/>
  <Override PartName="/xl/ctrlProps/ctrlProp96.xml" ContentType="application/vnd.ms-excel.controlproperties+xml"/>
  <Override PartName="/xl/ctrlProps/ctrlProp97.xml" ContentType="application/vnd.ms-excel.controlproperties+xml"/>
  <Override PartName="/xl/ctrlProps/ctrlProp98.xml" ContentType="application/vnd.ms-excel.controlproperties+xml"/>
  <Override PartName="/xl/ctrlProps/ctrlProp99.xml" ContentType="application/vnd.ms-excel.controlproperties+xml"/>
  <Override PartName="/xl/ctrlProps/ctrlProp100.xml" ContentType="application/vnd.ms-excel.controlproperties+xml"/>
  <Override PartName="/xl/ctrlProps/ctrlProp101.xml" ContentType="application/vnd.ms-excel.controlproperties+xml"/>
  <Override PartName="/xl/ctrlProps/ctrlProp102.xml" ContentType="application/vnd.ms-excel.controlproperties+xml"/>
  <Override PartName="/xl/ctrlProps/ctrlProp103.xml" ContentType="application/vnd.ms-excel.controlproperties+xml"/>
  <Override PartName="/xl/ctrlProps/ctrlProp104.xml" ContentType="application/vnd.ms-excel.controlproperties+xml"/>
  <Override PartName="/xl/ctrlProps/ctrlProp105.xml" ContentType="application/vnd.ms-excel.controlproperties+xml"/>
  <Override PartName="/xl/ctrlProps/ctrlProp106.xml" ContentType="application/vnd.ms-excel.controlproperties+xml"/>
  <Override PartName="/xl/ctrlProps/ctrlProp107.xml" ContentType="application/vnd.ms-excel.controlproperties+xml"/>
  <Override PartName="/xl/ctrlProps/ctrlProp108.xml" ContentType="application/vnd.ms-excel.controlproperties+xml"/>
  <Override PartName="/xl/ctrlProps/ctrlProp109.xml" ContentType="application/vnd.ms-excel.controlproperties+xml"/>
  <Override PartName="/xl/ctrlProps/ctrlProp110.xml" ContentType="application/vnd.ms-excel.controlproperties+xml"/>
  <Override PartName="/xl/ctrlProps/ctrlProp111.xml" ContentType="application/vnd.ms-excel.controlproperties+xml"/>
  <Override PartName="/xl/ctrlProps/ctrlProp112.xml" ContentType="application/vnd.ms-excel.controlproperties+xml"/>
  <Override PartName="/xl/ctrlProps/ctrlProp113.xml" ContentType="application/vnd.ms-excel.controlproperties+xml"/>
  <Override PartName="/xl/ctrlProps/ctrlProp114.xml" ContentType="application/vnd.ms-excel.controlproperties+xml"/>
  <Override PartName="/xl/ctrlProps/ctrlProp115.xml" ContentType="application/vnd.ms-excel.controlproperties+xml"/>
  <Override PartName="/xl/ctrlProps/ctrlProp116.xml" ContentType="application/vnd.ms-excel.controlproperties+xml"/>
  <Override PartName="/xl/ctrlProps/ctrlProp117.xml" ContentType="application/vnd.ms-excel.controlproperties+xml"/>
  <Override PartName="/xl/ctrlProps/ctrlProp118.xml" ContentType="application/vnd.ms-excel.controlproperties+xml"/>
  <Override PartName="/xl/ctrlProps/ctrlProp119.xml" ContentType="application/vnd.ms-excel.controlproperties+xml"/>
  <Override PartName="/xl/ctrlProps/ctrlProp120.xml" ContentType="application/vnd.ms-excel.controlproperties+xml"/>
  <Override PartName="/xl/ctrlProps/ctrlProp121.xml" ContentType="application/vnd.ms-excel.controlproperties+xml"/>
  <Override PartName="/xl/ctrlProps/ctrlProp122.xml" ContentType="application/vnd.ms-excel.controlproperties+xml"/>
  <Override PartName="/xl/ctrlProps/ctrlProp123.xml" ContentType="application/vnd.ms-excel.controlproperties+xml"/>
  <Override PartName="/xl/ctrlProps/ctrlProp124.xml" ContentType="application/vnd.ms-excel.controlproperties+xml"/>
  <Override PartName="/xl/ctrlProps/ctrlProp125.xml" ContentType="application/vnd.ms-excel.controlproperties+xml"/>
  <Override PartName="/xl/ctrlProps/ctrlProp126.xml" ContentType="application/vnd.ms-excel.controlproperties+xml"/>
  <Override PartName="/xl/ctrlProps/ctrlProp127.xml" ContentType="application/vnd.ms-excel.controlproperties+xml"/>
  <Override PartName="/xl/ctrlProps/ctrlProp128.xml" ContentType="application/vnd.ms-excel.controlproperties+xml"/>
  <Override PartName="/xl/ctrlProps/ctrlProp129.xml" ContentType="application/vnd.ms-excel.controlproperties+xml"/>
  <Override PartName="/xl/ctrlProps/ctrlProp130.xml" ContentType="application/vnd.ms-excel.controlproperties+xml"/>
  <Override PartName="/xl/ctrlProps/ctrlProp131.xml" ContentType="application/vnd.ms-excel.controlproperties+xml"/>
  <Override PartName="/xl/ctrlProps/ctrlProp132.xml" ContentType="application/vnd.ms-excel.controlproperties+xml"/>
  <Override PartName="/xl/ctrlProps/ctrlProp133.xml" ContentType="application/vnd.ms-excel.controlproperties+xml"/>
  <Override PartName="/xl/ctrlProps/ctrlProp134.xml" ContentType="application/vnd.ms-excel.controlproperties+xml"/>
  <Override PartName="/xl/ctrlProps/ctrlProp135.xml" ContentType="application/vnd.ms-excel.controlproperties+xml"/>
  <Override PartName="/xl/ctrlProps/ctrlProp136.xml" ContentType="application/vnd.ms-excel.controlproperties+xml"/>
  <Override PartName="/xl/ctrlProps/ctrlProp137.xml" ContentType="application/vnd.ms-excel.controlproperties+xml"/>
  <Override PartName="/xl/ctrlProps/ctrlProp138.xml" ContentType="application/vnd.ms-excel.controlproperties+xml"/>
  <Override PartName="/xl/ctrlProps/ctrlProp139.xml" ContentType="application/vnd.ms-excel.controlproperties+xml"/>
  <Override PartName="/xl/ctrlProps/ctrlProp140.xml" ContentType="application/vnd.ms-excel.controlproperties+xml"/>
  <Override PartName="/xl/ctrlProps/ctrlProp141.xml" ContentType="application/vnd.ms-excel.controlproperties+xml"/>
  <Override PartName="/xl/ctrlProps/ctrlProp142.xml" ContentType="application/vnd.ms-excel.controlproperties+xml"/>
  <Override PartName="/xl/ctrlProps/ctrlProp143.xml" ContentType="application/vnd.ms-excel.controlproperties+xml"/>
  <Override PartName="/xl/ctrlProps/ctrlProp144.xml" ContentType="application/vnd.ms-excel.controlproperties+xml"/>
  <Override PartName="/xl/ctrlProps/ctrlProp145.xml" ContentType="application/vnd.ms-excel.controlproperties+xml"/>
  <Override PartName="/xl/ctrlProps/ctrlProp146.xml" ContentType="application/vnd.ms-excel.controlproperties+xml"/>
  <Override PartName="/xl/ctrlProps/ctrlProp147.xml" ContentType="application/vnd.ms-excel.controlproperties+xml"/>
  <Override PartName="/xl/ctrlProps/ctrlProp148.xml" ContentType="application/vnd.ms-excel.controlproperties+xml"/>
  <Override PartName="/xl/ctrlProps/ctrlProp149.xml" ContentType="application/vnd.ms-excel.controlproperties+xml"/>
  <Override PartName="/xl/ctrlProps/ctrlProp150.xml" ContentType="application/vnd.ms-excel.controlproperties+xml"/>
  <Override PartName="/xl/ctrlProps/ctrlProp151.xml" ContentType="application/vnd.ms-excel.controlproperties+xml"/>
  <Override PartName="/xl/ctrlProps/ctrlProp152.xml" ContentType="application/vnd.ms-excel.controlproperties+xml"/>
  <Override PartName="/xl/ctrlProps/ctrlProp153.xml" ContentType="application/vnd.ms-excel.controlproperties+xml"/>
  <Override PartName="/xl/ctrlProps/ctrlProp154.xml" ContentType="application/vnd.ms-excel.controlproperties+xml"/>
  <Override PartName="/xl/ctrlProps/ctrlProp155.xml" ContentType="application/vnd.ms-excel.controlproperties+xml"/>
  <Override PartName="/xl/ctrlProps/ctrlProp156.xml" ContentType="application/vnd.ms-excel.controlproperties+xml"/>
  <Override PartName="/xl/ctrlProps/ctrlProp157.xml" ContentType="application/vnd.ms-excel.controlproperties+xml"/>
  <Override PartName="/xl/ctrlProps/ctrlProp158.xml" ContentType="application/vnd.ms-excel.controlproperties+xml"/>
  <Override PartName="/xl/ctrlProps/ctrlProp159.xml" ContentType="application/vnd.ms-excel.controlproperties+xml"/>
  <Override PartName="/xl/ctrlProps/ctrlProp160.xml" ContentType="application/vnd.ms-excel.controlproperties+xml"/>
  <Override PartName="/xl/ctrlProps/ctrlProp161.xml" ContentType="application/vnd.ms-excel.controlproperties+xml"/>
  <Override PartName="/xl/ctrlProps/ctrlProp162.xml" ContentType="application/vnd.ms-excel.controlproperties+xml"/>
  <Override PartName="/xl/ctrlProps/ctrlProp163.xml" ContentType="application/vnd.ms-excel.controlproperties+xml"/>
  <Override PartName="/xl/ctrlProps/ctrlProp164.xml" ContentType="application/vnd.ms-excel.controlproperties+xml"/>
  <Override PartName="/xl/ctrlProps/ctrlProp165.xml" ContentType="application/vnd.ms-excel.controlproperties+xml"/>
  <Override PartName="/xl/ctrlProps/ctrlProp166.xml" ContentType="application/vnd.ms-excel.controlproperties+xml"/>
  <Override PartName="/xl/ctrlProps/ctrlProp167.xml" ContentType="application/vnd.ms-excel.controlproperties+xml"/>
  <Override PartName="/xl/ctrlProps/ctrlProp168.xml" ContentType="application/vnd.ms-excel.controlproperties+xml"/>
  <Override PartName="/xl/ctrlProps/ctrlProp169.xml" ContentType="application/vnd.ms-excel.controlproperties+xml"/>
  <Override PartName="/xl/ctrlProps/ctrlProp170.xml" ContentType="application/vnd.ms-excel.controlproperties+xml"/>
  <Override PartName="/xl/ctrlProps/ctrlProp171.xml" ContentType="application/vnd.ms-excel.controlproperties+xml"/>
  <Override PartName="/xl/ctrlProps/ctrlProp172.xml" ContentType="application/vnd.ms-excel.controlproperties+xml"/>
  <Override PartName="/xl/ctrlProps/ctrlProp173.xml" ContentType="application/vnd.ms-excel.controlproperties+xml"/>
  <Override PartName="/xl/ctrlProps/ctrlProp174.xml" ContentType="application/vnd.ms-excel.controlproperties+xml"/>
  <Override PartName="/xl/ctrlProps/ctrlProp175.xml" ContentType="application/vnd.ms-excel.controlproperties+xml"/>
  <Override PartName="/xl/ctrlProps/ctrlProp176.xml" ContentType="application/vnd.ms-excel.controlproperties+xml"/>
  <Override PartName="/xl/ctrlProps/ctrlProp177.xml" ContentType="application/vnd.ms-excel.controlproperties+xml"/>
  <Override PartName="/xl/ctrlProps/ctrlProp178.xml" ContentType="application/vnd.ms-excel.controlproperties+xml"/>
  <Override PartName="/xl/ctrlProps/ctrlProp179.xml" ContentType="application/vnd.ms-excel.controlproperties+xml"/>
  <Override PartName="/xl/ctrlProps/ctrlProp180.xml" ContentType="application/vnd.ms-excel.controlproperties+xml"/>
  <Override PartName="/xl/ctrlProps/ctrlProp181.xml" ContentType="application/vnd.ms-excel.controlproperties+xml"/>
  <Override PartName="/xl/ctrlProps/ctrlProp182.xml" ContentType="application/vnd.ms-excel.controlproperties+xml"/>
  <Override PartName="/xl/ctrlProps/ctrlProp183.xml" ContentType="application/vnd.ms-excel.controlproperties+xml"/>
  <Override PartName="/xl/ctrlProps/ctrlProp184.xml" ContentType="application/vnd.ms-excel.controlproperties+xml"/>
  <Override PartName="/xl/ctrlProps/ctrlProp185.xml" ContentType="application/vnd.ms-excel.controlproperties+xml"/>
  <Override PartName="/xl/ctrlProps/ctrlProp186.xml" ContentType="application/vnd.ms-excel.controlproperties+xml"/>
  <Override PartName="/xl/ctrlProps/ctrlProp187.xml" ContentType="application/vnd.ms-excel.controlproperties+xml"/>
  <Override PartName="/xl/ctrlProps/ctrlProp188.xml" ContentType="application/vnd.ms-excel.controlproperties+xml"/>
  <Override PartName="/xl/ctrlProps/ctrlProp189.xml" ContentType="application/vnd.ms-excel.controlproperties+xml"/>
  <Override PartName="/xl/ctrlProps/ctrlProp190.xml" ContentType="application/vnd.ms-excel.controlproperties+xml"/>
  <Override PartName="/xl/ctrlProps/ctrlProp191.xml" ContentType="application/vnd.ms-excel.controlproperties+xml"/>
  <Override PartName="/xl/ctrlProps/ctrlProp192.xml" ContentType="application/vnd.ms-excel.controlproperties+xml"/>
  <Override PartName="/xl/ctrlProps/ctrlProp193.xml" ContentType="application/vnd.ms-excel.controlproperties+xml"/>
  <Override PartName="/xl/ctrlProps/ctrlProp194.xml" ContentType="application/vnd.ms-excel.controlproperties+xml"/>
  <Override PartName="/xl/ctrlProps/ctrlProp195.xml" ContentType="application/vnd.ms-excel.controlproperties+xml"/>
  <Override PartName="/xl/ctrlProps/ctrlProp196.xml" ContentType="application/vnd.ms-excel.controlproperties+xml"/>
  <Override PartName="/xl/ctrlProps/ctrlProp197.xml" ContentType="application/vnd.ms-excel.controlproperties+xml"/>
  <Override PartName="/xl/ctrlProps/ctrlProp198.xml" ContentType="application/vnd.ms-excel.controlproperties+xml"/>
  <Override PartName="/xl/ctrlProps/ctrlProp199.xml" ContentType="application/vnd.ms-excel.controlproperties+xml"/>
  <Override PartName="/xl/ctrlProps/ctrlProp200.xml" ContentType="application/vnd.ms-excel.controlproperties+xml"/>
  <Override PartName="/xl/ctrlProps/ctrlProp201.xml" ContentType="application/vnd.ms-excel.controlproperties+xml"/>
  <Override PartName="/xl/ctrlProps/ctrlProp202.xml" ContentType="application/vnd.ms-excel.controlproperties+xml"/>
  <Override PartName="/xl/ctrlProps/ctrlProp203.xml" ContentType="application/vnd.ms-excel.controlproperties+xml"/>
  <Override PartName="/xl/ctrlProps/ctrlProp204.xml" ContentType="application/vnd.ms-excel.controlproperties+xml"/>
  <Override PartName="/xl/ctrlProps/ctrlProp205.xml" ContentType="application/vnd.ms-excel.controlproperties+xml"/>
  <Override PartName="/xl/ctrlProps/ctrlProp206.xml" ContentType="application/vnd.ms-excel.controlproperties+xml"/>
  <Override PartName="/xl/ctrlProps/ctrlProp207.xml" ContentType="application/vnd.ms-excel.controlproperties+xml"/>
  <Override PartName="/xl/ctrlProps/ctrlProp208.xml" ContentType="application/vnd.ms-excel.controlproperties+xml"/>
  <Override PartName="/xl/ctrlProps/ctrlProp209.xml" ContentType="application/vnd.ms-excel.controlproperties+xml"/>
  <Override PartName="/xl/ctrlProps/ctrlProp210.xml" ContentType="application/vnd.ms-excel.controlproperties+xml"/>
  <Override PartName="/xl/ctrlProps/ctrlProp211.xml" ContentType="application/vnd.ms-excel.controlproperties+xml"/>
  <Override PartName="/xl/ctrlProps/ctrlProp212.xml" ContentType="application/vnd.ms-excel.controlproperties+xml"/>
  <Override PartName="/xl/ctrlProps/ctrlProp213.xml" ContentType="application/vnd.ms-excel.controlproperties+xml"/>
  <Override PartName="/xl/ctrlProps/ctrlProp214.xml" ContentType="application/vnd.ms-excel.controlproperties+xml"/>
  <Override PartName="/xl/ctrlProps/ctrlProp215.xml" ContentType="application/vnd.ms-excel.controlproperties+xml"/>
  <Override PartName="/xl/ctrlProps/ctrlProp216.xml" ContentType="application/vnd.ms-excel.controlproperties+xml"/>
  <Override PartName="/xl/ctrlProps/ctrlProp217.xml" ContentType="application/vnd.ms-excel.controlproperties+xml"/>
  <Override PartName="/xl/ctrlProps/ctrlProp218.xml" ContentType="application/vnd.ms-excel.controlproperties+xml"/>
  <Override PartName="/xl/ctrlProps/ctrlProp219.xml" ContentType="application/vnd.ms-excel.controlproperties+xml"/>
  <Override PartName="/xl/ctrlProps/ctrlProp220.xml" ContentType="application/vnd.ms-excel.controlproperties+xml"/>
  <Override PartName="/xl/ctrlProps/ctrlProp221.xml" ContentType="application/vnd.ms-excel.controlproperties+xml"/>
  <Override PartName="/xl/ctrlProps/ctrlProp222.xml" ContentType="application/vnd.ms-excel.controlproperties+xml"/>
  <Override PartName="/xl/ctrlProps/ctrlProp223.xml" ContentType="application/vnd.ms-excel.controlproperties+xml"/>
  <Override PartName="/xl/ctrlProps/ctrlProp224.xml" ContentType="application/vnd.ms-excel.controlproperties+xml"/>
  <Override PartName="/xl/ctrlProps/ctrlProp225.xml" ContentType="application/vnd.ms-excel.controlproperties+xml"/>
  <Override PartName="/xl/ctrlProps/ctrlProp226.xml" ContentType="application/vnd.ms-excel.controlproperties+xml"/>
  <Override PartName="/xl/ctrlProps/ctrlProp227.xml" ContentType="application/vnd.ms-excel.controlproperties+xml"/>
  <Override PartName="/xl/ctrlProps/ctrlProp228.xml" ContentType="application/vnd.ms-excel.controlproperties+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3.xml" ContentType="application/vnd.openxmlformats-officedocument.drawing+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comments2.xml" ContentType="application/vnd.openxmlformats-officedocument.spreadsheetml.comment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tables/table25.xml" ContentType="application/vnd.openxmlformats-officedocument.spreadsheetml.table+xml"/>
  <Override PartName="/xl/tables/table26.xml" ContentType="application/vnd.openxmlformats-officedocument.spreadsheetml.table+xml"/>
  <Override PartName="/xl/tables/table27.xml" ContentType="application/vnd.openxmlformats-officedocument.spreadsheetml.table+xml"/>
  <Override PartName="/xl/tables/table28.xml" ContentType="application/vnd.openxmlformats-officedocument.spreadsheetml.table+xml"/>
  <Override PartName="/xl/tables/table29.xml" ContentType="application/vnd.openxmlformats-officedocument.spreadsheetml.table+xml"/>
  <Override PartName="/xl/tables/table30.xml" ContentType="application/vnd.openxmlformats-officedocument.spreadsheetml.table+xml"/>
  <Override PartName="/xl/comments3.xml" ContentType="application/vnd.openxmlformats-officedocument.spreadsheetml.comment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5.xml" ContentType="application/vnd.openxmlformats-officedocument.drawing+xml"/>
  <Override PartName="/xl/tables/table31.xml" ContentType="application/vnd.openxmlformats-officedocument.spreadsheetml.table+xml"/>
  <Override PartName="/xl/tables/table32.xml" ContentType="application/vnd.openxmlformats-officedocument.spreadsheetml.table+xml"/>
  <Override PartName="/xl/tables/table33.xml" ContentType="application/vnd.openxmlformats-officedocument.spreadsheetml.table+xml"/>
  <Override PartName="/xl/tables/table34.xml" ContentType="application/vnd.openxmlformats-officedocument.spreadsheetml.table+xml"/>
  <Override PartName="/xl/tables/table35.xml" ContentType="application/vnd.openxmlformats-officedocument.spreadsheetml.table+xml"/>
  <Override PartName="/xl/tables/table36.xml" ContentType="application/vnd.openxmlformats-officedocument.spreadsheetml.table+xml"/>
  <Override PartName="/xl/comments4.xml" ContentType="application/vnd.openxmlformats-officedocument.spreadsheetml.comment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6.xml" ContentType="application/vnd.openxmlformats-officedocument.drawing+xml"/>
  <Override PartName="/xl/tables/table37.xml" ContentType="application/vnd.openxmlformats-officedocument.spreadsheetml.table+xml"/>
  <Override PartName="/xl/tables/table38.xml" ContentType="application/vnd.openxmlformats-officedocument.spreadsheetml.table+xml"/>
  <Override PartName="/xl/tables/table39.xml" ContentType="application/vnd.openxmlformats-officedocument.spreadsheetml.table+xml"/>
  <Override PartName="/xl/tables/table40.xml" ContentType="application/vnd.openxmlformats-officedocument.spreadsheetml.table+xml"/>
  <Override PartName="/xl/tables/table41.xml" ContentType="application/vnd.openxmlformats-officedocument.spreadsheetml.table+xml"/>
  <Override PartName="/xl/tables/table42.xml" ContentType="application/vnd.openxmlformats-officedocument.spreadsheetml.table+xml"/>
  <Override PartName="/xl/comments5.xml" ContentType="application/vnd.openxmlformats-officedocument.spreadsheetml.comment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C:\Users\Alperen\Desktop\Excel Templates\"/>
    </mc:Choice>
  </mc:AlternateContent>
  <xr:revisionPtr revIDLastSave="0" documentId="13_ncr:1_{FDE6E7B7-7A7D-4E54-8658-EE1D6F1E0065}" xr6:coauthVersionLast="47" xr6:coauthVersionMax="47" xr10:uidLastSave="{00000000-0000-0000-0000-000000000000}"/>
  <bookViews>
    <workbookView xWindow="-108" yWindow="-108" windowWidth="23256" windowHeight="12576" activeTab="5" xr2:uid="{00000000-000D-0000-FFFF-FFFF00000000}"/>
  </bookViews>
  <sheets>
    <sheet name="READ ME" sheetId="2" r:id="rId1"/>
    <sheet name="MAIN" sheetId="3" r:id="rId2"/>
    <sheet name="MIDTERM" sheetId="4" r:id="rId3"/>
    <sheet name="FINAL" sheetId="5" r:id="rId4"/>
    <sheet name="HOMEWORK" sheetId="7" r:id="rId5"/>
    <sheet name="LAB" sheetId="8"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X79" i="3" l="1"/>
  <c r="X78" i="3"/>
  <c r="X77" i="3"/>
  <c r="X76" i="3"/>
  <c r="X75" i="3"/>
  <c r="X74" i="3"/>
  <c r="X73" i="3"/>
  <c r="X72" i="3"/>
  <c r="X71" i="3"/>
  <c r="X70" i="3"/>
  <c r="V79" i="3"/>
  <c r="V78" i="3"/>
  <c r="V77" i="3"/>
  <c r="V76" i="3"/>
  <c r="V75" i="3"/>
  <c r="V74" i="3"/>
  <c r="V73" i="3"/>
  <c r="V72" i="3"/>
  <c r="V71" i="3"/>
  <c r="V70" i="3"/>
  <c r="T79" i="3"/>
  <c r="T78" i="3"/>
  <c r="T77" i="3"/>
  <c r="T76" i="3"/>
  <c r="T75" i="3"/>
  <c r="T74" i="3"/>
  <c r="T73" i="3"/>
  <c r="T72" i="3"/>
  <c r="T71" i="3"/>
  <c r="T70" i="3"/>
  <c r="R79" i="3"/>
  <c r="R78" i="3"/>
  <c r="R77" i="3"/>
  <c r="R76" i="3"/>
  <c r="R75" i="3"/>
  <c r="R74" i="3"/>
  <c r="R73" i="3"/>
  <c r="R72" i="3"/>
  <c r="R71" i="3"/>
  <c r="R70" i="3"/>
  <c r="P79" i="3"/>
  <c r="P78" i="3"/>
  <c r="P77" i="3"/>
  <c r="P76" i="3"/>
  <c r="P75" i="3"/>
  <c r="P74" i="3"/>
  <c r="P73" i="3"/>
  <c r="P72" i="3"/>
  <c r="P71" i="3"/>
  <c r="P70" i="3"/>
  <c r="N79" i="3"/>
  <c r="N78" i="3"/>
  <c r="N77" i="3"/>
  <c r="N76" i="3"/>
  <c r="N75" i="3"/>
  <c r="N74" i="3"/>
  <c r="N73" i="3"/>
  <c r="N72" i="3"/>
  <c r="N71" i="3"/>
  <c r="N70" i="3"/>
  <c r="L79" i="3"/>
  <c r="L78" i="3"/>
  <c r="L77" i="3"/>
  <c r="L76" i="3"/>
  <c r="L75" i="3"/>
  <c r="L74" i="3"/>
  <c r="L73" i="3"/>
  <c r="L72" i="3"/>
  <c r="L71" i="3"/>
  <c r="L70" i="3"/>
  <c r="J79" i="3"/>
  <c r="J78" i="3"/>
  <c r="J77" i="3"/>
  <c r="J76" i="3"/>
  <c r="J75" i="3"/>
  <c r="J74" i="3"/>
  <c r="J73" i="3"/>
  <c r="J72" i="3"/>
  <c r="J71" i="3"/>
  <c r="J70" i="3"/>
  <c r="H79" i="3"/>
  <c r="H78" i="3"/>
  <c r="H77" i="3"/>
  <c r="H76" i="3"/>
  <c r="H75" i="3"/>
  <c r="H74" i="3"/>
  <c r="H73" i="3"/>
  <c r="H72" i="3"/>
  <c r="H71" i="3"/>
  <c r="H70" i="3"/>
  <c r="F79" i="3"/>
  <c r="F78" i="3"/>
  <c r="F77" i="3"/>
  <c r="F76" i="3"/>
  <c r="F75" i="3"/>
  <c r="F74" i="3"/>
  <c r="F73" i="3"/>
  <c r="F72" i="3"/>
  <c r="F71" i="3"/>
  <c r="F70" i="3"/>
  <c r="D79" i="3"/>
  <c r="D78" i="3"/>
  <c r="D77" i="3"/>
  <c r="D76" i="3"/>
  <c r="D75" i="3"/>
  <c r="D74" i="3"/>
  <c r="D73" i="3"/>
  <c r="D72" i="3"/>
  <c r="D71" i="3"/>
  <c r="D70" i="3"/>
  <c r="Q49" i="8"/>
  <c r="R49" i="8" s="1"/>
  <c r="Q48" i="8"/>
  <c r="W46" i="3" s="1"/>
  <c r="Q47" i="8"/>
  <c r="R47" i="8" s="1"/>
  <c r="Q46" i="8"/>
  <c r="R46" i="8" s="1"/>
  <c r="Q45" i="8"/>
  <c r="R45" i="8" s="1"/>
  <c r="Q44" i="8"/>
  <c r="R44" i="8" s="1"/>
  <c r="Q43" i="8"/>
  <c r="W41" i="3" s="1"/>
  <c r="Q42" i="8"/>
  <c r="W40" i="3" s="1"/>
  <c r="Q41" i="8"/>
  <c r="W39" i="3" s="1"/>
  <c r="Q40" i="8"/>
  <c r="W38" i="3" s="1"/>
  <c r="Q37" i="8"/>
  <c r="Q21" i="3" s="1" a="1"/>
  <c r="Q21" i="3" s="1"/>
  <c r="AD27" i="8" a="1"/>
  <c r="AD27" i="8" s="1"/>
  <c r="AC27" i="8" a="1"/>
  <c r="AC27" i="8" s="1"/>
  <c r="AB27" i="8" a="1"/>
  <c r="AB27" i="8" s="1"/>
  <c r="AA27" i="8" a="1"/>
  <c r="AA27" i="8" s="1"/>
  <c r="Z27" i="8" a="1"/>
  <c r="Z27" i="8" s="1"/>
  <c r="Y27" i="8" a="1"/>
  <c r="Y27" i="8" s="1"/>
  <c r="X27" i="8" a="1"/>
  <c r="X27" i="8" s="1"/>
  <c r="W27" i="8" a="1"/>
  <c r="W27" i="8" s="1"/>
  <c r="V27" i="8" a="1"/>
  <c r="V27" i="8" s="1"/>
  <c r="U27" i="8" a="1"/>
  <c r="U27" i="8" s="1"/>
  <c r="T27" i="8"/>
  <c r="I30" i="3" s="1"/>
  <c r="AD26" i="8" a="1"/>
  <c r="AD26" i="8" s="1"/>
  <c r="AC26" i="8" a="1"/>
  <c r="AC26" i="8" s="1"/>
  <c r="AB26" i="8" a="1"/>
  <c r="AB26" i="8" s="1"/>
  <c r="AA26" i="8" a="1"/>
  <c r="AA26" i="8" s="1"/>
  <c r="Z26" i="8" a="1"/>
  <c r="Z26" i="8" s="1"/>
  <c r="Y26" i="8" a="1"/>
  <c r="Y26" i="8" s="1"/>
  <c r="X26" i="8" a="1"/>
  <c r="X26" i="8" s="1"/>
  <c r="W26" i="8" a="1"/>
  <c r="W26" i="8" s="1"/>
  <c r="V26" i="8" a="1"/>
  <c r="V26" i="8" s="1"/>
  <c r="U26" i="8" a="1"/>
  <c r="U26" i="8" s="1"/>
  <c r="T26" i="8"/>
  <c r="I28" i="3" s="1"/>
  <c r="AD15" i="8" a="1"/>
  <c r="AD15" i="8" s="1"/>
  <c r="AC15" i="8" a="1"/>
  <c r="AC15" i="8" s="1"/>
  <c r="AB15" i="8" a="1"/>
  <c r="AB15" i="8" s="1"/>
  <c r="AA15" i="8" a="1"/>
  <c r="AA15" i="8" s="1"/>
  <c r="Z15" i="8" a="1"/>
  <c r="Z15" i="8" s="1"/>
  <c r="Y15" i="8" a="1"/>
  <c r="Y15" i="8" s="1"/>
  <c r="X15" i="8" a="1"/>
  <c r="X15" i="8" s="1"/>
  <c r="W15" i="8" a="1"/>
  <c r="W15" i="8" s="1"/>
  <c r="V15" i="8" a="1"/>
  <c r="V15" i="8" s="1"/>
  <c r="U15" i="8" a="1"/>
  <c r="U15" i="8" s="1"/>
  <c r="T15" i="8"/>
  <c r="I29" i="3" s="1"/>
  <c r="AD19" i="8" a="1"/>
  <c r="AD19" i="8" s="1"/>
  <c r="AC19" i="8" a="1"/>
  <c r="AC19" i="8" s="1"/>
  <c r="AB19" i="8" a="1"/>
  <c r="AB19" i="8" s="1"/>
  <c r="AA19" i="8" a="1"/>
  <c r="AA19" i="8" s="1"/>
  <c r="Z19" i="8" a="1"/>
  <c r="Z19" i="8" s="1"/>
  <c r="Y19" i="8" a="1"/>
  <c r="Y19" i="8" s="1"/>
  <c r="X19" i="8" a="1"/>
  <c r="X19" i="8" s="1"/>
  <c r="W19" i="8" a="1"/>
  <c r="W19" i="8" s="1"/>
  <c r="V19" i="8" a="1"/>
  <c r="V19" i="8" s="1"/>
  <c r="U19" i="8" a="1"/>
  <c r="U19" i="8" s="1"/>
  <c r="T19" i="8"/>
  <c r="I27" i="3" s="1"/>
  <c r="AD14" i="8" a="1"/>
  <c r="AD14" i="8" s="1"/>
  <c r="AC14" i="8" a="1"/>
  <c r="AC14" i="8" s="1"/>
  <c r="AB14" i="8" a="1"/>
  <c r="AB14" i="8" s="1"/>
  <c r="AA14" i="8" a="1"/>
  <c r="AA14" i="8" s="1"/>
  <c r="Z14" i="8" a="1"/>
  <c r="Z14" i="8" s="1"/>
  <c r="Y14" i="8" a="1"/>
  <c r="Y14" i="8" s="1"/>
  <c r="X14" i="8" a="1"/>
  <c r="X14" i="8" s="1"/>
  <c r="W14" i="8" a="1"/>
  <c r="W14" i="8" s="1"/>
  <c r="V14" i="8" a="1"/>
  <c r="V14" i="8" s="1"/>
  <c r="U14" i="8" a="1"/>
  <c r="U14" i="8" s="1"/>
  <c r="T14" i="8"/>
  <c r="I26" i="3" s="1"/>
  <c r="AD18" i="8" a="1"/>
  <c r="AD18" i="8" s="1"/>
  <c r="AC18" i="8" a="1"/>
  <c r="AC18" i="8" s="1"/>
  <c r="AB18" i="8" a="1"/>
  <c r="AB18" i="8" s="1"/>
  <c r="AA18" i="8" a="1"/>
  <c r="AA18" i="8" s="1"/>
  <c r="Z18" i="8" a="1"/>
  <c r="Z18" i="8" s="1"/>
  <c r="Y18" i="8" a="1"/>
  <c r="Y18" i="8" s="1"/>
  <c r="X18" i="8" a="1"/>
  <c r="X18" i="8" s="1"/>
  <c r="W18" i="8" a="1"/>
  <c r="W18" i="8" s="1"/>
  <c r="V18" i="8" a="1"/>
  <c r="V18" i="8" s="1"/>
  <c r="U18" i="8" a="1"/>
  <c r="U18" i="8" s="1"/>
  <c r="T18" i="8"/>
  <c r="I25" i="3" s="1"/>
  <c r="AD16" i="8" a="1"/>
  <c r="AD16" i="8" s="1"/>
  <c r="AC16" i="8" a="1"/>
  <c r="AC16" i="8" s="1"/>
  <c r="AB16" i="8" a="1"/>
  <c r="AB16" i="8" s="1"/>
  <c r="AA16" i="8" a="1"/>
  <c r="AA16" i="8" s="1"/>
  <c r="Z16" i="8" a="1"/>
  <c r="Z16" i="8" s="1"/>
  <c r="Y16" i="8" a="1"/>
  <c r="Y16" i="8" s="1"/>
  <c r="X16" i="8" a="1"/>
  <c r="X16" i="8" s="1"/>
  <c r="W16" i="8" a="1"/>
  <c r="W16" i="8" s="1"/>
  <c r="V16" i="8" a="1"/>
  <c r="V16" i="8" s="1"/>
  <c r="U16" i="8" a="1"/>
  <c r="U16" i="8" s="1"/>
  <c r="T16" i="8"/>
  <c r="I22" i="3" s="1"/>
  <c r="AD6" i="8" a="1"/>
  <c r="AD6" i="8" s="1"/>
  <c r="AC6" i="8" a="1"/>
  <c r="AC6" i="8" s="1"/>
  <c r="AB6" i="8" a="1"/>
  <c r="AB6" i="8" s="1"/>
  <c r="AA6" i="8" a="1"/>
  <c r="AA6" i="8" s="1"/>
  <c r="Z6" i="8" a="1"/>
  <c r="Z6" i="8" s="1"/>
  <c r="Y6" i="8" a="1"/>
  <c r="Y6" i="8" s="1"/>
  <c r="X6" i="8" a="1"/>
  <c r="X6" i="8" s="1"/>
  <c r="W6" i="8" a="1"/>
  <c r="W6" i="8" s="1"/>
  <c r="V6" i="8" a="1"/>
  <c r="V6" i="8" s="1"/>
  <c r="U6" i="8" a="1"/>
  <c r="U6" i="8" s="1"/>
  <c r="T6" i="8"/>
  <c r="I19" i="3" s="1"/>
  <c r="AD29" i="8" a="1"/>
  <c r="AD29" i="8" s="1"/>
  <c r="AC29" i="8" a="1"/>
  <c r="AC29" i="8" s="1"/>
  <c r="AB29" i="8" a="1"/>
  <c r="AB29" i="8" s="1"/>
  <c r="AA29" i="8" a="1"/>
  <c r="AA29" i="8" s="1"/>
  <c r="Z29" i="8" a="1"/>
  <c r="Z29" i="8" s="1"/>
  <c r="Y29" i="8" a="1"/>
  <c r="Y29" i="8" s="1"/>
  <c r="X29" i="8" a="1"/>
  <c r="X29" i="8" s="1"/>
  <c r="W29" i="8" a="1"/>
  <c r="W29" i="8" s="1"/>
  <c r="V29" i="8" a="1"/>
  <c r="V29" i="8" s="1"/>
  <c r="U29" i="8" a="1"/>
  <c r="U29" i="8" s="1"/>
  <c r="T29" i="8"/>
  <c r="I24" i="3" s="1"/>
  <c r="AD22" i="8" a="1"/>
  <c r="AD22" i="8" s="1"/>
  <c r="AC22" i="8" a="1"/>
  <c r="AC22" i="8" s="1"/>
  <c r="AB22" i="8" a="1"/>
  <c r="AB22" i="8" s="1"/>
  <c r="AA22" i="8" a="1"/>
  <c r="AA22" i="8" s="1"/>
  <c r="Z22" i="8" a="1"/>
  <c r="Z22" i="8" s="1"/>
  <c r="Y22" i="8" a="1"/>
  <c r="Y22" i="8" s="1"/>
  <c r="X22" i="8" a="1"/>
  <c r="X22" i="8" s="1"/>
  <c r="W22" i="8" a="1"/>
  <c r="W22" i="8" s="1"/>
  <c r="V22" i="8" a="1"/>
  <c r="V22" i="8" s="1"/>
  <c r="U22" i="8" a="1"/>
  <c r="U22" i="8" s="1"/>
  <c r="T22" i="8"/>
  <c r="I21" i="3" s="1"/>
  <c r="AD13" i="8" a="1"/>
  <c r="AD13" i="8" s="1"/>
  <c r="AC13" i="8" a="1"/>
  <c r="AC13" i="8" s="1"/>
  <c r="AB13" i="8" a="1"/>
  <c r="AB13" i="8" s="1"/>
  <c r="AA13" i="8" a="1"/>
  <c r="AA13" i="8" s="1"/>
  <c r="Z13" i="8" a="1"/>
  <c r="Z13" i="8" s="1"/>
  <c r="Y13" i="8" a="1"/>
  <c r="Y13" i="8" s="1"/>
  <c r="X13" i="8" a="1"/>
  <c r="X13" i="8" s="1"/>
  <c r="W13" i="8" a="1"/>
  <c r="W13" i="8" s="1"/>
  <c r="V13" i="8" a="1"/>
  <c r="V13" i="8" s="1"/>
  <c r="U13" i="8" a="1"/>
  <c r="U13" i="8" s="1"/>
  <c r="T13" i="8"/>
  <c r="I18" i="3" s="1"/>
  <c r="AD7" i="8" a="1"/>
  <c r="AD7" i="8" s="1"/>
  <c r="AC7" i="8" a="1"/>
  <c r="AC7" i="8" s="1"/>
  <c r="AB7" i="8" a="1"/>
  <c r="AB7" i="8" s="1"/>
  <c r="AA7" i="8" a="1"/>
  <c r="AA7" i="8" s="1"/>
  <c r="Z7" i="8" a="1"/>
  <c r="Z7" i="8" s="1"/>
  <c r="Y7" i="8" a="1"/>
  <c r="Y7" i="8" s="1"/>
  <c r="X7" i="8" a="1"/>
  <c r="X7" i="8" s="1"/>
  <c r="W7" i="8" a="1"/>
  <c r="W7" i="8" s="1"/>
  <c r="V7" i="8" a="1"/>
  <c r="V7" i="8" s="1"/>
  <c r="U7" i="8" a="1"/>
  <c r="U7" i="8" s="1"/>
  <c r="T7" i="8"/>
  <c r="I17" i="3" s="1"/>
  <c r="AD25" i="8" a="1"/>
  <c r="AD25" i="8" s="1"/>
  <c r="AC25" i="8" a="1"/>
  <c r="AC25" i="8" s="1"/>
  <c r="AB25" i="8" a="1"/>
  <c r="AB25" i="8" s="1"/>
  <c r="AA25" i="8" a="1"/>
  <c r="AA25" i="8" s="1"/>
  <c r="Z25" i="8" a="1"/>
  <c r="Z25" i="8" s="1"/>
  <c r="Y25" i="8" a="1"/>
  <c r="Y25" i="8" s="1"/>
  <c r="X25" i="8" a="1"/>
  <c r="X25" i="8" s="1"/>
  <c r="W25" i="8" a="1"/>
  <c r="W25" i="8" s="1"/>
  <c r="V25" i="8" a="1"/>
  <c r="V25" i="8" s="1"/>
  <c r="U25" i="8" a="1"/>
  <c r="U25" i="8" s="1"/>
  <c r="T25" i="8"/>
  <c r="I20" i="3" s="1"/>
  <c r="AD34" i="8" a="1"/>
  <c r="AD34" i="8" s="1"/>
  <c r="AC34" i="8" a="1"/>
  <c r="AC34" i="8" s="1"/>
  <c r="AB34" i="8" a="1"/>
  <c r="AB34" i="8" s="1"/>
  <c r="AA34" i="8" a="1"/>
  <c r="AA34" i="8" s="1"/>
  <c r="Z34" i="8" a="1"/>
  <c r="Z34" i="8" s="1"/>
  <c r="Y34" i="8" a="1"/>
  <c r="Y34" i="8" s="1"/>
  <c r="X34" i="8" a="1"/>
  <c r="X34" i="8" s="1"/>
  <c r="W34" i="8" a="1"/>
  <c r="W34" i="8" s="1"/>
  <c r="V34" i="8" a="1"/>
  <c r="V34" i="8" s="1"/>
  <c r="U34" i="8" a="1"/>
  <c r="U34" i="8" s="1"/>
  <c r="T34" i="8"/>
  <c r="I23" i="3" s="1"/>
  <c r="AD17" i="8" a="1"/>
  <c r="AD17" i="8" s="1"/>
  <c r="AC17" i="8" a="1"/>
  <c r="AC17" i="8" s="1"/>
  <c r="AB17" i="8" a="1"/>
  <c r="AB17" i="8" s="1"/>
  <c r="AA17" i="8" a="1"/>
  <c r="AA17" i="8" s="1"/>
  <c r="Z17" i="8" a="1"/>
  <c r="Z17" i="8" s="1"/>
  <c r="Y17" i="8" a="1"/>
  <c r="Y17" i="8" s="1"/>
  <c r="X17" i="8" a="1"/>
  <c r="X17" i="8" s="1"/>
  <c r="W17" i="8" a="1"/>
  <c r="W17" i="8" s="1"/>
  <c r="V17" i="8" a="1"/>
  <c r="V17" i="8" s="1"/>
  <c r="U17" i="8" a="1"/>
  <c r="U17" i="8" s="1"/>
  <c r="T17" i="8"/>
  <c r="I9" i="3" s="1"/>
  <c r="AD11" i="8" a="1"/>
  <c r="AD11" i="8" s="1"/>
  <c r="AC11" i="8" a="1"/>
  <c r="AC11" i="8" s="1"/>
  <c r="AB11" i="8" a="1"/>
  <c r="AB11" i="8" s="1"/>
  <c r="AA11" i="8" a="1"/>
  <c r="AA11" i="8" s="1"/>
  <c r="Z11" i="8" a="1"/>
  <c r="Z11" i="8" s="1"/>
  <c r="Y11" i="8" a="1"/>
  <c r="Y11" i="8" s="1"/>
  <c r="X11" i="8" a="1"/>
  <c r="X11" i="8" s="1"/>
  <c r="W11" i="8" a="1"/>
  <c r="W11" i="8" s="1"/>
  <c r="V11" i="8" a="1"/>
  <c r="V11" i="8" s="1"/>
  <c r="U11" i="8" a="1"/>
  <c r="U11" i="8" s="1"/>
  <c r="T11" i="8"/>
  <c r="I15" i="3" s="1"/>
  <c r="AD10" i="8" a="1"/>
  <c r="AD10" i="8" s="1"/>
  <c r="AC10" i="8" a="1"/>
  <c r="AC10" i="8" s="1"/>
  <c r="AB10" i="8" a="1"/>
  <c r="AB10" i="8" s="1"/>
  <c r="AA10" i="8" a="1"/>
  <c r="AA10" i="8" s="1"/>
  <c r="Z10" i="8" a="1"/>
  <c r="Z10" i="8" s="1"/>
  <c r="Y10" i="8" a="1"/>
  <c r="Y10" i="8" s="1"/>
  <c r="X10" i="8" a="1"/>
  <c r="X10" i="8" s="1"/>
  <c r="W10" i="8" a="1"/>
  <c r="W10" i="8" s="1"/>
  <c r="V10" i="8" a="1"/>
  <c r="V10" i="8" s="1"/>
  <c r="U10" i="8" a="1"/>
  <c r="U10" i="8" s="1"/>
  <c r="T10" i="8"/>
  <c r="I11" i="3" s="1"/>
  <c r="AD12" i="8" a="1"/>
  <c r="AD12" i="8" s="1"/>
  <c r="AC12" i="8" a="1"/>
  <c r="AC12" i="8" s="1"/>
  <c r="AB12" i="8" a="1"/>
  <c r="AB12" i="8" s="1"/>
  <c r="AA12" i="8" a="1"/>
  <c r="AA12" i="8" s="1"/>
  <c r="Z12" i="8" a="1"/>
  <c r="Z12" i="8" s="1"/>
  <c r="Y12" i="8" a="1"/>
  <c r="Y12" i="8" s="1"/>
  <c r="X12" i="8" a="1"/>
  <c r="X12" i="8" s="1"/>
  <c r="W12" i="8" a="1"/>
  <c r="W12" i="8" s="1"/>
  <c r="V12" i="8" a="1"/>
  <c r="V12" i="8" s="1"/>
  <c r="U12" i="8" a="1"/>
  <c r="U12" i="8" s="1"/>
  <c r="T12" i="8"/>
  <c r="I10" i="3" s="1"/>
  <c r="AD30" i="8" a="1"/>
  <c r="AD30" i="8" s="1"/>
  <c r="AC30" i="8" a="1"/>
  <c r="AC30" i="8" s="1"/>
  <c r="AB30" i="8" a="1"/>
  <c r="AB30" i="8" s="1"/>
  <c r="AA30" i="8" a="1"/>
  <c r="AA30" i="8" s="1"/>
  <c r="Z30" i="8" a="1"/>
  <c r="Z30" i="8" s="1"/>
  <c r="Y30" i="8" a="1"/>
  <c r="Y30" i="8" s="1"/>
  <c r="X30" i="8" a="1"/>
  <c r="X30" i="8" s="1"/>
  <c r="W30" i="8" a="1"/>
  <c r="W30" i="8" s="1"/>
  <c r="V30" i="8" a="1"/>
  <c r="V30" i="8" s="1"/>
  <c r="U30" i="8" a="1"/>
  <c r="U30" i="8" s="1"/>
  <c r="T30" i="8"/>
  <c r="I14" i="3" s="1"/>
  <c r="AD28" i="8" a="1"/>
  <c r="AD28" i="8" s="1"/>
  <c r="AC28" i="8" a="1"/>
  <c r="AC28" i="8" s="1"/>
  <c r="AB28" i="8" a="1"/>
  <c r="AB28" i="8" s="1"/>
  <c r="AA28" i="8" a="1"/>
  <c r="AA28" i="8" s="1"/>
  <c r="Z28" i="8" a="1"/>
  <c r="Z28" i="8" s="1"/>
  <c r="Y28" i="8" a="1"/>
  <c r="Y28" i="8" s="1"/>
  <c r="X28" i="8" a="1"/>
  <c r="X28" i="8" s="1"/>
  <c r="W28" i="8" a="1"/>
  <c r="W28" i="8" s="1"/>
  <c r="V28" i="8" a="1"/>
  <c r="V28" i="8" s="1"/>
  <c r="U28" i="8" a="1"/>
  <c r="U28" i="8" s="1"/>
  <c r="T28" i="8"/>
  <c r="I16" i="3" s="1"/>
  <c r="AD21" i="8" a="1"/>
  <c r="AD21" i="8" s="1"/>
  <c r="AC21" i="8" a="1"/>
  <c r="AC21" i="8" s="1"/>
  <c r="AB21" i="8" a="1"/>
  <c r="AB21" i="8" s="1"/>
  <c r="AA21" i="8" a="1"/>
  <c r="AA21" i="8" s="1"/>
  <c r="Z21" i="8" a="1"/>
  <c r="Z21" i="8" s="1"/>
  <c r="Y21" i="8" a="1"/>
  <c r="Y21" i="8" s="1"/>
  <c r="X21" i="8" a="1"/>
  <c r="X21" i="8" s="1"/>
  <c r="W21" i="8" a="1"/>
  <c r="W21" i="8" s="1"/>
  <c r="V21" i="8" a="1"/>
  <c r="V21" i="8" s="1"/>
  <c r="U21" i="8" a="1"/>
  <c r="U21" i="8" s="1"/>
  <c r="T21" i="8"/>
  <c r="I13" i="3" s="1"/>
  <c r="AD24" i="8" a="1"/>
  <c r="AD24" i="8" s="1"/>
  <c r="AC24" i="8" a="1"/>
  <c r="AC24" i="8" s="1"/>
  <c r="AB24" i="8" a="1"/>
  <c r="AB24" i="8" s="1"/>
  <c r="AA24" i="8" a="1"/>
  <c r="AA24" i="8" s="1"/>
  <c r="Z24" i="8" a="1"/>
  <c r="Z24" i="8" s="1"/>
  <c r="Y24" i="8" a="1"/>
  <c r="Y24" i="8" s="1"/>
  <c r="X24" i="8" a="1"/>
  <c r="X24" i="8" s="1"/>
  <c r="W24" i="8" a="1"/>
  <c r="W24" i="8" s="1"/>
  <c r="V24" i="8" a="1"/>
  <c r="V24" i="8" s="1"/>
  <c r="U24" i="8" a="1"/>
  <c r="U24" i="8" s="1"/>
  <c r="T24" i="8"/>
  <c r="I12" i="3" s="1"/>
  <c r="AD5" i="8" a="1"/>
  <c r="AD5" i="8" s="1"/>
  <c r="AC5" i="8" a="1"/>
  <c r="AC5" i="8" s="1"/>
  <c r="AB5" i="8" a="1"/>
  <c r="AB5" i="8" s="1"/>
  <c r="AA5" i="8" a="1"/>
  <c r="AA5" i="8" s="1"/>
  <c r="Z5" i="8" a="1"/>
  <c r="Z5" i="8" s="1"/>
  <c r="Y5" i="8" a="1"/>
  <c r="Y5" i="8" s="1"/>
  <c r="X5" i="8" a="1"/>
  <c r="X5" i="8" s="1"/>
  <c r="W5" i="8" a="1"/>
  <c r="W5" i="8" s="1"/>
  <c r="V5" i="8" a="1"/>
  <c r="V5" i="8" s="1"/>
  <c r="U5" i="8" a="1"/>
  <c r="U5" i="8" s="1"/>
  <c r="T5" i="8"/>
  <c r="I6" i="3" s="1"/>
  <c r="AD9" i="8" a="1"/>
  <c r="AD9" i="8" s="1"/>
  <c r="AC9" i="8" a="1"/>
  <c r="AC9" i="8" s="1"/>
  <c r="AB9" i="8" a="1"/>
  <c r="AB9" i="8" s="1"/>
  <c r="AA9" i="8" a="1"/>
  <c r="AA9" i="8" s="1"/>
  <c r="Z9" i="8" a="1"/>
  <c r="Z9" i="8" s="1"/>
  <c r="Y9" i="8" a="1"/>
  <c r="Y9" i="8" s="1"/>
  <c r="X9" i="8" a="1"/>
  <c r="X9" i="8" s="1"/>
  <c r="W9" i="8" a="1"/>
  <c r="W9" i="8" s="1"/>
  <c r="V9" i="8" a="1"/>
  <c r="V9" i="8" s="1"/>
  <c r="U9" i="8" a="1"/>
  <c r="U9" i="8" s="1"/>
  <c r="T9" i="8"/>
  <c r="I7" i="3" s="1"/>
  <c r="AD23" i="8" a="1"/>
  <c r="AD23" i="8" s="1"/>
  <c r="AC23" i="8" a="1"/>
  <c r="AC23" i="8" s="1"/>
  <c r="AB23" i="8" a="1"/>
  <c r="AB23" i="8" s="1"/>
  <c r="AA23" i="8" a="1"/>
  <c r="AA23" i="8" s="1"/>
  <c r="Z23" i="8" a="1"/>
  <c r="Z23" i="8" s="1"/>
  <c r="Y23" i="8" a="1"/>
  <c r="Y23" i="8" s="1"/>
  <c r="X23" i="8" a="1"/>
  <c r="X23" i="8" s="1"/>
  <c r="W23" i="8" a="1"/>
  <c r="W23" i="8" s="1"/>
  <c r="V23" i="8" a="1"/>
  <c r="V23" i="8" s="1"/>
  <c r="U23" i="8" a="1"/>
  <c r="U23" i="8" s="1"/>
  <c r="T23" i="8"/>
  <c r="I8" i="3" s="1"/>
  <c r="AD20" i="8" a="1"/>
  <c r="AD20" i="8" s="1"/>
  <c r="AC20" i="8" a="1"/>
  <c r="AC20" i="8" s="1"/>
  <c r="AB20" i="8" a="1"/>
  <c r="AB20" i="8" s="1"/>
  <c r="AA20" i="8" a="1"/>
  <c r="AA20" i="8" s="1"/>
  <c r="Z20" i="8" a="1"/>
  <c r="Z20" i="8" s="1"/>
  <c r="Y20" i="8" a="1"/>
  <c r="Y20" i="8" s="1"/>
  <c r="X20" i="8" a="1"/>
  <c r="X20" i="8" s="1"/>
  <c r="W20" i="8" a="1"/>
  <c r="W20" i="8" s="1"/>
  <c r="V20" i="8" a="1"/>
  <c r="V20" i="8" s="1"/>
  <c r="U20" i="8" a="1"/>
  <c r="U20" i="8" s="1"/>
  <c r="T20" i="8"/>
  <c r="I5" i="3" s="1"/>
  <c r="AD8" i="8" a="1"/>
  <c r="AD8" i="8" s="1"/>
  <c r="AC8" i="8" a="1"/>
  <c r="AC8" i="8" s="1"/>
  <c r="AB8" i="8" a="1"/>
  <c r="AB8" i="8" s="1"/>
  <c r="AA8" i="8" a="1"/>
  <c r="AA8" i="8" s="1"/>
  <c r="Z8" i="8" a="1"/>
  <c r="Z8" i="8" s="1"/>
  <c r="Y8" i="8" a="1"/>
  <c r="Y8" i="8" s="1"/>
  <c r="X8" i="8" a="1"/>
  <c r="X8" i="8" s="1"/>
  <c r="W8" i="8" a="1"/>
  <c r="W8" i="8" s="1"/>
  <c r="V8" i="8" a="1"/>
  <c r="V8" i="8" s="1"/>
  <c r="U8" i="8" a="1"/>
  <c r="U8" i="8" s="1"/>
  <c r="T8" i="8"/>
  <c r="I4" i="3" s="1"/>
  <c r="AD31" i="8" a="1"/>
  <c r="AD31" i="8" s="1"/>
  <c r="AC31" i="8" a="1"/>
  <c r="AC31" i="8" s="1"/>
  <c r="AB31" i="8" a="1"/>
  <c r="AB31" i="8" s="1"/>
  <c r="AA31" i="8" a="1"/>
  <c r="AA31" i="8" s="1"/>
  <c r="Z31" i="8" a="1"/>
  <c r="Z31" i="8" s="1"/>
  <c r="Y31" i="8" a="1"/>
  <c r="Y31" i="8" s="1"/>
  <c r="X31" i="8" a="1"/>
  <c r="X31" i="8" s="1"/>
  <c r="W31" i="8" a="1"/>
  <c r="W31" i="8" s="1"/>
  <c r="V31" i="8" a="1"/>
  <c r="V31" i="8" s="1"/>
  <c r="U31" i="8" a="1"/>
  <c r="U31" i="8" s="1"/>
  <c r="T31" i="8"/>
  <c r="I32" i="3" s="1"/>
  <c r="AD33" i="8" a="1"/>
  <c r="AD33" i="8" s="1"/>
  <c r="AC33" i="8" a="1"/>
  <c r="AC33" i="8" s="1"/>
  <c r="AB33" i="8" a="1"/>
  <c r="AB33" i="8" s="1"/>
  <c r="AA33" i="8" a="1"/>
  <c r="AA33" i="8" s="1"/>
  <c r="Z33" i="8" a="1"/>
  <c r="Z33" i="8" s="1"/>
  <c r="Y33" i="8" a="1"/>
  <c r="Y33" i="8" s="1"/>
  <c r="X33" i="8" a="1"/>
  <c r="X33" i="8" s="1"/>
  <c r="W33" i="8" a="1"/>
  <c r="W33" i="8" s="1"/>
  <c r="V33" i="8" a="1"/>
  <c r="V33" i="8" s="1"/>
  <c r="U33" i="8" a="1"/>
  <c r="U33" i="8" s="1"/>
  <c r="T33" i="8"/>
  <c r="I33" i="3" s="1"/>
  <c r="AD32" i="8" a="1"/>
  <c r="AD32" i="8" s="1"/>
  <c r="AC32" i="8" a="1"/>
  <c r="AC32" i="8" s="1"/>
  <c r="AB32" i="8" a="1"/>
  <c r="AB32" i="8" s="1"/>
  <c r="AA32" i="8" a="1"/>
  <c r="AA32" i="8" s="1"/>
  <c r="Z32" i="8" a="1"/>
  <c r="Z32" i="8" s="1"/>
  <c r="Y32" i="8" a="1"/>
  <c r="Y32" i="8" s="1"/>
  <c r="X32" i="8" a="1"/>
  <c r="X32" i="8" s="1"/>
  <c r="W32" i="8" a="1"/>
  <c r="W32" i="8" s="1"/>
  <c r="V32" i="8" a="1"/>
  <c r="V32" i="8" s="1"/>
  <c r="U32" i="8" a="1"/>
  <c r="U32" i="8" s="1"/>
  <c r="T32" i="8"/>
  <c r="I47" i="7"/>
  <c r="I46" i="7"/>
  <c r="J46" i="7" s="1"/>
  <c r="K46" i="7" s="1"/>
  <c r="V59" i="3" s="1"/>
  <c r="I45" i="7"/>
  <c r="J45" i="7" s="1"/>
  <c r="K45" i="7" s="1"/>
  <c r="V58" i="3" s="1"/>
  <c r="I44" i="7"/>
  <c r="J44" i="7" s="1"/>
  <c r="K44" i="7" s="1"/>
  <c r="V57" i="3" s="1"/>
  <c r="I43" i="7"/>
  <c r="J43" i="7" s="1"/>
  <c r="K43" i="7" s="1"/>
  <c r="V56" i="3" s="1"/>
  <c r="I42" i="7"/>
  <c r="J42" i="7" s="1"/>
  <c r="K42" i="7" s="1"/>
  <c r="V55" i="3" s="1"/>
  <c r="I41" i="7"/>
  <c r="I40" i="7"/>
  <c r="I39" i="7"/>
  <c r="U38" i="7"/>
  <c r="Q20" i="3" s="1" a="1"/>
  <c r="Q20" i="3" s="1"/>
  <c r="I38" i="7"/>
  <c r="U11" i="7" a="1"/>
  <c r="U11" i="7" s="1"/>
  <c r="T11" i="7" a="1"/>
  <c r="T11" i="7" s="1"/>
  <c r="S11" i="7" a="1"/>
  <c r="S11" i="7" s="1"/>
  <c r="R11" i="7" a="1"/>
  <c r="R11" i="7" s="1"/>
  <c r="Q11" i="7" a="1"/>
  <c r="Q11" i="7" s="1"/>
  <c r="P11" i="7" a="1"/>
  <c r="P11" i="7" s="1"/>
  <c r="O11" i="7" a="1"/>
  <c r="O11" i="7" s="1"/>
  <c r="N11" i="7" a="1"/>
  <c r="N11" i="7" s="1"/>
  <c r="M11" i="7" a="1"/>
  <c r="M11" i="7" s="1"/>
  <c r="L11" i="7" a="1"/>
  <c r="L11" i="7" s="1"/>
  <c r="K11" i="7"/>
  <c r="H30" i="3" s="1"/>
  <c r="U27" i="7" a="1"/>
  <c r="U27" i="7" s="1"/>
  <c r="T27" i="7" a="1"/>
  <c r="T27" i="7" s="1"/>
  <c r="S27" i="7" a="1"/>
  <c r="S27" i="7" s="1"/>
  <c r="R27" i="7" a="1"/>
  <c r="R27" i="7" s="1"/>
  <c r="Q27" i="7" a="1"/>
  <c r="Q27" i="7" s="1"/>
  <c r="P27" i="7" a="1"/>
  <c r="P27" i="7" s="1"/>
  <c r="O27" i="7" a="1"/>
  <c r="O27" i="7" s="1"/>
  <c r="N27" i="7" a="1"/>
  <c r="N27" i="7" s="1"/>
  <c r="M27" i="7" a="1"/>
  <c r="M27" i="7" s="1"/>
  <c r="L27" i="7" a="1"/>
  <c r="L27" i="7" s="1"/>
  <c r="K27" i="7"/>
  <c r="H28" i="3" s="1"/>
  <c r="U21" i="7" a="1"/>
  <c r="U21" i="7" s="1"/>
  <c r="T21" i="7" a="1"/>
  <c r="T21" i="7" s="1"/>
  <c r="S21" i="7" a="1"/>
  <c r="S21" i="7" s="1"/>
  <c r="R21" i="7" a="1"/>
  <c r="R21" i="7" s="1"/>
  <c r="Q21" i="7" a="1"/>
  <c r="Q21" i="7" s="1"/>
  <c r="P21" i="7" a="1"/>
  <c r="P21" i="7" s="1"/>
  <c r="O21" i="7" a="1"/>
  <c r="O21" i="7" s="1"/>
  <c r="N21" i="7" a="1"/>
  <c r="N21" i="7" s="1"/>
  <c r="M21" i="7" a="1"/>
  <c r="M21" i="7" s="1"/>
  <c r="L21" i="7" a="1"/>
  <c r="L21" i="7" s="1"/>
  <c r="K21" i="7"/>
  <c r="H29" i="3" s="1"/>
  <c r="U29" i="7" a="1"/>
  <c r="U29" i="7" s="1"/>
  <c r="T29" i="7" a="1"/>
  <c r="T29" i="7" s="1"/>
  <c r="S29" i="7" a="1"/>
  <c r="S29" i="7" s="1"/>
  <c r="R29" i="7" a="1"/>
  <c r="R29" i="7" s="1"/>
  <c r="Q29" i="7" a="1"/>
  <c r="Q29" i="7" s="1"/>
  <c r="P29" i="7" a="1"/>
  <c r="P29" i="7" s="1"/>
  <c r="O29" i="7" a="1"/>
  <c r="O29" i="7" s="1"/>
  <c r="N29" i="7" a="1"/>
  <c r="N29" i="7" s="1"/>
  <c r="M29" i="7" a="1"/>
  <c r="M29" i="7" s="1"/>
  <c r="L29" i="7" a="1"/>
  <c r="L29" i="7" s="1"/>
  <c r="K29" i="7"/>
  <c r="H27" i="3" s="1"/>
  <c r="U16" i="7" a="1"/>
  <c r="U16" i="7" s="1"/>
  <c r="T16" i="7" a="1"/>
  <c r="T16" i="7" s="1"/>
  <c r="S16" i="7" a="1"/>
  <c r="S16" i="7" s="1"/>
  <c r="R16" i="7" a="1"/>
  <c r="R16" i="7" s="1"/>
  <c r="Q16" i="7" a="1"/>
  <c r="Q16" i="7" s="1"/>
  <c r="P16" i="7" a="1"/>
  <c r="P16" i="7" s="1"/>
  <c r="O16" i="7" a="1"/>
  <c r="O16" i="7" s="1"/>
  <c r="N16" i="7" a="1"/>
  <c r="N16" i="7" s="1"/>
  <c r="M16" i="7" a="1"/>
  <c r="M16" i="7" s="1"/>
  <c r="L16" i="7" a="1"/>
  <c r="L16" i="7" s="1"/>
  <c r="K16" i="7"/>
  <c r="H26" i="3" s="1"/>
  <c r="U32" i="7" a="1"/>
  <c r="U32" i="7" s="1"/>
  <c r="T32" i="7" a="1"/>
  <c r="T32" i="7" s="1"/>
  <c r="S32" i="7" a="1"/>
  <c r="S32" i="7" s="1"/>
  <c r="R32" i="7" a="1"/>
  <c r="R32" i="7" s="1"/>
  <c r="Q32" i="7" a="1"/>
  <c r="Q32" i="7" s="1"/>
  <c r="P32" i="7" a="1"/>
  <c r="P32" i="7" s="1"/>
  <c r="O32" i="7" a="1"/>
  <c r="O32" i="7" s="1"/>
  <c r="N32" i="7" a="1"/>
  <c r="N32" i="7" s="1"/>
  <c r="M32" i="7" a="1"/>
  <c r="M32" i="7" s="1"/>
  <c r="L32" i="7" a="1"/>
  <c r="L32" i="7" s="1"/>
  <c r="K32" i="7"/>
  <c r="H25" i="3" s="1"/>
  <c r="U13" i="7" a="1"/>
  <c r="U13" i="7" s="1"/>
  <c r="T13" i="7" a="1"/>
  <c r="T13" i="7" s="1"/>
  <c r="S13" i="7" a="1"/>
  <c r="S13" i="7" s="1"/>
  <c r="R13" i="7" a="1"/>
  <c r="R13" i="7" s="1"/>
  <c r="Q13" i="7" a="1"/>
  <c r="Q13" i="7" s="1"/>
  <c r="P13" i="7" a="1"/>
  <c r="P13" i="7" s="1"/>
  <c r="O13" i="7" a="1"/>
  <c r="O13" i="7" s="1"/>
  <c r="N13" i="7" a="1"/>
  <c r="N13" i="7" s="1"/>
  <c r="M13" i="7" a="1"/>
  <c r="M13" i="7" s="1"/>
  <c r="L13" i="7" a="1"/>
  <c r="L13" i="7" s="1"/>
  <c r="K13" i="7"/>
  <c r="H22" i="3" s="1"/>
  <c r="U7" i="7" a="1"/>
  <c r="U7" i="7" s="1"/>
  <c r="T7" i="7" a="1"/>
  <c r="T7" i="7" s="1"/>
  <c r="S7" i="7" a="1"/>
  <c r="S7" i="7" s="1"/>
  <c r="R7" i="7" a="1"/>
  <c r="R7" i="7" s="1"/>
  <c r="Q7" i="7" a="1"/>
  <c r="Q7" i="7" s="1"/>
  <c r="P7" i="7" a="1"/>
  <c r="P7" i="7" s="1"/>
  <c r="O7" i="7" a="1"/>
  <c r="O7" i="7" s="1"/>
  <c r="N7" i="7" a="1"/>
  <c r="N7" i="7" s="1"/>
  <c r="M7" i="7" a="1"/>
  <c r="M7" i="7" s="1"/>
  <c r="L7" i="7" a="1"/>
  <c r="L7" i="7" s="1"/>
  <c r="K7" i="7"/>
  <c r="H19" i="3" s="1"/>
  <c r="U25" i="7" a="1"/>
  <c r="U25" i="7" s="1"/>
  <c r="T25" i="7" a="1"/>
  <c r="T25" i="7" s="1"/>
  <c r="S25" i="7" a="1"/>
  <c r="S25" i="7" s="1"/>
  <c r="R25" i="7" a="1"/>
  <c r="R25" i="7" s="1"/>
  <c r="Q25" i="7" a="1"/>
  <c r="Q25" i="7" s="1"/>
  <c r="P25" i="7" a="1"/>
  <c r="P25" i="7" s="1"/>
  <c r="O25" i="7" a="1"/>
  <c r="O25" i="7" s="1"/>
  <c r="N25" i="7" a="1"/>
  <c r="N25" i="7" s="1"/>
  <c r="M25" i="7" a="1"/>
  <c r="M25" i="7" s="1"/>
  <c r="L25" i="7" a="1"/>
  <c r="L25" i="7" s="1"/>
  <c r="K25" i="7"/>
  <c r="H24" i="3" s="1"/>
  <c r="U9" i="7" a="1"/>
  <c r="U9" i="7" s="1"/>
  <c r="T9" i="7" a="1"/>
  <c r="T9" i="7" s="1"/>
  <c r="S9" i="7" a="1"/>
  <c r="S9" i="7" s="1"/>
  <c r="R9" i="7" a="1"/>
  <c r="R9" i="7" s="1"/>
  <c r="Q9" i="7" a="1"/>
  <c r="Q9" i="7" s="1"/>
  <c r="P9" i="7" a="1"/>
  <c r="P9" i="7" s="1"/>
  <c r="O9" i="7" a="1"/>
  <c r="O9" i="7" s="1"/>
  <c r="N9" i="7" a="1"/>
  <c r="N9" i="7" s="1"/>
  <c r="M9" i="7" a="1"/>
  <c r="M9" i="7" s="1"/>
  <c r="L9" i="7" a="1"/>
  <c r="L9" i="7" s="1"/>
  <c r="K9" i="7"/>
  <c r="H21" i="3" s="1"/>
  <c r="U22" i="7" a="1"/>
  <c r="U22" i="7" s="1"/>
  <c r="T22" i="7" a="1"/>
  <c r="T22" i="7" s="1"/>
  <c r="S22" i="7" a="1"/>
  <c r="S22" i="7" s="1"/>
  <c r="R22" i="7" a="1"/>
  <c r="R22" i="7" s="1"/>
  <c r="Q22" i="7" a="1"/>
  <c r="Q22" i="7" s="1"/>
  <c r="P22" i="7" a="1"/>
  <c r="P22" i="7" s="1"/>
  <c r="O22" i="7" a="1"/>
  <c r="O22" i="7" s="1"/>
  <c r="N22" i="7" a="1"/>
  <c r="N22" i="7" s="1"/>
  <c r="M22" i="7" a="1"/>
  <c r="M22" i="7" s="1"/>
  <c r="L22" i="7" a="1"/>
  <c r="L22" i="7" s="1"/>
  <c r="K22" i="7"/>
  <c r="H18" i="3" s="1"/>
  <c r="U20" i="7" a="1"/>
  <c r="U20" i="7" s="1"/>
  <c r="T20" i="7" a="1"/>
  <c r="T20" i="7" s="1"/>
  <c r="S20" i="7" a="1"/>
  <c r="S20" i="7" s="1"/>
  <c r="R20" i="7" a="1"/>
  <c r="R20" i="7" s="1"/>
  <c r="Q20" i="7" a="1"/>
  <c r="Q20" i="7" s="1"/>
  <c r="P20" i="7" a="1"/>
  <c r="P20" i="7" s="1"/>
  <c r="O20" i="7" a="1"/>
  <c r="O20" i="7" s="1"/>
  <c r="N20" i="7" a="1"/>
  <c r="N20" i="7" s="1"/>
  <c r="M20" i="7" a="1"/>
  <c r="M20" i="7" s="1"/>
  <c r="L20" i="7" a="1"/>
  <c r="L20" i="7" s="1"/>
  <c r="K20" i="7"/>
  <c r="H17" i="3" s="1"/>
  <c r="U31" i="7" a="1"/>
  <c r="U31" i="7" s="1"/>
  <c r="T31" i="7" a="1"/>
  <c r="T31" i="7" s="1"/>
  <c r="S31" i="7" a="1"/>
  <c r="S31" i="7" s="1"/>
  <c r="R31" i="7" a="1"/>
  <c r="R31" i="7" s="1"/>
  <c r="Q31" i="7" a="1"/>
  <c r="Q31" i="7" s="1"/>
  <c r="P31" i="7" a="1"/>
  <c r="P31" i="7" s="1"/>
  <c r="O31" i="7" a="1"/>
  <c r="O31" i="7" s="1"/>
  <c r="N31" i="7" a="1"/>
  <c r="N31" i="7" s="1"/>
  <c r="M31" i="7" a="1"/>
  <c r="M31" i="7" s="1"/>
  <c r="L31" i="7" a="1"/>
  <c r="L31" i="7" s="1"/>
  <c r="K31" i="7"/>
  <c r="H20" i="3" s="1"/>
  <c r="U19" i="7" a="1"/>
  <c r="U19" i="7" s="1"/>
  <c r="T19" i="7" a="1"/>
  <c r="T19" i="7" s="1"/>
  <c r="S19" i="7" a="1"/>
  <c r="S19" i="7" s="1"/>
  <c r="R19" i="7" a="1"/>
  <c r="R19" i="7" s="1"/>
  <c r="Q19" i="7" a="1"/>
  <c r="Q19" i="7" s="1"/>
  <c r="P19" i="7" a="1"/>
  <c r="P19" i="7" s="1"/>
  <c r="O19" i="7" a="1"/>
  <c r="O19" i="7" s="1"/>
  <c r="N19" i="7" a="1"/>
  <c r="N19" i="7" s="1"/>
  <c r="M19" i="7" a="1"/>
  <c r="M19" i="7" s="1"/>
  <c r="L19" i="7" a="1"/>
  <c r="L19" i="7" s="1"/>
  <c r="K19" i="7"/>
  <c r="H23" i="3" s="1"/>
  <c r="U5" i="7" a="1"/>
  <c r="U5" i="7" s="1"/>
  <c r="T5" i="7" a="1"/>
  <c r="T5" i="7" s="1"/>
  <c r="S5" i="7" a="1"/>
  <c r="S5" i="7" s="1"/>
  <c r="R5" i="7" a="1"/>
  <c r="R5" i="7" s="1"/>
  <c r="Q5" i="7" a="1"/>
  <c r="Q5" i="7" s="1"/>
  <c r="P5" i="7" a="1"/>
  <c r="P5" i="7" s="1"/>
  <c r="O5" i="7" a="1"/>
  <c r="O5" i="7" s="1"/>
  <c r="N5" i="7" a="1"/>
  <c r="N5" i="7" s="1"/>
  <c r="M5" i="7" a="1"/>
  <c r="M5" i="7" s="1"/>
  <c r="L5" i="7" a="1"/>
  <c r="L5" i="7" s="1"/>
  <c r="K5" i="7"/>
  <c r="H9" i="3" s="1"/>
  <c r="U6" i="7" a="1"/>
  <c r="U6" i="7" s="1"/>
  <c r="T6" i="7" a="1"/>
  <c r="T6" i="7" s="1"/>
  <c r="S6" i="7" a="1"/>
  <c r="S6" i="7" s="1"/>
  <c r="R6" i="7" a="1"/>
  <c r="R6" i="7" s="1"/>
  <c r="Q6" i="7" a="1"/>
  <c r="Q6" i="7" s="1"/>
  <c r="P6" i="7" a="1"/>
  <c r="P6" i="7" s="1"/>
  <c r="O6" i="7" a="1"/>
  <c r="O6" i="7" s="1"/>
  <c r="N6" i="7" a="1"/>
  <c r="N6" i="7" s="1"/>
  <c r="M6" i="7" a="1"/>
  <c r="M6" i="7" s="1"/>
  <c r="L6" i="7" a="1"/>
  <c r="L6" i="7" s="1"/>
  <c r="K6" i="7"/>
  <c r="H15" i="3" s="1"/>
  <c r="U30" i="7" a="1"/>
  <c r="U30" i="7" s="1"/>
  <c r="T30" i="7" a="1"/>
  <c r="T30" i="7" s="1"/>
  <c r="S30" i="7" a="1"/>
  <c r="S30" i="7" s="1"/>
  <c r="R30" i="7" a="1"/>
  <c r="R30" i="7" s="1"/>
  <c r="Q30" i="7" a="1"/>
  <c r="Q30" i="7" s="1"/>
  <c r="P30" i="7" a="1"/>
  <c r="P30" i="7" s="1"/>
  <c r="O30" i="7" a="1"/>
  <c r="O30" i="7" s="1"/>
  <c r="N30" i="7" a="1"/>
  <c r="N30" i="7" s="1"/>
  <c r="M30" i="7" a="1"/>
  <c r="M30" i="7" s="1"/>
  <c r="L30" i="7" a="1"/>
  <c r="L30" i="7" s="1"/>
  <c r="K30" i="7"/>
  <c r="H11" i="3" s="1"/>
  <c r="U24" i="7" a="1"/>
  <c r="U24" i="7" s="1"/>
  <c r="T24" i="7" a="1"/>
  <c r="T24" i="7" s="1"/>
  <c r="S24" i="7" a="1"/>
  <c r="S24" i="7" s="1"/>
  <c r="R24" i="7" a="1"/>
  <c r="R24" i="7" s="1"/>
  <c r="Q24" i="7" a="1"/>
  <c r="Q24" i="7" s="1"/>
  <c r="P24" i="7" a="1"/>
  <c r="P24" i="7" s="1"/>
  <c r="O24" i="7" a="1"/>
  <c r="O24" i="7" s="1"/>
  <c r="N24" i="7" a="1"/>
  <c r="N24" i="7" s="1"/>
  <c r="M24" i="7" a="1"/>
  <c r="M24" i="7" s="1"/>
  <c r="L24" i="7" a="1"/>
  <c r="L24" i="7" s="1"/>
  <c r="K24" i="7"/>
  <c r="H10" i="3" s="1"/>
  <c r="U18" i="7" a="1"/>
  <c r="U18" i="7" s="1"/>
  <c r="T18" i="7" a="1"/>
  <c r="T18" i="7" s="1"/>
  <c r="S18" i="7" a="1"/>
  <c r="S18" i="7" s="1"/>
  <c r="R18" i="7" a="1"/>
  <c r="R18" i="7" s="1"/>
  <c r="Q18" i="7" a="1"/>
  <c r="Q18" i="7" s="1"/>
  <c r="P18" i="7" a="1"/>
  <c r="P18" i="7" s="1"/>
  <c r="O18" i="7" a="1"/>
  <c r="O18" i="7" s="1"/>
  <c r="N18" i="7" a="1"/>
  <c r="N18" i="7" s="1"/>
  <c r="M18" i="7" a="1"/>
  <c r="M18" i="7" s="1"/>
  <c r="L18" i="7" a="1"/>
  <c r="L18" i="7" s="1"/>
  <c r="K18" i="7"/>
  <c r="H14" i="3" s="1"/>
  <c r="U23" i="7" a="1"/>
  <c r="U23" i="7" s="1"/>
  <c r="T23" i="7" a="1"/>
  <c r="T23" i="7" s="1"/>
  <c r="S23" i="7" a="1"/>
  <c r="S23" i="7" s="1"/>
  <c r="R23" i="7" a="1"/>
  <c r="R23" i="7" s="1"/>
  <c r="Q23" i="7" a="1"/>
  <c r="Q23" i="7" s="1"/>
  <c r="P23" i="7" a="1"/>
  <c r="P23" i="7" s="1"/>
  <c r="O23" i="7" a="1"/>
  <c r="O23" i="7" s="1"/>
  <c r="N23" i="7" a="1"/>
  <c r="N23" i="7" s="1"/>
  <c r="M23" i="7" a="1"/>
  <c r="M23" i="7" s="1"/>
  <c r="L23" i="7" a="1"/>
  <c r="L23" i="7" s="1"/>
  <c r="K23" i="7"/>
  <c r="H16" i="3" s="1"/>
  <c r="U10" i="7" a="1"/>
  <c r="U10" i="7" s="1"/>
  <c r="T10" i="7" a="1"/>
  <c r="T10" i="7" s="1"/>
  <c r="S10" i="7" a="1"/>
  <c r="S10" i="7" s="1"/>
  <c r="R10" i="7" a="1"/>
  <c r="R10" i="7" s="1"/>
  <c r="Q10" i="7" a="1"/>
  <c r="Q10" i="7" s="1"/>
  <c r="P10" i="7" a="1"/>
  <c r="P10" i="7" s="1"/>
  <c r="O10" i="7" a="1"/>
  <c r="O10" i="7" s="1"/>
  <c r="N10" i="7" a="1"/>
  <c r="N10" i="7" s="1"/>
  <c r="M10" i="7" a="1"/>
  <c r="M10" i="7" s="1"/>
  <c r="L10" i="7" a="1"/>
  <c r="L10" i="7" s="1"/>
  <c r="K10" i="7"/>
  <c r="H13" i="3" s="1"/>
  <c r="U28" i="7" a="1"/>
  <c r="U28" i="7" s="1"/>
  <c r="T28" i="7" a="1"/>
  <c r="T28" i="7" s="1"/>
  <c r="S28" i="7" a="1"/>
  <c r="S28" i="7" s="1"/>
  <c r="R28" i="7" a="1"/>
  <c r="R28" i="7" s="1"/>
  <c r="Q28" i="7" a="1"/>
  <c r="Q28" i="7" s="1"/>
  <c r="P28" i="7" a="1"/>
  <c r="P28" i="7" s="1"/>
  <c r="O28" i="7" a="1"/>
  <c r="O28" i="7" s="1"/>
  <c r="N28" i="7" a="1"/>
  <c r="N28" i="7" s="1"/>
  <c r="M28" i="7" a="1"/>
  <c r="M28" i="7" s="1"/>
  <c r="L28" i="7" a="1"/>
  <c r="L28" i="7" s="1"/>
  <c r="K28" i="7"/>
  <c r="H12" i="3" s="1"/>
  <c r="U15" i="7" a="1"/>
  <c r="U15" i="7" s="1"/>
  <c r="T15" i="7" a="1"/>
  <c r="T15" i="7" s="1"/>
  <c r="S15" i="7" a="1"/>
  <c r="S15" i="7" s="1"/>
  <c r="R15" i="7" a="1"/>
  <c r="R15" i="7" s="1"/>
  <c r="Q15" i="7" a="1"/>
  <c r="Q15" i="7" s="1"/>
  <c r="P15" i="7" a="1"/>
  <c r="P15" i="7" s="1"/>
  <c r="O15" i="7" a="1"/>
  <c r="O15" i="7" s="1"/>
  <c r="N15" i="7" a="1"/>
  <c r="N15" i="7" s="1"/>
  <c r="M15" i="7" a="1"/>
  <c r="M15" i="7" s="1"/>
  <c r="L15" i="7" a="1"/>
  <c r="L15" i="7" s="1"/>
  <c r="K15" i="7"/>
  <c r="H6" i="3" s="1"/>
  <c r="U14" i="7" a="1"/>
  <c r="U14" i="7" s="1"/>
  <c r="T14" i="7" a="1"/>
  <c r="T14" i="7" s="1"/>
  <c r="S14" i="7" a="1"/>
  <c r="S14" i="7" s="1"/>
  <c r="R14" i="7" a="1"/>
  <c r="R14" i="7" s="1"/>
  <c r="Q14" i="7" a="1"/>
  <c r="Q14" i="7" s="1"/>
  <c r="P14" i="7" a="1"/>
  <c r="P14" i="7" s="1"/>
  <c r="O14" i="7" a="1"/>
  <c r="O14" i="7" s="1"/>
  <c r="N14" i="7" a="1"/>
  <c r="N14" i="7" s="1"/>
  <c r="M14" i="7" a="1"/>
  <c r="M14" i="7" s="1"/>
  <c r="L14" i="7" a="1"/>
  <c r="L14" i="7" s="1"/>
  <c r="K14" i="7"/>
  <c r="H7" i="3" s="1"/>
  <c r="U34" i="7" a="1"/>
  <c r="U34" i="7" s="1"/>
  <c r="T34" i="7" a="1"/>
  <c r="T34" i="7" s="1"/>
  <c r="S34" i="7" a="1"/>
  <c r="S34" i="7" s="1"/>
  <c r="R34" i="7" a="1"/>
  <c r="R34" i="7" s="1"/>
  <c r="Q34" i="7" a="1"/>
  <c r="Q34" i="7" s="1"/>
  <c r="P34" i="7" a="1"/>
  <c r="P34" i="7" s="1"/>
  <c r="O34" i="7" a="1"/>
  <c r="O34" i="7" s="1"/>
  <c r="N34" i="7" a="1"/>
  <c r="N34" i="7" s="1"/>
  <c r="M34" i="7" a="1"/>
  <c r="M34" i="7" s="1"/>
  <c r="L34" i="7" a="1"/>
  <c r="L34" i="7" s="1"/>
  <c r="K34" i="7"/>
  <c r="H8" i="3" s="1"/>
  <c r="U33" i="7" a="1"/>
  <c r="U33" i="7" s="1"/>
  <c r="T33" i="7" a="1"/>
  <c r="T33" i="7" s="1"/>
  <c r="S33" i="7" a="1"/>
  <c r="S33" i="7" s="1"/>
  <c r="R33" i="7" a="1"/>
  <c r="R33" i="7" s="1"/>
  <c r="Q33" i="7" a="1"/>
  <c r="Q33" i="7" s="1"/>
  <c r="P33" i="7" a="1"/>
  <c r="P33" i="7" s="1"/>
  <c r="O33" i="7" a="1"/>
  <c r="O33" i="7" s="1"/>
  <c r="N33" i="7" a="1"/>
  <c r="N33" i="7" s="1"/>
  <c r="M33" i="7" a="1"/>
  <c r="M33" i="7" s="1"/>
  <c r="L33" i="7" a="1"/>
  <c r="L33" i="7" s="1"/>
  <c r="K33" i="7"/>
  <c r="H5" i="3" s="1"/>
  <c r="U17" i="7" a="1"/>
  <c r="U17" i="7" s="1"/>
  <c r="T17" i="7" a="1"/>
  <c r="T17" i="7" s="1"/>
  <c r="S17" i="7" a="1"/>
  <c r="S17" i="7" s="1"/>
  <c r="R17" i="7" a="1"/>
  <c r="R17" i="7" s="1"/>
  <c r="Q17" i="7" a="1"/>
  <c r="Q17" i="7" s="1"/>
  <c r="P17" i="7" a="1"/>
  <c r="P17" i="7" s="1"/>
  <c r="O17" i="7" a="1"/>
  <c r="O17" i="7" s="1"/>
  <c r="N17" i="7" a="1"/>
  <c r="N17" i="7" s="1"/>
  <c r="M17" i="7" a="1"/>
  <c r="M17" i="7" s="1"/>
  <c r="L17" i="7" a="1"/>
  <c r="L17" i="7" s="1"/>
  <c r="K17" i="7"/>
  <c r="H4" i="3" s="1"/>
  <c r="U26" i="7" a="1"/>
  <c r="U26" i="7" s="1"/>
  <c r="T26" i="7" a="1"/>
  <c r="T26" i="7" s="1"/>
  <c r="S26" i="7" a="1"/>
  <c r="S26" i="7" s="1"/>
  <c r="R26" i="7" a="1"/>
  <c r="R26" i="7" s="1"/>
  <c r="Q26" i="7" a="1"/>
  <c r="Q26" i="7" s="1"/>
  <c r="P26" i="7" a="1"/>
  <c r="P26" i="7" s="1"/>
  <c r="O26" i="7" a="1"/>
  <c r="O26" i="7" s="1"/>
  <c r="N26" i="7" a="1"/>
  <c r="N26" i="7" s="1"/>
  <c r="M26" i="7" a="1"/>
  <c r="M26" i="7" s="1"/>
  <c r="L26" i="7" a="1"/>
  <c r="L26" i="7" s="1"/>
  <c r="K26" i="7"/>
  <c r="H32" i="3" s="1"/>
  <c r="U8" i="7" a="1"/>
  <c r="U8" i="7" s="1"/>
  <c r="T8" i="7" a="1"/>
  <c r="T8" i="7" s="1"/>
  <c r="S8" i="7" a="1"/>
  <c r="S8" i="7" s="1"/>
  <c r="R8" i="7" a="1"/>
  <c r="R8" i="7" s="1"/>
  <c r="Q8" i="7" a="1"/>
  <c r="Q8" i="7" s="1"/>
  <c r="P8" i="7" a="1"/>
  <c r="P8" i="7" s="1"/>
  <c r="O8" i="7" a="1"/>
  <c r="O8" i="7" s="1"/>
  <c r="N8" i="7" a="1"/>
  <c r="N8" i="7" s="1"/>
  <c r="M8" i="7" a="1"/>
  <c r="M8" i="7" s="1"/>
  <c r="L8" i="7" a="1"/>
  <c r="L8" i="7" s="1"/>
  <c r="K8" i="7"/>
  <c r="H33" i="3" s="1"/>
  <c r="U12" i="7" a="1"/>
  <c r="U12" i="7" s="1"/>
  <c r="T12" i="7" a="1"/>
  <c r="T12" i="7" s="1"/>
  <c r="S12" i="7" a="1"/>
  <c r="S12" i="7" s="1"/>
  <c r="R12" i="7" a="1"/>
  <c r="R12" i="7" s="1"/>
  <c r="Q12" i="7" a="1"/>
  <c r="Q12" i="7" s="1"/>
  <c r="P12" i="7" a="1"/>
  <c r="P12" i="7" s="1"/>
  <c r="O12" i="7" a="1"/>
  <c r="O12" i="7" s="1"/>
  <c r="N12" i="7" a="1"/>
  <c r="N12" i="7" s="1"/>
  <c r="M12" i="7" a="1"/>
  <c r="M12" i="7" s="1"/>
  <c r="L12" i="7" a="1"/>
  <c r="L12" i="7" s="1"/>
  <c r="K12" i="7"/>
  <c r="H31" i="3" s="1"/>
  <c r="J49" i="5"/>
  <c r="Q23" i="3" s="1" a="1"/>
  <c r="Q23" i="3" s="1"/>
  <c r="J46" i="5"/>
  <c r="K46" i="5" s="1"/>
  <c r="L46" i="5" s="1"/>
  <c r="U60" i="3" s="1"/>
  <c r="J45" i="5"/>
  <c r="K45" i="5" s="1"/>
  <c r="L45" i="5" s="1"/>
  <c r="U59" i="3" s="1"/>
  <c r="J44" i="5"/>
  <c r="K44" i="5" s="1"/>
  <c r="L44" i="5" s="1"/>
  <c r="U58" i="3" s="1"/>
  <c r="J43" i="5"/>
  <c r="K43" i="5" s="1"/>
  <c r="L43" i="5" s="1"/>
  <c r="U57" i="3" s="1"/>
  <c r="J42" i="5"/>
  <c r="K42" i="5" s="1"/>
  <c r="L42" i="5" s="1"/>
  <c r="U56" i="3" s="1"/>
  <c r="J41" i="5"/>
  <c r="K41" i="5" s="1"/>
  <c r="L41" i="5" s="1"/>
  <c r="U55" i="3" s="1"/>
  <c r="J40" i="5"/>
  <c r="U41" i="3" s="1"/>
  <c r="J39" i="5"/>
  <c r="U40" i="3" s="1"/>
  <c r="J38" i="5"/>
  <c r="U39" i="3" s="1"/>
  <c r="J37" i="5"/>
  <c r="U38" i="3" s="1"/>
  <c r="W34" i="5" a="1"/>
  <c r="W34" i="5" s="1"/>
  <c r="V34" i="5" a="1"/>
  <c r="V34" i="5" s="1"/>
  <c r="U34" i="5" a="1"/>
  <c r="U34" i="5" s="1"/>
  <c r="T34" i="5" a="1"/>
  <c r="T34" i="5" s="1"/>
  <c r="S34" i="5" a="1"/>
  <c r="S34" i="5" s="1"/>
  <c r="R34" i="5" a="1"/>
  <c r="R34" i="5" s="1"/>
  <c r="Q34" i="5" a="1"/>
  <c r="Q34" i="5" s="1"/>
  <c r="P34" i="5"/>
  <c r="P34" i="5" a="1"/>
  <c r="O34" i="5" a="1"/>
  <c r="O34" i="5" s="1"/>
  <c r="N34" i="5" a="1"/>
  <c r="N34" i="5" s="1"/>
  <c r="M34" i="5"/>
  <c r="G4" i="3" s="1"/>
  <c r="W33" i="5" a="1"/>
  <c r="W33" i="5" s="1"/>
  <c r="V33" i="5" a="1"/>
  <c r="V33" i="5" s="1"/>
  <c r="U33" i="5" a="1"/>
  <c r="U33" i="5" s="1"/>
  <c r="T33" i="5" a="1"/>
  <c r="T33" i="5" s="1"/>
  <c r="S33" i="5" a="1"/>
  <c r="S33" i="5" s="1"/>
  <c r="R33" i="5"/>
  <c r="R33" i="5" a="1"/>
  <c r="Q33" i="5" a="1"/>
  <c r="Q33" i="5" s="1"/>
  <c r="P33" i="5" a="1"/>
  <c r="P33" i="5" s="1"/>
  <c r="O33" i="5" a="1"/>
  <c r="O33" i="5" s="1"/>
  <c r="N33" i="5" a="1"/>
  <c r="N33" i="5" s="1"/>
  <c r="M33" i="5"/>
  <c r="G5" i="3" s="1"/>
  <c r="W32" i="5" a="1"/>
  <c r="W32" i="5" s="1"/>
  <c r="V32" i="5" a="1"/>
  <c r="V32" i="5" s="1"/>
  <c r="U32" i="5" a="1"/>
  <c r="U32" i="5" s="1"/>
  <c r="T32" i="5"/>
  <c r="T32" i="5" a="1"/>
  <c r="S32" i="5"/>
  <c r="S32" i="5" a="1"/>
  <c r="R32" i="5" a="1"/>
  <c r="R32" i="5" s="1"/>
  <c r="Q32" i="5" a="1"/>
  <c r="Q32" i="5" s="1"/>
  <c r="P32" i="5"/>
  <c r="P32" i="5" a="1"/>
  <c r="O32" i="5" a="1"/>
  <c r="O32" i="5" s="1"/>
  <c r="N32" i="5" a="1"/>
  <c r="N32" i="5" s="1"/>
  <c r="M32" i="5"/>
  <c r="G8" i="3" s="1"/>
  <c r="W31" i="5" a="1"/>
  <c r="W31" i="5" s="1"/>
  <c r="V31" i="5" a="1"/>
  <c r="V31" i="5" s="1"/>
  <c r="U31" i="5" a="1"/>
  <c r="U31" i="5" s="1"/>
  <c r="T31" i="5" a="1"/>
  <c r="T31" i="5" s="1"/>
  <c r="S31" i="5" a="1"/>
  <c r="S31" i="5" s="1"/>
  <c r="R31" i="5" a="1"/>
  <c r="R31" i="5" s="1"/>
  <c r="Q31" i="5" a="1"/>
  <c r="Q31" i="5" s="1"/>
  <c r="P31" i="5" a="1"/>
  <c r="P31" i="5" s="1"/>
  <c r="O31" i="5" a="1"/>
  <c r="O31" i="5" s="1"/>
  <c r="N31" i="5" a="1"/>
  <c r="N31" i="5" s="1"/>
  <c r="M31" i="5"/>
  <c r="G9" i="3" s="1"/>
  <c r="W30" i="5" a="1"/>
  <c r="W30" i="5" s="1"/>
  <c r="V30" i="5" a="1"/>
  <c r="V30" i="5" s="1"/>
  <c r="U30" i="5" a="1"/>
  <c r="U30" i="5" s="1"/>
  <c r="T30" i="5" a="1"/>
  <c r="T30" i="5" s="1"/>
  <c r="S30" i="5"/>
  <c r="S30" i="5" a="1"/>
  <c r="R30" i="5" a="1"/>
  <c r="R30" i="5" s="1"/>
  <c r="Q30" i="5" a="1"/>
  <c r="Q30" i="5" s="1"/>
  <c r="P30" i="5" a="1"/>
  <c r="P30" i="5" s="1"/>
  <c r="O30" i="5"/>
  <c r="O30" i="5" a="1"/>
  <c r="N30" i="5" a="1"/>
  <c r="N30" i="5" s="1"/>
  <c r="M30" i="5"/>
  <c r="G14" i="3" s="1"/>
  <c r="W29" i="5" a="1"/>
  <c r="W29" i="5" s="1"/>
  <c r="V29" i="5" a="1"/>
  <c r="V29" i="5" s="1"/>
  <c r="U29" i="5" a="1"/>
  <c r="U29" i="5" s="1"/>
  <c r="T29" i="5" a="1"/>
  <c r="T29" i="5" s="1"/>
  <c r="S29" i="5" a="1"/>
  <c r="S29" i="5" s="1"/>
  <c r="R29" i="5" a="1"/>
  <c r="R29" i="5" s="1"/>
  <c r="Q29" i="5" a="1"/>
  <c r="Q29" i="5" s="1"/>
  <c r="P29" i="5" a="1"/>
  <c r="P29" i="5" s="1"/>
  <c r="O29" i="5" a="1"/>
  <c r="O29" i="5" s="1"/>
  <c r="N29" i="5" a="1"/>
  <c r="N29" i="5" s="1"/>
  <c r="M29" i="5"/>
  <c r="G7" i="3" s="1"/>
  <c r="W28" i="5" a="1"/>
  <c r="W28" i="5" s="1"/>
  <c r="V28" i="5" a="1"/>
  <c r="V28" i="5" s="1"/>
  <c r="U28" i="5" a="1"/>
  <c r="U28" i="5" s="1"/>
  <c r="T28" i="5" a="1"/>
  <c r="T28" i="5" s="1"/>
  <c r="S28" i="5" a="1"/>
  <c r="S28" i="5" s="1"/>
  <c r="R28" i="5" a="1"/>
  <c r="R28" i="5" s="1"/>
  <c r="Q28" i="5"/>
  <c r="Q28" i="5" a="1"/>
  <c r="P28" i="5" a="1"/>
  <c r="P28" i="5" s="1"/>
  <c r="O28" i="5" a="1"/>
  <c r="O28" i="5" s="1"/>
  <c r="N28" i="5" a="1"/>
  <c r="N28" i="5" s="1"/>
  <c r="M28" i="5"/>
  <c r="G6" i="3" s="1"/>
  <c r="W27" i="5" a="1"/>
  <c r="W27" i="5" s="1"/>
  <c r="V27" i="5" a="1"/>
  <c r="V27" i="5" s="1"/>
  <c r="U27" i="5" a="1"/>
  <c r="U27" i="5" s="1"/>
  <c r="T27" i="5" a="1"/>
  <c r="T27" i="5" s="1"/>
  <c r="S27" i="5" a="1"/>
  <c r="S27" i="5" s="1"/>
  <c r="R27" i="5" a="1"/>
  <c r="R27" i="5" s="1"/>
  <c r="Q27" i="5" a="1"/>
  <c r="Q27" i="5" s="1"/>
  <c r="P27" i="5" a="1"/>
  <c r="P27" i="5" s="1"/>
  <c r="O27" i="5"/>
  <c r="O27" i="5" a="1"/>
  <c r="N27" i="5" a="1"/>
  <c r="N27" i="5" s="1"/>
  <c r="M27" i="5"/>
  <c r="G11" i="3" s="1"/>
  <c r="W26" i="5" a="1"/>
  <c r="W26" i="5" s="1"/>
  <c r="V26" i="5" a="1"/>
  <c r="V26" i="5" s="1"/>
  <c r="U26" i="5" a="1"/>
  <c r="U26" i="5" s="1"/>
  <c r="T26" i="5" a="1"/>
  <c r="T26" i="5" s="1"/>
  <c r="S26" i="5" a="1"/>
  <c r="S26" i="5" s="1"/>
  <c r="R26" i="5"/>
  <c r="R26" i="5" a="1"/>
  <c r="Q26" i="5" a="1"/>
  <c r="Q26" i="5" s="1"/>
  <c r="P26" i="5" a="1"/>
  <c r="P26" i="5" s="1"/>
  <c r="O26" i="5" a="1"/>
  <c r="O26" i="5" s="1"/>
  <c r="N26" i="5" a="1"/>
  <c r="N26" i="5" s="1"/>
  <c r="M26" i="5"/>
  <c r="G10" i="3" s="1"/>
  <c r="W25" i="5" a="1"/>
  <c r="W25" i="5" s="1"/>
  <c r="V25" i="5" a="1"/>
  <c r="V25" i="5" s="1"/>
  <c r="U25" i="5" a="1"/>
  <c r="U25" i="5" s="1"/>
  <c r="T25" i="5" a="1"/>
  <c r="T25" i="5" s="1"/>
  <c r="S25" i="5" a="1"/>
  <c r="S25" i="5" s="1"/>
  <c r="R25" i="5" a="1"/>
  <c r="R25" i="5" s="1"/>
  <c r="Q25" i="5" a="1"/>
  <c r="Q25" i="5" s="1"/>
  <c r="P25" i="5" a="1"/>
  <c r="P25" i="5" s="1"/>
  <c r="O25" i="5" a="1"/>
  <c r="O25" i="5" s="1"/>
  <c r="N25" i="5" a="1"/>
  <c r="N25" i="5" s="1"/>
  <c r="M25" i="5"/>
  <c r="G12" i="3" s="1"/>
  <c r="W24" i="5"/>
  <c r="W24" i="5" a="1"/>
  <c r="V24" i="5" a="1"/>
  <c r="V24" i="5" s="1"/>
  <c r="U24" i="5" a="1"/>
  <c r="U24" i="5" s="1"/>
  <c r="T24" i="5" a="1"/>
  <c r="T24" i="5" s="1"/>
  <c r="S24" i="5" a="1"/>
  <c r="S24" i="5" s="1"/>
  <c r="R24" i="5" a="1"/>
  <c r="R24" i="5" s="1"/>
  <c r="Q24" i="5" a="1"/>
  <c r="Q24" i="5" s="1"/>
  <c r="P24" i="5"/>
  <c r="P24" i="5" a="1"/>
  <c r="O24" i="5" a="1"/>
  <c r="O24" i="5" s="1"/>
  <c r="N24" i="5" a="1"/>
  <c r="N24" i="5" s="1"/>
  <c r="M24" i="5"/>
  <c r="G16" i="3" s="1"/>
  <c r="W23" i="5" a="1"/>
  <c r="W23" i="5" s="1"/>
  <c r="V23" i="5" a="1"/>
  <c r="V23" i="5" s="1"/>
  <c r="U23" i="5" a="1"/>
  <c r="U23" i="5" s="1"/>
  <c r="T23" i="5" a="1"/>
  <c r="T23" i="5" s="1"/>
  <c r="S23" i="5" a="1"/>
  <c r="S23" i="5" s="1"/>
  <c r="R23" i="5" a="1"/>
  <c r="R23" i="5" s="1"/>
  <c r="Q23" i="5" a="1"/>
  <c r="Q23" i="5" s="1"/>
  <c r="P23" i="5" a="1"/>
  <c r="P23" i="5" s="1"/>
  <c r="O23" i="5" a="1"/>
  <c r="O23" i="5" s="1"/>
  <c r="N23" i="5" a="1"/>
  <c r="N23" i="5" s="1"/>
  <c r="M23" i="5"/>
  <c r="G13" i="3" s="1"/>
  <c r="W22" i="5" a="1"/>
  <c r="W22" i="5" s="1"/>
  <c r="V22" i="5" a="1"/>
  <c r="V22" i="5" s="1"/>
  <c r="U22" i="5" a="1"/>
  <c r="U22" i="5" s="1"/>
  <c r="T22" i="5" a="1"/>
  <c r="T22" i="5" s="1"/>
  <c r="S22" i="5" a="1"/>
  <c r="S22" i="5" s="1"/>
  <c r="R22" i="5" a="1"/>
  <c r="R22" i="5" s="1"/>
  <c r="Q22" i="5" a="1"/>
  <c r="Q22" i="5" s="1"/>
  <c r="P22" i="5" a="1"/>
  <c r="P22" i="5" s="1"/>
  <c r="O22" i="5" a="1"/>
  <c r="O22" i="5" s="1"/>
  <c r="N22" i="5" a="1"/>
  <c r="N22" i="5" s="1"/>
  <c r="M22" i="5"/>
  <c r="G15" i="3" s="1"/>
  <c r="W21" i="5" a="1"/>
  <c r="W21" i="5" s="1"/>
  <c r="V21" i="5" a="1"/>
  <c r="V21" i="5" s="1"/>
  <c r="U21" i="5" a="1"/>
  <c r="U21" i="5" s="1"/>
  <c r="T21" i="5" a="1"/>
  <c r="T21" i="5" s="1"/>
  <c r="S21" i="5" a="1"/>
  <c r="S21" i="5" s="1"/>
  <c r="R21" i="5" a="1"/>
  <c r="R21" i="5" s="1"/>
  <c r="Q21" i="5" a="1"/>
  <c r="Q21" i="5" s="1"/>
  <c r="P21" i="5" a="1"/>
  <c r="P21" i="5" s="1"/>
  <c r="O21" i="5" a="1"/>
  <c r="O21" i="5" s="1"/>
  <c r="N21" i="5" a="1"/>
  <c r="N21" i="5" s="1"/>
  <c r="M21" i="5"/>
  <c r="G20" i="3" s="1"/>
  <c r="W20" i="5" a="1"/>
  <c r="W20" i="5" s="1"/>
  <c r="V20" i="5" a="1"/>
  <c r="V20" i="5" s="1"/>
  <c r="U20" i="5" a="1"/>
  <c r="U20" i="5" s="1"/>
  <c r="T20" i="5" a="1"/>
  <c r="T20" i="5" s="1"/>
  <c r="S20" i="5" a="1"/>
  <c r="S20" i="5" s="1"/>
  <c r="R20" i="5" a="1"/>
  <c r="R20" i="5" s="1"/>
  <c r="Q20" i="5" a="1"/>
  <c r="Q20" i="5" s="1"/>
  <c r="P20" i="5" a="1"/>
  <c r="P20" i="5" s="1"/>
  <c r="O20" i="5" a="1"/>
  <c r="O20" i="5" s="1"/>
  <c r="N20" i="5" a="1"/>
  <c r="N20" i="5" s="1"/>
  <c r="M20" i="5"/>
  <c r="G23" i="3" s="1"/>
  <c r="W19" i="5" a="1"/>
  <c r="W19" i="5" s="1"/>
  <c r="V19" i="5" a="1"/>
  <c r="V19" i="5" s="1"/>
  <c r="U19" i="5" a="1"/>
  <c r="U19" i="5" s="1"/>
  <c r="T19" i="5" a="1"/>
  <c r="T19" i="5" s="1"/>
  <c r="S19" i="5" a="1"/>
  <c r="S19" i="5" s="1"/>
  <c r="R19" i="5" a="1"/>
  <c r="R19" i="5" s="1"/>
  <c r="Q19" i="5" a="1"/>
  <c r="Q19" i="5" s="1"/>
  <c r="P19" i="5" a="1"/>
  <c r="P19" i="5" s="1"/>
  <c r="O19" i="5" a="1"/>
  <c r="O19" i="5" s="1"/>
  <c r="N19" i="5" a="1"/>
  <c r="N19" i="5" s="1"/>
  <c r="M19" i="5"/>
  <c r="G18" i="3" s="1"/>
  <c r="W18" i="5" a="1"/>
  <c r="W18" i="5" s="1"/>
  <c r="V18" i="5" a="1"/>
  <c r="V18" i="5" s="1"/>
  <c r="U18" i="5" a="1"/>
  <c r="U18" i="5" s="1"/>
  <c r="T18" i="5" a="1"/>
  <c r="T18" i="5" s="1"/>
  <c r="S18" i="5" a="1"/>
  <c r="S18" i="5" s="1"/>
  <c r="R18" i="5" a="1"/>
  <c r="R18" i="5" s="1"/>
  <c r="Q18" i="5" a="1"/>
  <c r="Q18" i="5" s="1"/>
  <c r="P18" i="5" a="1"/>
  <c r="P18" i="5" s="1"/>
  <c r="O18" i="5" a="1"/>
  <c r="O18" i="5" s="1"/>
  <c r="N18" i="5" a="1"/>
  <c r="N18" i="5" s="1"/>
  <c r="M18" i="5"/>
  <c r="G17" i="3" s="1"/>
  <c r="W17" i="5" a="1"/>
  <c r="W17" i="5" s="1"/>
  <c r="V17" i="5" a="1"/>
  <c r="V17" i="5" s="1"/>
  <c r="U17" i="5" a="1"/>
  <c r="U17" i="5" s="1"/>
  <c r="T17" i="5" a="1"/>
  <c r="T17" i="5" s="1"/>
  <c r="S17" i="5" a="1"/>
  <c r="S17" i="5" s="1"/>
  <c r="R17" i="5" a="1"/>
  <c r="R17" i="5" s="1"/>
  <c r="Q17" i="5"/>
  <c r="Q17" i="5" a="1"/>
  <c r="P17" i="5" a="1"/>
  <c r="P17" i="5" s="1"/>
  <c r="O17" i="5" a="1"/>
  <c r="O17" i="5" s="1"/>
  <c r="N17" i="5" a="1"/>
  <c r="N17" i="5" s="1"/>
  <c r="M17" i="5"/>
  <c r="G21" i="3" s="1"/>
  <c r="W16" i="5"/>
  <c r="W16" i="5" a="1"/>
  <c r="V16" i="5" a="1"/>
  <c r="V16" i="5" s="1"/>
  <c r="U16" i="5" a="1"/>
  <c r="U16" i="5" s="1"/>
  <c r="T16" i="5" a="1"/>
  <c r="T16" i="5" s="1"/>
  <c r="S16" i="5" a="1"/>
  <c r="S16" i="5" s="1"/>
  <c r="R16" i="5" a="1"/>
  <c r="R16" i="5" s="1"/>
  <c r="Q16" i="5" a="1"/>
  <c r="Q16" i="5" s="1"/>
  <c r="P16" i="5" a="1"/>
  <c r="P16" i="5" s="1"/>
  <c r="O16" i="5" a="1"/>
  <c r="O16" i="5" s="1"/>
  <c r="N16" i="5"/>
  <c r="N16" i="5" a="1"/>
  <c r="M16" i="5"/>
  <c r="G19" i="3" s="1"/>
  <c r="W15" i="5" a="1"/>
  <c r="W15" i="5" s="1"/>
  <c r="V15" i="5" a="1"/>
  <c r="V15" i="5" s="1"/>
  <c r="U15" i="5" a="1"/>
  <c r="U15" i="5" s="1"/>
  <c r="T15" i="5" a="1"/>
  <c r="T15" i="5" s="1"/>
  <c r="S15" i="5" a="1"/>
  <c r="S15" i="5" s="1"/>
  <c r="R15" i="5" a="1"/>
  <c r="R15" i="5" s="1"/>
  <c r="Q15" i="5" a="1"/>
  <c r="Q15" i="5" s="1"/>
  <c r="P15" i="5" a="1"/>
  <c r="P15" i="5" s="1"/>
  <c r="O15" i="5" a="1"/>
  <c r="O15" i="5" s="1"/>
  <c r="N15" i="5" a="1"/>
  <c r="N15" i="5" s="1"/>
  <c r="M15" i="5"/>
  <c r="G24" i="3" s="1"/>
  <c r="W14" i="5" a="1"/>
  <c r="W14" i="5" s="1"/>
  <c r="V14" i="5" a="1"/>
  <c r="V14" i="5" s="1"/>
  <c r="U14" i="5" a="1"/>
  <c r="U14" i="5" s="1"/>
  <c r="T14" i="5" a="1"/>
  <c r="T14" i="5" s="1"/>
  <c r="S14" i="5" a="1"/>
  <c r="S14" i="5" s="1"/>
  <c r="R14" i="5" a="1"/>
  <c r="R14" i="5" s="1"/>
  <c r="Q14" i="5" a="1"/>
  <c r="Q14" i="5" s="1"/>
  <c r="P14" i="5" a="1"/>
  <c r="P14" i="5" s="1"/>
  <c r="O14" i="5" a="1"/>
  <c r="O14" i="5" s="1"/>
  <c r="N14" i="5" a="1"/>
  <c r="N14" i="5" s="1"/>
  <c r="M14" i="5"/>
  <c r="G22" i="3" s="1"/>
  <c r="W13" i="5" a="1"/>
  <c r="W13" i="5" s="1"/>
  <c r="V13" i="5" a="1"/>
  <c r="V13" i="5" s="1"/>
  <c r="U13" i="5" a="1"/>
  <c r="U13" i="5" s="1"/>
  <c r="T13" i="5" a="1"/>
  <c r="T13" i="5" s="1"/>
  <c r="S13" i="5" a="1"/>
  <c r="S13" i="5" s="1"/>
  <c r="R13" i="5" a="1"/>
  <c r="R13" i="5" s="1"/>
  <c r="Q13" i="5" a="1"/>
  <c r="Q13" i="5" s="1"/>
  <c r="P13" i="5" a="1"/>
  <c r="P13" i="5" s="1"/>
  <c r="O13" i="5" a="1"/>
  <c r="O13" i="5" s="1"/>
  <c r="N13" i="5" a="1"/>
  <c r="N13" i="5" s="1"/>
  <c r="M13" i="5"/>
  <c r="G25" i="3" s="1"/>
  <c r="W12" i="5" a="1"/>
  <c r="W12" i="5" s="1"/>
  <c r="V12" i="5" a="1"/>
  <c r="V12" i="5" s="1"/>
  <c r="U12" i="5" a="1"/>
  <c r="U12" i="5" s="1"/>
  <c r="T12" i="5" a="1"/>
  <c r="T12" i="5" s="1"/>
  <c r="S12" i="5" a="1"/>
  <c r="S12" i="5" s="1"/>
  <c r="R12" i="5" a="1"/>
  <c r="R12" i="5" s="1"/>
  <c r="Q12" i="5" a="1"/>
  <c r="Q12" i="5" s="1"/>
  <c r="P12" i="5" a="1"/>
  <c r="P12" i="5" s="1"/>
  <c r="O12" i="5" a="1"/>
  <c r="O12" i="5" s="1"/>
  <c r="N12" i="5" a="1"/>
  <c r="N12" i="5" s="1"/>
  <c r="M12" i="5"/>
  <c r="G28" i="3" s="1"/>
  <c r="W11" i="5" a="1"/>
  <c r="W11" i="5" s="1"/>
  <c r="V11" i="5" a="1"/>
  <c r="V11" i="5" s="1"/>
  <c r="U11" i="5" a="1"/>
  <c r="U11" i="5" s="1"/>
  <c r="T11" i="5" a="1"/>
  <c r="T11" i="5" s="1"/>
  <c r="S11" i="5" a="1"/>
  <c r="S11" i="5" s="1"/>
  <c r="R11" i="5" a="1"/>
  <c r="R11" i="5" s="1"/>
  <c r="Q11" i="5" a="1"/>
  <c r="Q11" i="5" s="1"/>
  <c r="P11" i="5" a="1"/>
  <c r="P11" i="5" s="1"/>
  <c r="O11" i="5" a="1"/>
  <c r="O11" i="5" s="1"/>
  <c r="N11" i="5" a="1"/>
  <c r="N11" i="5" s="1"/>
  <c r="M11" i="5"/>
  <c r="G26" i="3" s="1"/>
  <c r="W10" i="5" a="1"/>
  <c r="W10" i="5" s="1"/>
  <c r="V10" i="5"/>
  <c r="V10" i="5" a="1"/>
  <c r="U10" i="5" a="1"/>
  <c r="U10" i="5" s="1"/>
  <c r="T10" i="5" a="1"/>
  <c r="T10" i="5" s="1"/>
  <c r="S10" i="5" a="1"/>
  <c r="S10" i="5" s="1"/>
  <c r="R10" i="5" a="1"/>
  <c r="R10" i="5" s="1"/>
  <c r="Q10" i="5" a="1"/>
  <c r="Q10" i="5" s="1"/>
  <c r="P10" i="5" a="1"/>
  <c r="P10" i="5" s="1"/>
  <c r="O10" i="5"/>
  <c r="O10" i="5" a="1"/>
  <c r="N10" i="5"/>
  <c r="N10" i="5" a="1"/>
  <c r="M10" i="5"/>
  <c r="G27" i="3" s="1"/>
  <c r="W9" i="5" a="1"/>
  <c r="W9" i="5" s="1"/>
  <c r="V9" i="5" a="1"/>
  <c r="V9" i="5" s="1"/>
  <c r="U9" i="5" a="1"/>
  <c r="U9" i="5" s="1"/>
  <c r="T9" i="5" a="1"/>
  <c r="T9" i="5" s="1"/>
  <c r="S9" i="5" a="1"/>
  <c r="S9" i="5" s="1"/>
  <c r="R9" i="5" a="1"/>
  <c r="R9" i="5" s="1"/>
  <c r="Q9" i="5" a="1"/>
  <c r="Q9" i="5" s="1"/>
  <c r="P9" i="5" a="1"/>
  <c r="P9" i="5" s="1"/>
  <c r="O9" i="5" a="1"/>
  <c r="O9" i="5" s="1"/>
  <c r="N9" i="5" a="1"/>
  <c r="N9" i="5" s="1"/>
  <c r="M9" i="5"/>
  <c r="G29" i="3" s="1"/>
  <c r="W8" i="5" a="1"/>
  <c r="W8" i="5" s="1"/>
  <c r="V8" i="5" a="1"/>
  <c r="V8" i="5" s="1"/>
  <c r="U8" i="5" a="1"/>
  <c r="U8" i="5" s="1"/>
  <c r="T8" i="5" a="1"/>
  <c r="T8" i="5" s="1"/>
  <c r="S8" i="5" a="1"/>
  <c r="S8" i="5" s="1"/>
  <c r="R8" i="5" a="1"/>
  <c r="R8" i="5" s="1"/>
  <c r="Q8" i="5" a="1"/>
  <c r="Q8" i="5" s="1"/>
  <c r="P8" i="5" a="1"/>
  <c r="P8" i="5" s="1"/>
  <c r="O8" i="5" a="1"/>
  <c r="O8" i="5" s="1"/>
  <c r="N8" i="5" a="1"/>
  <c r="N8" i="5" s="1"/>
  <c r="M8" i="5"/>
  <c r="G30" i="3" s="1"/>
  <c r="W7" i="5" a="1"/>
  <c r="W7" i="5" s="1"/>
  <c r="V7" i="5" a="1"/>
  <c r="V7" i="5" s="1"/>
  <c r="U7" i="5" a="1"/>
  <c r="U7" i="5" s="1"/>
  <c r="T7" i="5" a="1"/>
  <c r="T7" i="5" s="1"/>
  <c r="S7" i="5" a="1"/>
  <c r="S7" i="5" s="1"/>
  <c r="R7" i="5" a="1"/>
  <c r="R7" i="5" s="1"/>
  <c r="Q7" i="5" a="1"/>
  <c r="Q7" i="5" s="1"/>
  <c r="P7" i="5" a="1"/>
  <c r="P7" i="5" s="1"/>
  <c r="O7" i="5" a="1"/>
  <c r="O7" i="5" s="1"/>
  <c r="N7" i="5" a="1"/>
  <c r="N7" i="5" s="1"/>
  <c r="M7" i="5"/>
  <c r="G32" i="3" s="1"/>
  <c r="W6" i="5" a="1"/>
  <c r="W6" i="5" s="1"/>
  <c r="V6" i="5" a="1"/>
  <c r="V6" i="5" s="1"/>
  <c r="U6" i="5" a="1"/>
  <c r="U6" i="5" s="1"/>
  <c r="T6" i="5"/>
  <c r="T6" i="5" a="1"/>
  <c r="S6" i="5" a="1"/>
  <c r="S6" i="5" s="1"/>
  <c r="R6" i="5" a="1"/>
  <c r="R6" i="5" s="1"/>
  <c r="Q6" i="5" a="1"/>
  <c r="Q6" i="5" s="1"/>
  <c r="P6" i="5" a="1"/>
  <c r="P6" i="5" s="1"/>
  <c r="O6" i="5" a="1"/>
  <c r="O6" i="5" s="1"/>
  <c r="N6" i="5" a="1"/>
  <c r="N6" i="5" s="1"/>
  <c r="M6" i="5"/>
  <c r="G33" i="3" s="1"/>
  <c r="W5" i="5" a="1"/>
  <c r="W5" i="5" s="1"/>
  <c r="V5" i="5"/>
  <c r="V5" i="5" a="1"/>
  <c r="U5" i="5" a="1"/>
  <c r="U5" i="5" s="1"/>
  <c r="T5" i="5" a="1"/>
  <c r="T5" i="5" s="1"/>
  <c r="S5" i="5" a="1"/>
  <c r="S5" i="5" s="1"/>
  <c r="R5" i="5" a="1"/>
  <c r="R5" i="5" s="1"/>
  <c r="Q5" i="5" a="1"/>
  <c r="Q5" i="5" s="1"/>
  <c r="P5" i="5" a="1"/>
  <c r="P5" i="5" s="1"/>
  <c r="O5" i="5" a="1"/>
  <c r="O5" i="5" s="1"/>
  <c r="N5" i="5" a="1"/>
  <c r="N5" i="5" s="1"/>
  <c r="M5" i="5"/>
  <c r="G31" i="3" s="1"/>
  <c r="J49" i="4"/>
  <c r="Q22" i="3" s="1" a="1"/>
  <c r="Q22" i="3" s="1"/>
  <c r="J46" i="4"/>
  <c r="K46" i="4" s="1"/>
  <c r="L46" i="4" s="1"/>
  <c r="T60" i="3" s="1"/>
  <c r="J45" i="4"/>
  <c r="K45" i="4" s="1"/>
  <c r="L45" i="4" s="1"/>
  <c r="T59" i="3" s="1"/>
  <c r="J44" i="4"/>
  <c r="K44" i="4" s="1"/>
  <c r="L44" i="4" s="1"/>
  <c r="T58" i="3" s="1"/>
  <c r="J43" i="4"/>
  <c r="K43" i="4" s="1"/>
  <c r="L43" i="4" s="1"/>
  <c r="T57" i="3" s="1"/>
  <c r="J42" i="4"/>
  <c r="K42" i="4" s="1"/>
  <c r="L42" i="4" s="1"/>
  <c r="T56" i="3" s="1"/>
  <c r="J41" i="4"/>
  <c r="K41" i="4" s="1"/>
  <c r="L41" i="4" s="1"/>
  <c r="T55" i="3" s="1"/>
  <c r="J40" i="4"/>
  <c r="T41" i="3" s="1"/>
  <c r="J39" i="4"/>
  <c r="T40" i="3" s="1"/>
  <c r="J38" i="4"/>
  <c r="T39" i="3" s="1"/>
  <c r="J37" i="4"/>
  <c r="T38" i="3" s="1"/>
  <c r="W31" i="4" a="1"/>
  <c r="W31" i="4" s="1"/>
  <c r="V31" i="4" a="1"/>
  <c r="V31" i="4" s="1"/>
  <c r="U31" i="4" a="1"/>
  <c r="U31" i="4" s="1"/>
  <c r="T31" i="4" a="1"/>
  <c r="T31" i="4" s="1"/>
  <c r="S31" i="4" a="1"/>
  <c r="S31" i="4" s="1"/>
  <c r="R31" i="4" a="1"/>
  <c r="R31" i="4" s="1"/>
  <c r="Q31" i="4" a="1"/>
  <c r="Q31" i="4" s="1"/>
  <c r="P31" i="4" a="1"/>
  <c r="P31" i="4" s="1"/>
  <c r="O31" i="4" a="1"/>
  <c r="O31" i="4" s="1"/>
  <c r="N31" i="4" a="1"/>
  <c r="N31" i="4" s="1"/>
  <c r="M31" i="4"/>
  <c r="F30" i="3" s="1"/>
  <c r="W27" i="4" a="1"/>
  <c r="W27" i="4" s="1"/>
  <c r="V27" i="4" a="1"/>
  <c r="V27" i="4" s="1"/>
  <c r="U27" i="4" a="1"/>
  <c r="U27" i="4" s="1"/>
  <c r="T27" i="4" a="1"/>
  <c r="T27" i="4" s="1"/>
  <c r="S27" i="4" a="1"/>
  <c r="S27" i="4" s="1"/>
  <c r="R27" i="4" a="1"/>
  <c r="R27" i="4" s="1"/>
  <c r="Q27" i="4" a="1"/>
  <c r="Q27" i="4" s="1"/>
  <c r="P27" i="4"/>
  <c r="P27" i="4" a="1"/>
  <c r="O27" i="4" a="1"/>
  <c r="O27" i="4" s="1"/>
  <c r="N27" i="4" a="1"/>
  <c r="N27" i="4" s="1"/>
  <c r="M27" i="4"/>
  <c r="F28" i="3" s="1"/>
  <c r="W30" i="4" a="1"/>
  <c r="W30" i="4" s="1"/>
  <c r="V30" i="4" a="1"/>
  <c r="V30" i="4" s="1"/>
  <c r="U30" i="4" a="1"/>
  <c r="U30" i="4" s="1"/>
  <c r="T30" i="4" a="1"/>
  <c r="T30" i="4" s="1"/>
  <c r="S30" i="4" a="1"/>
  <c r="S30" i="4" s="1"/>
  <c r="R30" i="4" a="1"/>
  <c r="R30" i="4" s="1"/>
  <c r="Q30" i="4" a="1"/>
  <c r="Q30" i="4" s="1"/>
  <c r="P30" i="4" a="1"/>
  <c r="P30" i="4" s="1"/>
  <c r="O30" i="4" a="1"/>
  <c r="O30" i="4" s="1"/>
  <c r="N30" i="4" a="1"/>
  <c r="N30" i="4" s="1"/>
  <c r="M30" i="4"/>
  <c r="F29" i="3" s="1"/>
  <c r="W29" i="4" a="1"/>
  <c r="W29" i="4" s="1"/>
  <c r="V29" i="4" a="1"/>
  <c r="V29" i="4" s="1"/>
  <c r="U29" i="4" a="1"/>
  <c r="U29" i="4" s="1"/>
  <c r="T29" i="4" a="1"/>
  <c r="T29" i="4" s="1"/>
  <c r="S29" i="4" a="1"/>
  <c r="S29" i="4" s="1"/>
  <c r="R29" i="4" a="1"/>
  <c r="R29" i="4" s="1"/>
  <c r="Q29" i="4" a="1"/>
  <c r="Q29" i="4" s="1"/>
  <c r="P29" i="4" a="1"/>
  <c r="P29" i="4" s="1"/>
  <c r="O29" i="4" a="1"/>
  <c r="O29" i="4" s="1"/>
  <c r="N29" i="4" a="1"/>
  <c r="N29" i="4" s="1"/>
  <c r="M29" i="4"/>
  <c r="F27" i="3" s="1"/>
  <c r="W28" i="4" a="1"/>
  <c r="W28" i="4" s="1"/>
  <c r="V28" i="4" a="1"/>
  <c r="V28" i="4" s="1"/>
  <c r="U28" i="4" a="1"/>
  <c r="U28" i="4" s="1"/>
  <c r="T28" i="4" a="1"/>
  <c r="T28" i="4" s="1"/>
  <c r="S28" i="4" a="1"/>
  <c r="S28" i="4" s="1"/>
  <c r="R28" i="4" a="1"/>
  <c r="R28" i="4" s="1"/>
  <c r="Q28" i="4" a="1"/>
  <c r="Q28" i="4" s="1"/>
  <c r="P28" i="4" a="1"/>
  <c r="P28" i="4" s="1"/>
  <c r="O28" i="4" a="1"/>
  <c r="O28" i="4" s="1"/>
  <c r="N28" i="4" a="1"/>
  <c r="N28" i="4" s="1"/>
  <c r="M28" i="4"/>
  <c r="F26" i="3" s="1"/>
  <c r="W26" i="4" a="1"/>
  <c r="W26" i="4" s="1"/>
  <c r="V26" i="4" a="1"/>
  <c r="V26" i="4" s="1"/>
  <c r="U26" i="4" a="1"/>
  <c r="U26" i="4" s="1"/>
  <c r="T26" i="4" a="1"/>
  <c r="T26" i="4" s="1"/>
  <c r="S26" i="4" a="1"/>
  <c r="S26" i="4" s="1"/>
  <c r="R26" i="4" a="1"/>
  <c r="R26" i="4" s="1"/>
  <c r="Q26" i="4" a="1"/>
  <c r="Q26" i="4" s="1"/>
  <c r="P26" i="4" a="1"/>
  <c r="P26" i="4" s="1"/>
  <c r="O26" i="4" a="1"/>
  <c r="O26" i="4" s="1"/>
  <c r="N26" i="4" a="1"/>
  <c r="N26" i="4" s="1"/>
  <c r="M26" i="4"/>
  <c r="F25" i="3" s="1"/>
  <c r="W25" i="4" a="1"/>
  <c r="W25" i="4" s="1"/>
  <c r="V25" i="4" a="1"/>
  <c r="V25" i="4" s="1"/>
  <c r="U25" i="4" a="1"/>
  <c r="U25" i="4" s="1"/>
  <c r="T25" i="4" a="1"/>
  <c r="T25" i="4" s="1"/>
  <c r="S25" i="4" a="1"/>
  <c r="S25" i="4" s="1"/>
  <c r="R25" i="4" a="1"/>
  <c r="R25" i="4" s="1"/>
  <c r="Q25" i="4" a="1"/>
  <c r="Q25" i="4" s="1"/>
  <c r="P25" i="4" a="1"/>
  <c r="P25" i="4" s="1"/>
  <c r="O25" i="4" a="1"/>
  <c r="O25" i="4" s="1"/>
  <c r="N25" i="4" a="1"/>
  <c r="N25" i="4" s="1"/>
  <c r="M25" i="4"/>
  <c r="F22" i="3" s="1"/>
  <c r="W24" i="4" a="1"/>
  <c r="W24" i="4" s="1"/>
  <c r="V24" i="4" a="1"/>
  <c r="V24" i="4" s="1"/>
  <c r="U24" i="4" a="1"/>
  <c r="U24" i="4" s="1"/>
  <c r="T24" i="4" a="1"/>
  <c r="T24" i="4" s="1"/>
  <c r="S24" i="4"/>
  <c r="S24" i="4" a="1"/>
  <c r="R24" i="4" a="1"/>
  <c r="R24" i="4" s="1"/>
  <c r="Q24" i="4"/>
  <c r="Q24" i="4" a="1"/>
  <c r="P24" i="4" a="1"/>
  <c r="P24" i="4" s="1"/>
  <c r="O24" i="4" a="1"/>
  <c r="O24" i="4" s="1"/>
  <c r="N24" i="4" a="1"/>
  <c r="N24" i="4" s="1"/>
  <c r="M24" i="4"/>
  <c r="F19" i="3" s="1"/>
  <c r="W23" i="4" a="1"/>
  <c r="W23" i="4" s="1"/>
  <c r="V23" i="4" a="1"/>
  <c r="V23" i="4" s="1"/>
  <c r="U23" i="4" a="1"/>
  <c r="U23" i="4" s="1"/>
  <c r="T23" i="4" a="1"/>
  <c r="T23" i="4" s="1"/>
  <c r="S23" i="4" a="1"/>
  <c r="S23" i="4" s="1"/>
  <c r="R23" i="4" a="1"/>
  <c r="R23" i="4" s="1"/>
  <c r="Q23" i="4" a="1"/>
  <c r="Q23" i="4" s="1"/>
  <c r="P23" i="4" a="1"/>
  <c r="P23" i="4" s="1"/>
  <c r="O23" i="4" a="1"/>
  <c r="O23" i="4" s="1"/>
  <c r="N23" i="4" a="1"/>
  <c r="N23" i="4" s="1"/>
  <c r="M23" i="4"/>
  <c r="F24" i="3" s="1"/>
  <c r="W22" i="4" a="1"/>
  <c r="W22" i="4" s="1"/>
  <c r="V22" i="4" a="1"/>
  <c r="V22" i="4" s="1"/>
  <c r="U22" i="4" a="1"/>
  <c r="U22" i="4" s="1"/>
  <c r="T22" i="4" a="1"/>
  <c r="T22" i="4" s="1"/>
  <c r="S22" i="4" a="1"/>
  <c r="S22" i="4" s="1"/>
  <c r="R22" i="4" a="1"/>
  <c r="R22" i="4" s="1"/>
  <c r="Q22" i="4" a="1"/>
  <c r="Q22" i="4" s="1"/>
  <c r="P22" i="4" a="1"/>
  <c r="P22" i="4" s="1"/>
  <c r="O22" i="4" a="1"/>
  <c r="O22" i="4" s="1"/>
  <c r="N22" i="4" a="1"/>
  <c r="N22" i="4" s="1"/>
  <c r="M22" i="4"/>
  <c r="F21" i="3" s="1"/>
  <c r="W21" i="4" a="1"/>
  <c r="W21" i="4" s="1"/>
  <c r="V21" i="4" a="1"/>
  <c r="V21" i="4" s="1"/>
  <c r="U21" i="4" a="1"/>
  <c r="U21" i="4" s="1"/>
  <c r="T21" i="4" a="1"/>
  <c r="T21" i="4" s="1"/>
  <c r="S21" i="4" a="1"/>
  <c r="S21" i="4" s="1"/>
  <c r="R21" i="4" a="1"/>
  <c r="R21" i="4" s="1"/>
  <c r="Q21" i="4" a="1"/>
  <c r="Q21" i="4" s="1"/>
  <c r="P21" i="4" a="1"/>
  <c r="P21" i="4" s="1"/>
  <c r="O21" i="4" a="1"/>
  <c r="O21" i="4" s="1"/>
  <c r="N21" i="4" a="1"/>
  <c r="N21" i="4" s="1"/>
  <c r="M21" i="4"/>
  <c r="F18" i="3" s="1"/>
  <c r="W20" i="4" a="1"/>
  <c r="W20" i="4" s="1"/>
  <c r="V20" i="4"/>
  <c r="V20" i="4" a="1"/>
  <c r="U20" i="4" a="1"/>
  <c r="U20" i="4" s="1"/>
  <c r="T20" i="4" a="1"/>
  <c r="T20" i="4" s="1"/>
  <c r="S20" i="4" a="1"/>
  <c r="S20" i="4" s="1"/>
  <c r="R20" i="4" a="1"/>
  <c r="R20" i="4" s="1"/>
  <c r="Q20" i="4" a="1"/>
  <c r="Q20" i="4" s="1"/>
  <c r="P20" i="4" a="1"/>
  <c r="P20" i="4" s="1"/>
  <c r="O20" i="4" a="1"/>
  <c r="O20" i="4" s="1"/>
  <c r="N20" i="4" a="1"/>
  <c r="N20" i="4" s="1"/>
  <c r="M20" i="4"/>
  <c r="F17" i="3" s="1"/>
  <c r="W19" i="4" a="1"/>
  <c r="W19" i="4" s="1"/>
  <c r="V19" i="4" a="1"/>
  <c r="V19" i="4" s="1"/>
  <c r="U19" i="4" a="1"/>
  <c r="U19" i="4" s="1"/>
  <c r="T19" i="4" a="1"/>
  <c r="T19" i="4" s="1"/>
  <c r="S19" i="4" a="1"/>
  <c r="S19" i="4" s="1"/>
  <c r="R19" i="4" a="1"/>
  <c r="R19" i="4" s="1"/>
  <c r="Q19" i="4" a="1"/>
  <c r="Q19" i="4" s="1"/>
  <c r="P19" i="4" a="1"/>
  <c r="P19" i="4" s="1"/>
  <c r="O19" i="4" a="1"/>
  <c r="O19" i="4" s="1"/>
  <c r="N19" i="4" a="1"/>
  <c r="N19" i="4" s="1"/>
  <c r="M19" i="4"/>
  <c r="F20" i="3" s="1"/>
  <c r="W18" i="4" a="1"/>
  <c r="W18" i="4" s="1"/>
  <c r="V18" i="4" a="1"/>
  <c r="V18" i="4" s="1"/>
  <c r="U18" i="4" a="1"/>
  <c r="U18" i="4" s="1"/>
  <c r="T18" i="4" a="1"/>
  <c r="T18" i="4" s="1"/>
  <c r="S18" i="4" a="1"/>
  <c r="S18" i="4" s="1"/>
  <c r="R18" i="4" a="1"/>
  <c r="R18" i="4" s="1"/>
  <c r="Q18" i="4" a="1"/>
  <c r="Q18" i="4" s="1"/>
  <c r="P18" i="4" a="1"/>
  <c r="P18" i="4" s="1"/>
  <c r="O18" i="4" a="1"/>
  <c r="O18" i="4" s="1"/>
  <c r="N18" i="4" a="1"/>
  <c r="N18" i="4" s="1"/>
  <c r="M18" i="4"/>
  <c r="F23" i="3" s="1"/>
  <c r="W17" i="4" a="1"/>
  <c r="W17" i="4" s="1"/>
  <c r="V17" i="4" a="1"/>
  <c r="V17" i="4" s="1"/>
  <c r="U17" i="4" a="1"/>
  <c r="U17" i="4" s="1"/>
  <c r="T17" i="4" a="1"/>
  <c r="T17" i="4" s="1"/>
  <c r="S17" i="4" a="1"/>
  <c r="S17" i="4" s="1"/>
  <c r="R17" i="4" a="1"/>
  <c r="R17" i="4" s="1"/>
  <c r="Q17" i="4" a="1"/>
  <c r="Q17" i="4" s="1"/>
  <c r="P17" i="4" a="1"/>
  <c r="P17" i="4" s="1"/>
  <c r="O17" i="4" a="1"/>
  <c r="O17" i="4" s="1"/>
  <c r="N17" i="4" a="1"/>
  <c r="N17" i="4" s="1"/>
  <c r="M17" i="4"/>
  <c r="F9" i="3" s="1"/>
  <c r="W16" i="4" a="1"/>
  <c r="W16" i="4" s="1"/>
  <c r="V16" i="4" a="1"/>
  <c r="V16" i="4" s="1"/>
  <c r="U16" i="4" a="1"/>
  <c r="U16" i="4" s="1"/>
  <c r="T16" i="4" a="1"/>
  <c r="T16" i="4" s="1"/>
  <c r="S16" i="4" a="1"/>
  <c r="S16" i="4" s="1"/>
  <c r="R16" i="4" a="1"/>
  <c r="R16" i="4" s="1"/>
  <c r="Q16" i="4" a="1"/>
  <c r="Q16" i="4" s="1"/>
  <c r="P16" i="4" a="1"/>
  <c r="P16" i="4" s="1"/>
  <c r="O16" i="4" a="1"/>
  <c r="O16" i="4" s="1"/>
  <c r="N16" i="4" a="1"/>
  <c r="N16" i="4" s="1"/>
  <c r="M16" i="4"/>
  <c r="F15" i="3" s="1"/>
  <c r="W15" i="4" a="1"/>
  <c r="W15" i="4" s="1"/>
  <c r="V15" i="4" a="1"/>
  <c r="V15" i="4" s="1"/>
  <c r="U15" i="4" a="1"/>
  <c r="U15" i="4" s="1"/>
  <c r="T15" i="4" a="1"/>
  <c r="T15" i="4" s="1"/>
  <c r="S15" i="4" a="1"/>
  <c r="S15" i="4" s="1"/>
  <c r="R15" i="4" a="1"/>
  <c r="R15" i="4" s="1"/>
  <c r="Q15" i="4" a="1"/>
  <c r="Q15" i="4" s="1"/>
  <c r="P15" i="4" a="1"/>
  <c r="P15" i="4" s="1"/>
  <c r="O15" i="4" a="1"/>
  <c r="O15" i="4" s="1"/>
  <c r="N15" i="4" a="1"/>
  <c r="N15" i="4" s="1"/>
  <c r="M15" i="4"/>
  <c r="F11" i="3" s="1"/>
  <c r="W14" i="4" a="1"/>
  <c r="W14" i="4" s="1"/>
  <c r="V14" i="4" a="1"/>
  <c r="V14" i="4" s="1"/>
  <c r="U14" i="4" a="1"/>
  <c r="U14" i="4" s="1"/>
  <c r="T14" i="4" a="1"/>
  <c r="T14" i="4" s="1"/>
  <c r="S14" i="4" a="1"/>
  <c r="S14" i="4" s="1"/>
  <c r="R14" i="4" a="1"/>
  <c r="R14" i="4" s="1"/>
  <c r="Q14" i="4" a="1"/>
  <c r="Q14" i="4" s="1"/>
  <c r="P14" i="4" a="1"/>
  <c r="P14" i="4" s="1"/>
  <c r="O14" i="4" a="1"/>
  <c r="O14" i="4" s="1"/>
  <c r="N14" i="4" a="1"/>
  <c r="N14" i="4" s="1"/>
  <c r="M14" i="4"/>
  <c r="F10" i="3" s="1"/>
  <c r="W13" i="4" a="1"/>
  <c r="W13" i="4" s="1"/>
  <c r="V13" i="4" a="1"/>
  <c r="V13" i="4" s="1"/>
  <c r="U13" i="4" a="1"/>
  <c r="U13" i="4" s="1"/>
  <c r="T13" i="4" a="1"/>
  <c r="T13" i="4" s="1"/>
  <c r="S13" i="4" a="1"/>
  <c r="S13" i="4" s="1"/>
  <c r="R13" i="4" a="1"/>
  <c r="R13" i="4" s="1"/>
  <c r="Q13" i="4" a="1"/>
  <c r="Q13" i="4" s="1"/>
  <c r="P13" i="4" a="1"/>
  <c r="P13" i="4" s="1"/>
  <c r="O13" i="4" a="1"/>
  <c r="O13" i="4" s="1"/>
  <c r="N13" i="4" a="1"/>
  <c r="N13" i="4" s="1"/>
  <c r="M13" i="4"/>
  <c r="F14" i="3" s="1"/>
  <c r="W12" i="4" a="1"/>
  <c r="W12" i="4" s="1"/>
  <c r="V12" i="4" a="1"/>
  <c r="V12" i="4" s="1"/>
  <c r="U12" i="4" a="1"/>
  <c r="U12" i="4" s="1"/>
  <c r="T12" i="4" a="1"/>
  <c r="T12" i="4" s="1"/>
  <c r="S12" i="4" a="1"/>
  <c r="S12" i="4" s="1"/>
  <c r="R12" i="4" a="1"/>
  <c r="R12" i="4" s="1"/>
  <c r="Q12" i="4"/>
  <c r="Q12" i="4" a="1"/>
  <c r="P12" i="4" a="1"/>
  <c r="P12" i="4" s="1"/>
  <c r="O12" i="4" a="1"/>
  <c r="O12" i="4" s="1"/>
  <c r="N12" i="4" a="1"/>
  <c r="N12" i="4" s="1"/>
  <c r="M12" i="4"/>
  <c r="F16" i="3" s="1"/>
  <c r="W11" i="4" a="1"/>
  <c r="W11" i="4" s="1"/>
  <c r="V11" i="4" a="1"/>
  <c r="V11" i="4" s="1"/>
  <c r="U11" i="4" a="1"/>
  <c r="U11" i="4" s="1"/>
  <c r="T11" i="4" a="1"/>
  <c r="T11" i="4" s="1"/>
  <c r="S11" i="4" a="1"/>
  <c r="S11" i="4" s="1"/>
  <c r="R11" i="4" a="1"/>
  <c r="R11" i="4" s="1"/>
  <c r="Q11" i="4" a="1"/>
  <c r="Q11" i="4" s="1"/>
  <c r="P11" i="4" a="1"/>
  <c r="P11" i="4" s="1"/>
  <c r="O11" i="4" a="1"/>
  <c r="O11" i="4" s="1"/>
  <c r="N11" i="4" a="1"/>
  <c r="N11" i="4" s="1"/>
  <c r="M11" i="4"/>
  <c r="F13" i="3" s="1"/>
  <c r="W10" i="4" a="1"/>
  <c r="W10" i="4" s="1"/>
  <c r="V10" i="4"/>
  <c r="V10" i="4" a="1"/>
  <c r="U10" i="4" a="1"/>
  <c r="U10" i="4" s="1"/>
  <c r="T10" i="4" a="1"/>
  <c r="T10" i="4" s="1"/>
  <c r="S10" i="4" a="1"/>
  <c r="S10" i="4" s="1"/>
  <c r="R10" i="4" a="1"/>
  <c r="R10" i="4" s="1"/>
  <c r="Q10" i="4" a="1"/>
  <c r="Q10" i="4" s="1"/>
  <c r="P10" i="4" a="1"/>
  <c r="P10" i="4" s="1"/>
  <c r="O10" i="4" a="1"/>
  <c r="O10" i="4" s="1"/>
  <c r="N10" i="4" a="1"/>
  <c r="N10" i="4" s="1"/>
  <c r="M10" i="4"/>
  <c r="F12" i="3" s="1"/>
  <c r="W9" i="4" a="1"/>
  <c r="W9" i="4" s="1"/>
  <c r="V9" i="4" a="1"/>
  <c r="V9" i="4" s="1"/>
  <c r="U9" i="4" a="1"/>
  <c r="U9" i="4" s="1"/>
  <c r="T9" i="4" a="1"/>
  <c r="T9" i="4" s="1"/>
  <c r="S9" i="4" a="1"/>
  <c r="S9" i="4" s="1"/>
  <c r="R9" i="4" a="1"/>
  <c r="R9" i="4" s="1"/>
  <c r="Q9" i="4" a="1"/>
  <c r="Q9" i="4" s="1"/>
  <c r="P9" i="4" a="1"/>
  <c r="P9" i="4" s="1"/>
  <c r="O9" i="4" a="1"/>
  <c r="O9" i="4" s="1"/>
  <c r="N9" i="4" a="1"/>
  <c r="N9" i="4" s="1"/>
  <c r="M9" i="4"/>
  <c r="F6" i="3" s="1"/>
  <c r="W8" i="4" a="1"/>
  <c r="W8" i="4" s="1"/>
  <c r="V8" i="4" a="1"/>
  <c r="V8" i="4" s="1"/>
  <c r="U8" i="4"/>
  <c r="U8" i="4" a="1"/>
  <c r="T8" i="4" a="1"/>
  <c r="T8" i="4" s="1"/>
  <c r="S8" i="4" a="1"/>
  <c r="S8" i="4" s="1"/>
  <c r="R8" i="4" a="1"/>
  <c r="R8" i="4" s="1"/>
  <c r="Q8" i="4" a="1"/>
  <c r="Q8" i="4" s="1"/>
  <c r="P8" i="4" a="1"/>
  <c r="P8" i="4" s="1"/>
  <c r="O8" i="4" a="1"/>
  <c r="O8" i="4" s="1"/>
  <c r="N8" i="4" a="1"/>
  <c r="N8" i="4" s="1"/>
  <c r="M8" i="4"/>
  <c r="F7" i="3" s="1"/>
  <c r="W7" i="4" a="1"/>
  <c r="W7" i="4" s="1"/>
  <c r="V7" i="4" a="1"/>
  <c r="V7" i="4" s="1"/>
  <c r="U7" i="4" a="1"/>
  <c r="U7" i="4" s="1"/>
  <c r="T7" i="4" a="1"/>
  <c r="T7" i="4" s="1"/>
  <c r="S7" i="4" a="1"/>
  <c r="S7" i="4" s="1"/>
  <c r="R7" i="4" a="1"/>
  <c r="R7" i="4" s="1"/>
  <c r="Q7" i="4" a="1"/>
  <c r="Q7" i="4" s="1"/>
  <c r="P7" i="4" a="1"/>
  <c r="P7" i="4" s="1"/>
  <c r="O7" i="4" a="1"/>
  <c r="O7" i="4" s="1"/>
  <c r="N7" i="4" a="1"/>
  <c r="N7" i="4" s="1"/>
  <c r="M7" i="4"/>
  <c r="F8" i="3" s="1"/>
  <c r="W6" i="4" a="1"/>
  <c r="W6" i="4" s="1"/>
  <c r="V6" i="4" a="1"/>
  <c r="V6" i="4" s="1"/>
  <c r="U6" i="4" a="1"/>
  <c r="U6" i="4" s="1"/>
  <c r="T6" i="4" a="1"/>
  <c r="T6" i="4" s="1"/>
  <c r="S6" i="4" a="1"/>
  <c r="S6" i="4" s="1"/>
  <c r="R6" i="4" a="1"/>
  <c r="R6" i="4" s="1"/>
  <c r="Q6" i="4" a="1"/>
  <c r="Q6" i="4" s="1"/>
  <c r="P6" i="4" a="1"/>
  <c r="P6" i="4" s="1"/>
  <c r="O6" i="4" a="1"/>
  <c r="O6" i="4" s="1"/>
  <c r="N6" i="4" a="1"/>
  <c r="N6" i="4" s="1"/>
  <c r="M6" i="4"/>
  <c r="F5" i="3" s="1"/>
  <c r="W5" i="4" a="1"/>
  <c r="W5" i="4" s="1"/>
  <c r="V5" i="4" a="1"/>
  <c r="V5" i="4" s="1"/>
  <c r="U5" i="4" a="1"/>
  <c r="U5" i="4" s="1"/>
  <c r="T5" i="4" a="1"/>
  <c r="T5" i="4" s="1"/>
  <c r="S5" i="4" a="1"/>
  <c r="S5" i="4" s="1"/>
  <c r="R5" i="4" a="1"/>
  <c r="R5" i="4" s="1"/>
  <c r="Q5" i="4" a="1"/>
  <c r="Q5" i="4" s="1"/>
  <c r="P5" i="4" a="1"/>
  <c r="P5" i="4" s="1"/>
  <c r="O5" i="4" a="1"/>
  <c r="O5" i="4" s="1"/>
  <c r="N5" i="4" a="1"/>
  <c r="N5" i="4" s="1"/>
  <c r="M5" i="4"/>
  <c r="F4" i="3" s="1"/>
  <c r="W34" i="4" a="1"/>
  <c r="W34" i="4" s="1"/>
  <c r="V34" i="4" a="1"/>
  <c r="V34" i="4" s="1"/>
  <c r="U34" i="4" a="1"/>
  <c r="U34" i="4" s="1"/>
  <c r="T34" i="4" a="1"/>
  <c r="T34" i="4" s="1"/>
  <c r="S34" i="4"/>
  <c r="S34" i="4" a="1"/>
  <c r="R34" i="4" a="1"/>
  <c r="R34" i="4" s="1"/>
  <c r="Q34" i="4" a="1"/>
  <c r="Q34" i="4" s="1"/>
  <c r="P34" i="4" a="1"/>
  <c r="P34" i="4" s="1"/>
  <c r="O34" i="4" a="1"/>
  <c r="O34" i="4" s="1"/>
  <c r="N34" i="4" a="1"/>
  <c r="N34" i="4" s="1"/>
  <c r="M34" i="4"/>
  <c r="F32" i="3" s="1"/>
  <c r="W33" i="4" a="1"/>
  <c r="W33" i="4" s="1"/>
  <c r="V33" i="4" a="1"/>
  <c r="V33" i="4" s="1"/>
  <c r="U33" i="4" a="1"/>
  <c r="U33" i="4" s="1"/>
  <c r="T33" i="4" a="1"/>
  <c r="T33" i="4" s="1"/>
  <c r="S33" i="4" a="1"/>
  <c r="S33" i="4" s="1"/>
  <c r="R33" i="4" a="1"/>
  <c r="R33" i="4" s="1"/>
  <c r="Q33" i="4" a="1"/>
  <c r="Q33" i="4" s="1"/>
  <c r="P33" i="4" a="1"/>
  <c r="P33" i="4" s="1"/>
  <c r="O33" i="4" a="1"/>
  <c r="O33" i="4" s="1"/>
  <c r="N33" i="4" a="1"/>
  <c r="N33" i="4" s="1"/>
  <c r="M33" i="4"/>
  <c r="F33" i="3" s="1"/>
  <c r="W32" i="4" a="1"/>
  <c r="W32" i="4" s="1"/>
  <c r="V32" i="4" a="1"/>
  <c r="V32" i="4" s="1"/>
  <c r="U32" i="4" a="1"/>
  <c r="U32" i="4" s="1"/>
  <c r="T32" i="4" a="1"/>
  <c r="T32" i="4" s="1"/>
  <c r="S32" i="4" a="1"/>
  <c r="S32" i="4" s="1"/>
  <c r="R32" i="4" a="1"/>
  <c r="R32" i="4" s="1"/>
  <c r="Q32" i="4" a="1"/>
  <c r="Q32" i="4" s="1"/>
  <c r="P32" i="4" a="1"/>
  <c r="P32" i="4" s="1"/>
  <c r="O32" i="4" a="1"/>
  <c r="O32" i="4" s="1"/>
  <c r="N32" i="4" a="1"/>
  <c r="N32" i="4" s="1"/>
  <c r="M32" i="4"/>
  <c r="F31" i="3" s="1"/>
  <c r="E66" i="3"/>
  <c r="D66" i="3"/>
  <c r="E65" i="3"/>
  <c r="D65" i="3"/>
  <c r="E64" i="3"/>
  <c r="D64" i="3"/>
  <c r="E63" i="3"/>
  <c r="D63" i="3"/>
  <c r="E62" i="3"/>
  <c r="D62" i="3"/>
  <c r="E61" i="3"/>
  <c r="D61" i="3"/>
  <c r="R60" i="3"/>
  <c r="N47" i="7" s="1"/>
  <c r="E60" i="3"/>
  <c r="D60" i="3"/>
  <c r="R59" i="3"/>
  <c r="N46" i="7" s="1"/>
  <c r="E59" i="3"/>
  <c r="D59" i="3"/>
  <c r="R58" i="3"/>
  <c r="V47" i="8" s="1"/>
  <c r="E58" i="3"/>
  <c r="D58" i="3"/>
  <c r="R57" i="3"/>
  <c r="V46" i="8" s="1"/>
  <c r="E57" i="3"/>
  <c r="D57" i="3"/>
  <c r="R56" i="3"/>
  <c r="O42" i="4" s="1"/>
  <c r="E56" i="3"/>
  <c r="D56" i="3"/>
  <c r="R55" i="3"/>
  <c r="O41" i="4" s="1"/>
  <c r="E55" i="3"/>
  <c r="D55" i="3"/>
  <c r="R54" i="3"/>
  <c r="O40" i="4" s="1"/>
  <c r="E54" i="3"/>
  <c r="D54" i="3"/>
  <c r="R53" i="3"/>
  <c r="O39" i="4" s="1"/>
  <c r="E53" i="3"/>
  <c r="D53" i="3"/>
  <c r="R52" i="3"/>
  <c r="O38" i="4" s="1"/>
  <c r="E52" i="3"/>
  <c r="D52" i="3"/>
  <c r="R51" i="3"/>
  <c r="O37" i="4" s="1"/>
  <c r="E51" i="3"/>
  <c r="D51" i="3"/>
  <c r="E50" i="3"/>
  <c r="D50" i="3"/>
  <c r="E49" i="3"/>
  <c r="D49" i="3"/>
  <c r="E48" i="3"/>
  <c r="D48" i="3"/>
  <c r="E47" i="3"/>
  <c r="D47" i="3"/>
  <c r="E46" i="3"/>
  <c r="D46" i="3"/>
  <c r="E45" i="3"/>
  <c r="D45" i="3"/>
  <c r="E44" i="3"/>
  <c r="D44" i="3"/>
  <c r="E43" i="3"/>
  <c r="D43" i="3"/>
  <c r="E42" i="3"/>
  <c r="D42" i="3"/>
  <c r="E41" i="3"/>
  <c r="D41" i="3"/>
  <c r="E40" i="3"/>
  <c r="D40" i="3"/>
  <c r="E39" i="3"/>
  <c r="D39" i="3"/>
  <c r="E38" i="3"/>
  <c r="D38" i="3"/>
  <c r="E37" i="3"/>
  <c r="D37" i="3"/>
  <c r="P24" i="3"/>
  <c r="L153" i="2"/>
  <c r="L143" i="2"/>
  <c r="J70" i="2"/>
  <c r="L70" i="2" s="1"/>
  <c r="J69" i="2"/>
  <c r="L69" i="2" s="1"/>
  <c r="J68" i="2"/>
  <c r="L68" i="2" s="1"/>
  <c r="J67" i="2"/>
  <c r="L67" i="2" s="1"/>
  <c r="C45" i="2"/>
  <c r="D44" i="2" a="1"/>
  <c r="D44" i="2" s="1"/>
  <c r="J23" i="2"/>
  <c r="L80" i="3" l="1"/>
  <c r="T80" i="3"/>
  <c r="X80" i="3"/>
  <c r="P80" i="3"/>
  <c r="R80" i="3"/>
  <c r="D80" i="3"/>
  <c r="F80" i="3"/>
  <c r="H80" i="3"/>
  <c r="X8" i="5"/>
  <c r="U46" i="3"/>
  <c r="O46" i="5"/>
  <c r="N45" i="7"/>
  <c r="V45" i="8"/>
  <c r="U45" i="3"/>
  <c r="O45" i="5"/>
  <c r="N44" i="7"/>
  <c r="V44" i="8"/>
  <c r="U44" i="3"/>
  <c r="O46" i="4"/>
  <c r="O44" i="5"/>
  <c r="N43" i="7"/>
  <c r="V43" i="8"/>
  <c r="J80" i="3"/>
  <c r="U43" i="3"/>
  <c r="O45" i="4"/>
  <c r="O43" i="5"/>
  <c r="N42" i="7"/>
  <c r="V42" i="8"/>
  <c r="U42" i="3"/>
  <c r="O44" i="4"/>
  <c r="O42" i="5"/>
  <c r="N41" i="7"/>
  <c r="V41" i="8"/>
  <c r="O43" i="4"/>
  <c r="O41" i="5"/>
  <c r="N40" i="7"/>
  <c r="V40" i="8"/>
  <c r="O40" i="5"/>
  <c r="N39" i="7"/>
  <c r="O39" i="5"/>
  <c r="N38" i="7"/>
  <c r="N80" i="3"/>
  <c r="O38" i="5"/>
  <c r="V49" i="8"/>
  <c r="R42" i="8"/>
  <c r="O37" i="5"/>
  <c r="V48" i="8"/>
  <c r="R43" i="8"/>
  <c r="S43" i="8" s="1"/>
  <c r="S54" i="3" s="1"/>
  <c r="O37" i="3"/>
  <c r="U47" i="3"/>
  <c r="F39" i="3"/>
  <c r="G37" i="3"/>
  <c r="H51" i="3"/>
  <c r="I49" i="3"/>
  <c r="V19" i="7"/>
  <c r="V40" i="3"/>
  <c r="F54" i="3"/>
  <c r="F38" i="3"/>
  <c r="G52" i="3"/>
  <c r="H66" i="3"/>
  <c r="H50" i="3"/>
  <c r="I64" i="3"/>
  <c r="I48" i="3"/>
  <c r="J62" i="3"/>
  <c r="J46" i="3"/>
  <c r="K60" i="3"/>
  <c r="K44" i="3"/>
  <c r="L58" i="3"/>
  <c r="L42" i="3"/>
  <c r="M56" i="3"/>
  <c r="M40" i="3"/>
  <c r="N54" i="3"/>
  <c r="N38" i="3"/>
  <c r="O52" i="3"/>
  <c r="V39" i="3"/>
  <c r="S39" i="3" s="1"/>
  <c r="F53" i="3"/>
  <c r="F37" i="3"/>
  <c r="G51" i="3"/>
  <c r="H65" i="3"/>
  <c r="H49" i="3"/>
  <c r="I63" i="3"/>
  <c r="I47" i="3"/>
  <c r="J61" i="3"/>
  <c r="J45" i="3"/>
  <c r="K59" i="3"/>
  <c r="K43" i="3"/>
  <c r="L57" i="3"/>
  <c r="L41" i="3"/>
  <c r="M55" i="3"/>
  <c r="M39" i="3"/>
  <c r="N53" i="3"/>
  <c r="N37" i="3"/>
  <c r="O51" i="3"/>
  <c r="F52" i="3"/>
  <c r="G66" i="3"/>
  <c r="G50" i="3"/>
  <c r="H64" i="3"/>
  <c r="H48" i="3"/>
  <c r="I62" i="3"/>
  <c r="I46" i="3"/>
  <c r="J60" i="3"/>
  <c r="J44" i="3"/>
  <c r="K58" i="3"/>
  <c r="K42" i="3"/>
  <c r="L56" i="3"/>
  <c r="L40" i="3"/>
  <c r="M54" i="3"/>
  <c r="M38" i="3"/>
  <c r="N52" i="3"/>
  <c r="O66" i="3"/>
  <c r="O50" i="3"/>
  <c r="F51" i="3"/>
  <c r="G65" i="3"/>
  <c r="G49" i="3"/>
  <c r="H63" i="3"/>
  <c r="H47" i="3"/>
  <c r="I61" i="3"/>
  <c r="I45" i="3"/>
  <c r="J59" i="3"/>
  <c r="J43" i="3"/>
  <c r="K57" i="3"/>
  <c r="K41" i="3"/>
  <c r="L55" i="3"/>
  <c r="L39" i="3"/>
  <c r="M53" i="3"/>
  <c r="M37" i="3"/>
  <c r="N51" i="3"/>
  <c r="O65" i="3"/>
  <c r="O49" i="3"/>
  <c r="V33" i="7"/>
  <c r="F66" i="3"/>
  <c r="F50" i="3"/>
  <c r="G64" i="3"/>
  <c r="G48" i="3"/>
  <c r="H62" i="3"/>
  <c r="H46" i="3"/>
  <c r="I60" i="3"/>
  <c r="I44" i="3"/>
  <c r="J58" i="3"/>
  <c r="J42" i="3"/>
  <c r="K56" i="3"/>
  <c r="K40" i="3"/>
  <c r="L54" i="3"/>
  <c r="L38" i="3"/>
  <c r="M52" i="3"/>
  <c r="N66" i="3"/>
  <c r="N50" i="3"/>
  <c r="O64" i="3"/>
  <c r="O48" i="3"/>
  <c r="F65" i="3"/>
  <c r="F49" i="3"/>
  <c r="G63" i="3"/>
  <c r="G47" i="3"/>
  <c r="H61" i="3"/>
  <c r="H45" i="3"/>
  <c r="I59" i="3"/>
  <c r="I43" i="3"/>
  <c r="J57" i="3"/>
  <c r="J41" i="3"/>
  <c r="K55" i="3"/>
  <c r="K39" i="3"/>
  <c r="L53" i="3"/>
  <c r="L37" i="3"/>
  <c r="M51" i="3"/>
  <c r="N65" i="3"/>
  <c r="N49" i="3"/>
  <c r="O63" i="3"/>
  <c r="O47" i="3"/>
  <c r="F64" i="3"/>
  <c r="F48" i="3"/>
  <c r="G62" i="3"/>
  <c r="G46" i="3"/>
  <c r="H60" i="3"/>
  <c r="H44" i="3"/>
  <c r="I58" i="3"/>
  <c r="I42" i="3"/>
  <c r="J56" i="3"/>
  <c r="J40" i="3"/>
  <c r="K54" i="3"/>
  <c r="K38" i="3"/>
  <c r="L52" i="3"/>
  <c r="M66" i="3"/>
  <c r="M50" i="3"/>
  <c r="N64" i="3"/>
  <c r="N48" i="3"/>
  <c r="O62" i="3"/>
  <c r="O46" i="3"/>
  <c r="F63" i="3"/>
  <c r="F47" i="3"/>
  <c r="G61" i="3"/>
  <c r="G45" i="3"/>
  <c r="H59" i="3"/>
  <c r="H43" i="3"/>
  <c r="I57" i="3"/>
  <c r="I41" i="3"/>
  <c r="J55" i="3"/>
  <c r="J39" i="3"/>
  <c r="K53" i="3"/>
  <c r="K37" i="3"/>
  <c r="L51" i="3"/>
  <c r="M65" i="3"/>
  <c r="M49" i="3"/>
  <c r="N63" i="3"/>
  <c r="N47" i="3"/>
  <c r="O61" i="3"/>
  <c r="O45" i="3"/>
  <c r="F62" i="3"/>
  <c r="F46" i="3"/>
  <c r="G60" i="3"/>
  <c r="G44" i="3"/>
  <c r="H58" i="3"/>
  <c r="H42" i="3"/>
  <c r="I56" i="3"/>
  <c r="I40" i="3"/>
  <c r="J54" i="3"/>
  <c r="J38" i="3"/>
  <c r="K52" i="3"/>
  <c r="L66" i="3"/>
  <c r="L50" i="3"/>
  <c r="M64" i="3"/>
  <c r="M48" i="3"/>
  <c r="N62" i="3"/>
  <c r="N46" i="3"/>
  <c r="O60" i="3"/>
  <c r="O44" i="3"/>
  <c r="V47" i="3"/>
  <c r="F61" i="3"/>
  <c r="F45" i="3"/>
  <c r="G59" i="3"/>
  <c r="G43" i="3"/>
  <c r="H57" i="3"/>
  <c r="H41" i="3"/>
  <c r="I55" i="3"/>
  <c r="I39" i="3"/>
  <c r="J53" i="3"/>
  <c r="J37" i="3"/>
  <c r="K51" i="3"/>
  <c r="L65" i="3"/>
  <c r="L49" i="3"/>
  <c r="M63" i="3"/>
  <c r="M47" i="3"/>
  <c r="N61" i="3"/>
  <c r="N45" i="3"/>
  <c r="O59" i="3"/>
  <c r="O43" i="3"/>
  <c r="V46" i="3"/>
  <c r="F60" i="3"/>
  <c r="F44" i="3"/>
  <c r="G58" i="3"/>
  <c r="G42" i="3"/>
  <c r="H56" i="3"/>
  <c r="H40" i="3"/>
  <c r="I54" i="3"/>
  <c r="I38" i="3"/>
  <c r="J52" i="3"/>
  <c r="K66" i="3"/>
  <c r="K50" i="3"/>
  <c r="L64" i="3"/>
  <c r="L48" i="3"/>
  <c r="M62" i="3"/>
  <c r="M46" i="3"/>
  <c r="N60" i="3"/>
  <c r="N44" i="3"/>
  <c r="O58" i="3"/>
  <c r="O42" i="3"/>
  <c r="V45" i="3"/>
  <c r="F59" i="3"/>
  <c r="F43" i="3"/>
  <c r="G57" i="3"/>
  <c r="G41" i="3"/>
  <c r="H55" i="3"/>
  <c r="H39" i="3"/>
  <c r="I53" i="3"/>
  <c r="I37" i="3"/>
  <c r="J51" i="3"/>
  <c r="K65" i="3"/>
  <c r="K49" i="3"/>
  <c r="L63" i="3"/>
  <c r="L47" i="3"/>
  <c r="M61" i="3"/>
  <c r="M45" i="3"/>
  <c r="N59" i="3"/>
  <c r="N43" i="3"/>
  <c r="O57" i="3"/>
  <c r="O41" i="3"/>
  <c r="V44" i="3"/>
  <c r="F58" i="3"/>
  <c r="F42" i="3"/>
  <c r="G56" i="3"/>
  <c r="G40" i="3"/>
  <c r="H54" i="3"/>
  <c r="H38" i="3"/>
  <c r="I52" i="3"/>
  <c r="J66" i="3"/>
  <c r="J50" i="3"/>
  <c r="K64" i="3"/>
  <c r="K48" i="3"/>
  <c r="L62" i="3"/>
  <c r="L46" i="3"/>
  <c r="M60" i="3"/>
  <c r="M44" i="3"/>
  <c r="N58" i="3"/>
  <c r="N42" i="3"/>
  <c r="O56" i="3"/>
  <c r="O40" i="3"/>
  <c r="V43" i="3"/>
  <c r="F57" i="3"/>
  <c r="F41" i="3"/>
  <c r="G55" i="3"/>
  <c r="G39" i="3"/>
  <c r="H53" i="3"/>
  <c r="H37" i="3"/>
  <c r="I51" i="3"/>
  <c r="J65" i="3"/>
  <c r="J49" i="3"/>
  <c r="K63" i="3"/>
  <c r="K47" i="3"/>
  <c r="L61" i="3"/>
  <c r="L45" i="3"/>
  <c r="M59" i="3"/>
  <c r="M43" i="3"/>
  <c r="N57" i="3"/>
  <c r="N41" i="3"/>
  <c r="O55" i="3"/>
  <c r="O39" i="3"/>
  <c r="J47" i="7"/>
  <c r="K47" i="7" s="1"/>
  <c r="V60" i="3" s="1"/>
  <c r="V42" i="3"/>
  <c r="F56" i="3"/>
  <c r="F40" i="3"/>
  <c r="G54" i="3"/>
  <c r="G38" i="3"/>
  <c r="H52" i="3"/>
  <c r="I66" i="3"/>
  <c r="I50" i="3"/>
  <c r="J64" i="3"/>
  <c r="J48" i="3"/>
  <c r="K62" i="3"/>
  <c r="K46" i="3"/>
  <c r="L60" i="3"/>
  <c r="L44" i="3"/>
  <c r="M58" i="3"/>
  <c r="M42" i="3"/>
  <c r="N56" i="3"/>
  <c r="N40" i="3"/>
  <c r="O54" i="3"/>
  <c r="O38" i="3"/>
  <c r="V41" i="3"/>
  <c r="S41" i="3" s="1"/>
  <c r="V38" i="3"/>
  <c r="S38" i="3" s="1"/>
  <c r="F55" i="3"/>
  <c r="G53" i="3"/>
  <c r="I65" i="3"/>
  <c r="J63" i="3"/>
  <c r="J47" i="3"/>
  <c r="K61" i="3"/>
  <c r="K45" i="3"/>
  <c r="L59" i="3"/>
  <c r="L43" i="3"/>
  <c r="M57" i="3"/>
  <c r="M41" i="3"/>
  <c r="N55" i="3"/>
  <c r="N39" i="3"/>
  <c r="O53" i="3"/>
  <c r="T47" i="3"/>
  <c r="T46" i="3"/>
  <c r="T45" i="3"/>
  <c r="T44" i="3"/>
  <c r="T43" i="3"/>
  <c r="T42" i="3"/>
  <c r="S40" i="3"/>
  <c r="R48" i="8"/>
  <c r="S48" i="8" s="1"/>
  <c r="S59" i="3" s="1"/>
  <c r="R41" i="8"/>
  <c r="S41" i="8" s="1"/>
  <c r="S52" i="3" s="1"/>
  <c r="R40" i="8"/>
  <c r="S40" i="8" s="1"/>
  <c r="S51" i="3" s="1"/>
  <c r="S42" i="8"/>
  <c r="S53" i="3" s="1"/>
  <c r="S49" i="8"/>
  <c r="S60" i="3" s="1"/>
  <c r="S46" i="8"/>
  <c r="S57" i="3" s="1"/>
  <c r="W43" i="3"/>
  <c r="W42" i="3"/>
  <c r="W47" i="3"/>
  <c r="W45" i="3"/>
  <c r="W44" i="3"/>
  <c r="O66" i="8"/>
  <c r="K4" i="3"/>
  <c r="I31" i="3"/>
  <c r="K31" i="3" s="1"/>
  <c r="K5" i="3"/>
  <c r="K39" i="5"/>
  <c r="L39" i="5" s="1"/>
  <c r="U53" i="3" s="1"/>
  <c r="V12" i="7"/>
  <c r="X28" i="4"/>
  <c r="X12" i="5"/>
  <c r="X27" i="5"/>
  <c r="AE28" i="8"/>
  <c r="K40" i="4"/>
  <c r="L40" i="4" s="1"/>
  <c r="T54" i="3" s="1"/>
  <c r="X11" i="4"/>
  <c r="X15" i="5"/>
  <c r="V26" i="7"/>
  <c r="V29" i="7"/>
  <c r="X33" i="4"/>
  <c r="X15" i="4"/>
  <c r="X34" i="4"/>
  <c r="X16" i="4"/>
  <c r="X29" i="4"/>
  <c r="X22" i="5"/>
  <c r="V23" i="7"/>
  <c r="O62" i="5"/>
  <c r="AE10" i="8"/>
  <c r="AE14" i="8"/>
  <c r="O62" i="4"/>
  <c r="K8" i="3"/>
  <c r="L8" i="3" s="1" a="1"/>
  <c r="L8" i="3" s="1"/>
  <c r="K12" i="3"/>
  <c r="L12" i="3" s="1" a="1"/>
  <c r="L12" i="3" s="1"/>
  <c r="K11" i="3"/>
  <c r="L11" i="3" s="1" a="1"/>
  <c r="L11" i="3" s="1"/>
  <c r="K9" i="3"/>
  <c r="L9" i="3" s="1" a="1"/>
  <c r="L9" i="3" s="1"/>
  <c r="K19" i="3"/>
  <c r="L19" i="3" s="1" a="1"/>
  <c r="L19" i="3" s="1"/>
  <c r="N60" i="7"/>
  <c r="AE31" i="8"/>
  <c r="AE8" i="8"/>
  <c r="AE17" i="8"/>
  <c r="AE15" i="8"/>
  <c r="P66" i="8"/>
  <c r="AF12" i="8" s="1" a="1"/>
  <c r="AF12" i="8" s="1"/>
  <c r="AE33" i="8"/>
  <c r="AE20" i="8"/>
  <c r="AE34" i="8"/>
  <c r="AE26" i="8"/>
  <c r="X26" i="5"/>
  <c r="V28" i="7"/>
  <c r="V18" i="7"/>
  <c r="V7" i="7"/>
  <c r="J38" i="7"/>
  <c r="K38" i="7" s="1"/>
  <c r="V51" i="3" s="1"/>
  <c r="AE21" i="8"/>
  <c r="AE29" i="8"/>
  <c r="S45" i="8"/>
  <c r="S56" i="3" s="1"/>
  <c r="AE30" i="8"/>
  <c r="AE16" i="8"/>
  <c r="AE12" i="8"/>
  <c r="AE18" i="8"/>
  <c r="AE11" i="8"/>
  <c r="AE19" i="8"/>
  <c r="AE32" i="8"/>
  <c r="AE23" i="8"/>
  <c r="AE25" i="8"/>
  <c r="AE9" i="8"/>
  <c r="AE7" i="8"/>
  <c r="AE5" i="8"/>
  <c r="AE13" i="8"/>
  <c r="AE24" i="8"/>
  <c r="AE22" i="8"/>
  <c r="AE27" i="8"/>
  <c r="AE6" i="8"/>
  <c r="S44" i="8"/>
  <c r="S55" i="3" s="1"/>
  <c r="S47" i="8"/>
  <c r="S58" i="3" s="1"/>
  <c r="V22" i="7"/>
  <c r="V21" i="7"/>
  <c r="V27" i="7"/>
  <c r="V17" i="7"/>
  <c r="V5" i="7"/>
  <c r="V15" i="7"/>
  <c r="V25" i="7"/>
  <c r="V24" i="7"/>
  <c r="V11" i="7"/>
  <c r="V31" i="7"/>
  <c r="J39" i="7"/>
  <c r="K39" i="7" s="1"/>
  <c r="V52" i="3" s="1"/>
  <c r="V20" i="7"/>
  <c r="V13" i="7"/>
  <c r="V32" i="7"/>
  <c r="J41" i="7"/>
  <c r="K41" i="7" s="1"/>
  <c r="V54" i="3" s="1"/>
  <c r="V8" i="7"/>
  <c r="V34" i="7"/>
  <c r="V10" i="7"/>
  <c r="J40" i="7"/>
  <c r="K40" i="7" s="1"/>
  <c r="V53" i="3" s="1"/>
  <c r="V14" i="7"/>
  <c r="V30" i="7"/>
  <c r="V6" i="7"/>
  <c r="V16" i="7"/>
  <c r="V9" i="7"/>
  <c r="M60" i="7"/>
  <c r="K38" i="5"/>
  <c r="L38" i="5" s="1"/>
  <c r="U52" i="3" s="1"/>
  <c r="X9" i="5"/>
  <c r="X6" i="5"/>
  <c r="X10" i="5"/>
  <c r="X32" i="5"/>
  <c r="X20" i="5"/>
  <c r="X13" i="5"/>
  <c r="X14" i="5"/>
  <c r="X17" i="5"/>
  <c r="X25" i="5"/>
  <c r="X29" i="5"/>
  <c r="X7" i="5"/>
  <c r="X23" i="5"/>
  <c r="X24" i="5"/>
  <c r="K40" i="5"/>
  <c r="L40" i="5" s="1"/>
  <c r="U54" i="3" s="1"/>
  <c r="X33" i="5"/>
  <c r="X11" i="5"/>
  <c r="X18" i="5"/>
  <c r="X21" i="5"/>
  <c r="X30" i="5"/>
  <c r="X34" i="5"/>
  <c r="X5" i="5"/>
  <c r="X16" i="5"/>
  <c r="X19" i="5"/>
  <c r="X28" i="5"/>
  <c r="X31" i="5"/>
  <c r="K37" i="5"/>
  <c r="L37" i="5" s="1"/>
  <c r="U51" i="3" s="1"/>
  <c r="N62" i="5"/>
  <c r="X13" i="4"/>
  <c r="X20" i="4"/>
  <c r="K38" i="4"/>
  <c r="L38" i="4" s="1"/>
  <c r="T52" i="3" s="1"/>
  <c r="X32" i="4"/>
  <c r="X5" i="4"/>
  <c r="X8" i="4"/>
  <c r="X14" i="4"/>
  <c r="X17" i="4"/>
  <c r="X26" i="4"/>
  <c r="X30" i="4"/>
  <c r="K39" i="4"/>
  <c r="L39" i="4" s="1"/>
  <c r="T53" i="3" s="1"/>
  <c r="X23" i="4"/>
  <c r="X6" i="4"/>
  <c r="X12" i="4"/>
  <c r="X18" i="4"/>
  <c r="X24" i="4"/>
  <c r="X27" i="4"/>
  <c r="X9" i="4"/>
  <c r="X10" i="4"/>
  <c r="X21" i="4"/>
  <c r="X22" i="4"/>
  <c r="X7" i="4"/>
  <c r="X19" i="4"/>
  <c r="X25" i="4"/>
  <c r="X31" i="4"/>
  <c r="K37" i="4"/>
  <c r="L37" i="4" s="1"/>
  <c r="T51" i="3" s="1"/>
  <c r="N62" i="4"/>
  <c r="K25" i="3"/>
  <c r="K26" i="3"/>
  <c r="K28" i="3"/>
  <c r="K33" i="3"/>
  <c r="K22" i="3"/>
  <c r="K23" i="3"/>
  <c r="K6" i="3"/>
  <c r="K10" i="3"/>
  <c r="K15" i="3"/>
  <c r="K14" i="3"/>
  <c r="K18" i="3"/>
  <c r="K30" i="3"/>
  <c r="K13" i="3"/>
  <c r="K24" i="3"/>
  <c r="K20" i="3"/>
  <c r="K16" i="3"/>
  <c r="K17" i="3"/>
  <c r="K7" i="3"/>
  <c r="K21" i="3"/>
  <c r="K29" i="3"/>
  <c r="K32" i="3"/>
  <c r="K27" i="3"/>
  <c r="S42" i="3" l="1"/>
  <c r="W55" i="3" s="1"/>
  <c r="S47" i="3"/>
  <c r="W60" i="3" s="1"/>
  <c r="S46" i="3"/>
  <c r="W59" i="3" s="1"/>
  <c r="W53" i="3"/>
  <c r="W52" i="3"/>
  <c r="S44" i="3"/>
  <c r="W57" i="3" s="1"/>
  <c r="S45" i="3"/>
  <c r="W58" i="3" s="1"/>
  <c r="S43" i="3"/>
  <c r="W56" i="3" s="1"/>
  <c r="W51" i="3"/>
  <c r="W54" i="3"/>
  <c r="AF34" i="8" a="1"/>
  <c r="AF34" i="8" s="1"/>
  <c r="AF23" i="8" a="1"/>
  <c r="AF23" i="8" s="1"/>
  <c r="AF24" i="8" a="1"/>
  <c r="AF24" i="8" s="1"/>
  <c r="AF25" i="8" a="1"/>
  <c r="AF25" i="8" s="1"/>
  <c r="AF26" i="8" a="1"/>
  <c r="AF26" i="8" s="1"/>
  <c r="AF27" i="8" a="1"/>
  <c r="AF27" i="8" s="1"/>
  <c r="AF28" i="8" a="1"/>
  <c r="AF28" i="8" s="1"/>
  <c r="AF13" i="8" a="1"/>
  <c r="AF13" i="8" s="1"/>
  <c r="AF14" i="8" a="1"/>
  <c r="AF14" i="8" s="1"/>
  <c r="AF11" i="8" a="1"/>
  <c r="AF11" i="8" s="1"/>
  <c r="AF15" i="8" a="1"/>
  <c r="AF15" i="8" s="1"/>
  <c r="AF16" i="8" a="1"/>
  <c r="AF16" i="8" s="1"/>
  <c r="AF30" i="8" a="1"/>
  <c r="AF30" i="8" s="1"/>
  <c r="AF5" i="8" a="1"/>
  <c r="AF5" i="8" s="1"/>
  <c r="AF17" i="8" a="1"/>
  <c r="AF17" i="8" s="1"/>
  <c r="AF29" i="8" a="1"/>
  <c r="AF29" i="8" s="1"/>
  <c r="AF6" i="8" a="1"/>
  <c r="AF6" i="8" s="1"/>
  <c r="AF18" i="8" a="1"/>
  <c r="AF18" i="8" s="1"/>
  <c r="AF19" i="8" a="1"/>
  <c r="AF19" i="8" s="1"/>
  <c r="AF31" i="8" a="1"/>
  <c r="AF31" i="8" s="1"/>
  <c r="AF8" i="8" a="1"/>
  <c r="AF8" i="8" s="1"/>
  <c r="AF20" i="8" a="1"/>
  <c r="AF20" i="8" s="1"/>
  <c r="AF32" i="8" a="1"/>
  <c r="AF32" i="8" s="1"/>
  <c r="AF7" i="8" a="1"/>
  <c r="AF7" i="8" s="1"/>
  <c r="AF9" i="8" a="1"/>
  <c r="AF9" i="8" s="1"/>
  <c r="AF21" i="8" a="1"/>
  <c r="AF21" i="8" s="1"/>
  <c r="AF33" i="8" a="1"/>
  <c r="AF33" i="8" s="1"/>
  <c r="AF10" i="8" a="1"/>
  <c r="AF10" i="8" s="1"/>
  <c r="AF22" i="8" a="1"/>
  <c r="AF22" i="8" s="1"/>
  <c r="W27" i="7"/>
  <c r="W15" i="7"/>
  <c r="W28" i="7"/>
  <c r="W16" i="7"/>
  <c r="W29" i="7"/>
  <c r="W17" i="7"/>
  <c r="W5" i="7"/>
  <c r="W25" i="7"/>
  <c r="W30" i="7"/>
  <c r="W18" i="7"/>
  <c r="W6" i="7"/>
  <c r="W13" i="7"/>
  <c r="W31" i="7"/>
  <c r="W19" i="7"/>
  <c r="W7" i="7"/>
  <c r="W32" i="7"/>
  <c r="W20" i="7"/>
  <c r="W8" i="7"/>
  <c r="W33" i="7"/>
  <c r="W21" i="7"/>
  <c r="W9" i="7"/>
  <c r="W34" i="7"/>
  <c r="W22" i="7"/>
  <c r="W10" i="7"/>
  <c r="W23" i="7"/>
  <c r="W11" i="7"/>
  <c r="W24" i="7"/>
  <c r="W12" i="7"/>
  <c r="W26" i="7"/>
  <c r="W14" i="7"/>
  <c r="Y27" i="5"/>
  <c r="Y15" i="5"/>
  <c r="Y28" i="5"/>
  <c r="Y16" i="5"/>
  <c r="Y29" i="5"/>
  <c r="Y17" i="5"/>
  <c r="Y5" i="5"/>
  <c r="Y30" i="5"/>
  <c r="Y18" i="5"/>
  <c r="Y6" i="5"/>
  <c r="Y31" i="5"/>
  <c r="Y19" i="5"/>
  <c r="Y7" i="5"/>
  <c r="Y32" i="5"/>
  <c r="Y20" i="5"/>
  <c r="Y8" i="5"/>
  <c r="Y33" i="5"/>
  <c r="Y21" i="5"/>
  <c r="Y9" i="5"/>
  <c r="Y34" i="5"/>
  <c r="Y22" i="5"/>
  <c r="Y10" i="5"/>
  <c r="Y26" i="5"/>
  <c r="Y14" i="5"/>
  <c r="Y23" i="5"/>
  <c r="Y11" i="5"/>
  <c r="Y24" i="5"/>
  <c r="Y12" i="5"/>
  <c r="Y25" i="5"/>
  <c r="Y13" i="5"/>
  <c r="Y27" i="4"/>
  <c r="Y5" i="4"/>
  <c r="Y28" i="4"/>
  <c r="Y16" i="4"/>
  <c r="Y29" i="4"/>
  <c r="Y30" i="4"/>
  <c r="Y18" i="4"/>
  <c r="Y6" i="4"/>
  <c r="Y31" i="4"/>
  <c r="Y19" i="4"/>
  <c r="Y7" i="4"/>
  <c r="Y32" i="4"/>
  <c r="Y20" i="4"/>
  <c r="Y8" i="4"/>
  <c r="Y33" i="4"/>
  <c r="Y21" i="4"/>
  <c r="Y9" i="4"/>
  <c r="Y34" i="4"/>
  <c r="Y22" i="4"/>
  <c r="Y10" i="4"/>
  <c r="Y17" i="4"/>
  <c r="Y23" i="4"/>
  <c r="Y11" i="4"/>
  <c r="Y24" i="4"/>
  <c r="Y12" i="4"/>
  <c r="Y25" i="4"/>
  <c r="Y13" i="4"/>
  <c r="Y26" i="4"/>
  <c r="Y14" i="4"/>
  <c r="Y15" i="4"/>
  <c r="L24" i="3" a="1"/>
  <c r="L24" i="3" s="1"/>
  <c r="L13" i="3" a="1"/>
  <c r="L13" i="3" s="1"/>
  <c r="L15" i="3" a="1"/>
  <c r="L15" i="3" s="1"/>
  <c r="T32" i="3"/>
  <c r="L4" i="3" a="1"/>
  <c r="L4" i="3" s="1"/>
  <c r="U32" i="3"/>
  <c r="L6" i="3" a="1"/>
  <c r="L6" i="3" s="1"/>
  <c r="L27" i="3" a="1"/>
  <c r="L27" i="3" s="1"/>
  <c r="L23" i="3" a="1"/>
  <c r="L23" i="3" s="1"/>
  <c r="L33" i="3" a="1"/>
  <c r="L33" i="3" s="1"/>
  <c r="L5" i="3" a="1"/>
  <c r="L5" i="3" s="1"/>
  <c r="L28" i="3" a="1"/>
  <c r="L28" i="3" s="1"/>
  <c r="L32" i="3" a="1"/>
  <c r="L32" i="3" s="1"/>
  <c r="L29" i="3" a="1"/>
  <c r="L29" i="3" s="1"/>
  <c r="L22" i="3" a="1"/>
  <c r="L22" i="3" s="1"/>
  <c r="L21" i="3" a="1"/>
  <c r="L21" i="3" s="1"/>
  <c r="L7" i="3" a="1"/>
  <c r="L7" i="3" s="1"/>
  <c r="L17" i="3" a="1"/>
  <c r="L17" i="3" s="1"/>
  <c r="L26" i="3" a="1"/>
  <c r="L26" i="3" s="1"/>
  <c r="L16" i="3" a="1"/>
  <c r="L16" i="3" s="1"/>
  <c r="L31" i="3" a="1"/>
  <c r="L31" i="3" s="1"/>
  <c r="L25" i="3" a="1"/>
  <c r="L25" i="3" s="1"/>
  <c r="L20" i="3" a="1"/>
  <c r="L20" i="3" s="1"/>
  <c r="L18" i="3" a="1"/>
  <c r="L18" i="3" s="1"/>
  <c r="L14" i="3" a="1"/>
  <c r="L14" i="3" s="1"/>
  <c r="L30" i="3" a="1"/>
  <c r="L30" i="3" s="1"/>
  <c r="L10" i="3" a="1"/>
  <c r="L10" i="3" s="1"/>
  <c r="M21" i="3" l="1"/>
  <c r="M7" i="3"/>
  <c r="M25" i="3"/>
  <c r="M14" i="3"/>
  <c r="M10" i="3"/>
  <c r="M11" i="3"/>
  <c r="M26" i="3"/>
  <c r="M23" i="3"/>
  <c r="M33" i="3"/>
  <c r="M16" i="3"/>
  <c r="M32" i="3"/>
  <c r="M17" i="3"/>
  <c r="M22" i="3"/>
  <c r="M28" i="3"/>
  <c r="M30" i="3"/>
  <c r="M13" i="3"/>
  <c r="M27" i="3"/>
  <c r="M24" i="3"/>
  <c r="M31" i="3"/>
  <c r="M8" i="3"/>
  <c r="M20" i="3"/>
  <c r="M29" i="3"/>
  <c r="M4" i="3"/>
  <c r="M5" i="3"/>
  <c r="M19" i="3"/>
  <c r="M12" i="3"/>
  <c r="M6" i="3"/>
  <c r="M9" i="3"/>
  <c r="M18" i="3"/>
  <c r="M15" i="3"/>
  <c r="V80"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Alperen</author>
  </authors>
  <commentList>
    <comment ref="K67" authorId="0" shapeId="0" xr:uid="{849069BA-6FC4-4809-9B90-57E90EF181D4}">
      <text>
        <r>
          <rPr>
            <b/>
            <sz val="9"/>
            <color indexed="81"/>
            <rFont val="Tahoma"/>
            <family val="2"/>
            <charset val="162"/>
          </rPr>
          <t>Alperen:</t>
        </r>
        <r>
          <rPr>
            <sz val="9"/>
            <color indexed="81"/>
            <rFont val="Tahoma"/>
            <family val="2"/>
            <charset val="162"/>
          </rPr>
          <t xml:space="preserve">
Formül=&gt; (öğrenci sayısı * (toplam öğrenci dç-x puanı))/( öğrenci sayısı * dç-x katsayısı) &lt;=1</t>
        </r>
      </text>
    </comment>
    <comment ref="L67" authorId="0" shapeId="0" xr:uid="{99E383A2-61C7-4C96-8CA7-45B8C7DD5EE2}">
      <text>
        <r>
          <rPr>
            <b/>
            <sz val="9"/>
            <color indexed="81"/>
            <rFont val="Tahoma"/>
            <family val="2"/>
            <charset val="162"/>
          </rPr>
          <t>Alperen:</t>
        </r>
        <r>
          <rPr>
            <sz val="9"/>
            <color indexed="81"/>
            <rFont val="Tahoma"/>
            <family val="2"/>
            <charset val="162"/>
          </rPr>
          <t xml:space="preserve">
MIDTERM TOTAL DÇ * DERS ÇIKTISI KATSAYISI= TOTAL CONTRIBUTION</t>
        </r>
      </text>
    </comment>
    <comment ref="K153" authorId="0" shapeId="0" xr:uid="{C1A4A7F1-07EA-4310-8303-98D99B7E80E4}">
      <text>
        <r>
          <rPr>
            <b/>
            <sz val="9"/>
            <color indexed="81"/>
            <rFont val="Tahoma"/>
            <family val="2"/>
            <charset val="162"/>
          </rPr>
          <t>Alperen:</t>
        </r>
        <r>
          <rPr>
            <sz val="9"/>
            <color indexed="81"/>
            <rFont val="Tahoma"/>
            <family val="2"/>
            <charset val="162"/>
          </rPr>
          <t xml:space="preserve">
Formül=&gt; (öğrenci sayısı * (toplam öğrenci dç-x puanı))/( öğrenci sayısı * dç-x katsayısı) &lt;=1</t>
        </r>
      </text>
    </comment>
    <comment ref="L153" authorId="0" shapeId="0" xr:uid="{127F577C-1498-446A-B739-EBA3F414CE6E}">
      <text>
        <r>
          <rPr>
            <b/>
            <sz val="9"/>
            <color indexed="81"/>
            <rFont val="Tahoma"/>
            <family val="2"/>
            <charset val="162"/>
          </rPr>
          <t>Alperen:</t>
        </r>
        <r>
          <rPr>
            <sz val="9"/>
            <color indexed="81"/>
            <rFont val="Tahoma"/>
            <family val="2"/>
            <charset val="162"/>
          </rPr>
          <t xml:space="preserve">
MIDTERM TOTAL DÇ * DERS ÇIKTISI KATSAYISI= TOTAL CONTRIBUTION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Alperen</author>
  </authors>
  <commentList>
    <comment ref="K37" authorId="0" shapeId="0" xr:uid="{89F0FE30-B7E7-4688-8806-7DDAB9202F8E}">
      <text>
        <r>
          <rPr>
            <b/>
            <sz val="9"/>
            <color indexed="81"/>
            <rFont val="Tahoma"/>
            <family val="2"/>
            <charset val="162"/>
          </rPr>
          <t>Alperen:</t>
        </r>
        <r>
          <rPr>
            <sz val="9"/>
            <color indexed="81"/>
            <rFont val="Tahoma"/>
            <family val="2"/>
            <charset val="162"/>
          </rPr>
          <t xml:space="preserve">
Formül=&gt; (öğrenci sayısı * (toplam öğrenci dç-x puanı))/( öğrenci sayısı * dç-x katsayısı) &lt;=1</t>
        </r>
      </text>
    </comment>
    <comment ref="L37" authorId="0" shapeId="0" xr:uid="{EB28139F-6EB7-4DE5-9B6E-449CD674E3A2}">
      <text>
        <r>
          <rPr>
            <b/>
            <sz val="9"/>
            <color indexed="81"/>
            <rFont val="Tahoma"/>
            <family val="2"/>
            <charset val="162"/>
          </rPr>
          <t>Alperen:</t>
        </r>
        <r>
          <rPr>
            <sz val="9"/>
            <color indexed="81"/>
            <rFont val="Tahoma"/>
            <family val="2"/>
            <charset val="162"/>
          </rPr>
          <t xml:space="preserve">
MIDTERM TOTAL DÇ * DERS ÇIKTISI KATSAYISI= TOTAL CONTRIBUTION</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Alperen</author>
  </authors>
  <commentList>
    <comment ref="K37" authorId="0" shapeId="0" xr:uid="{2F47E18F-67CD-40AD-8B90-89B114A79346}">
      <text>
        <r>
          <rPr>
            <b/>
            <sz val="9"/>
            <color indexed="81"/>
            <rFont val="Tahoma"/>
            <family val="2"/>
            <charset val="162"/>
          </rPr>
          <t>Alperen:</t>
        </r>
        <r>
          <rPr>
            <sz val="9"/>
            <color indexed="81"/>
            <rFont val="Tahoma"/>
            <family val="2"/>
            <charset val="162"/>
          </rPr>
          <t xml:space="preserve">
Formül=&gt; (öğrenci sayısı * (toplam öğrenci dç-x puanı))/( öğrenci sayısı * dç-x katsayısı) &lt;=1</t>
        </r>
      </text>
    </comment>
    <comment ref="L37" authorId="0" shapeId="0" xr:uid="{C4DB1650-4D5F-47A8-885F-ED7EA64865C3}">
      <text>
        <r>
          <rPr>
            <b/>
            <sz val="9"/>
            <color indexed="81"/>
            <rFont val="Tahoma"/>
            <family val="2"/>
            <charset val="162"/>
          </rPr>
          <t>Alperen:</t>
        </r>
        <r>
          <rPr>
            <sz val="9"/>
            <color indexed="81"/>
            <rFont val="Tahoma"/>
            <family val="2"/>
            <charset val="162"/>
          </rPr>
          <t xml:space="preserve">
MIDTERM TOTAL DÇ * DERS ÇIKTISI KATSAYISI= TOTAL CONTRIBUTION</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Alperen</author>
  </authors>
  <commentList>
    <comment ref="J38" authorId="0" shapeId="0" xr:uid="{90BE5DF0-7F2A-41B1-B452-3F4EF508F4D9}">
      <text>
        <r>
          <rPr>
            <b/>
            <sz val="9"/>
            <color indexed="81"/>
            <rFont val="Tahoma"/>
            <family val="2"/>
            <charset val="162"/>
          </rPr>
          <t>Alperen:</t>
        </r>
        <r>
          <rPr>
            <sz val="9"/>
            <color indexed="81"/>
            <rFont val="Tahoma"/>
            <family val="2"/>
            <charset val="162"/>
          </rPr>
          <t xml:space="preserve">
Formül=&gt; (öğrenci sayısı * (toplam öğrenci dç-x puanı))/( öğrenci sayısı * dç-x katsayısı) &lt;=1</t>
        </r>
      </text>
    </comment>
    <comment ref="K38" authorId="0" shapeId="0" xr:uid="{0DE8E0A5-2DB7-4C2D-9760-5F1E799167ED}">
      <text>
        <r>
          <rPr>
            <b/>
            <sz val="9"/>
            <color indexed="81"/>
            <rFont val="Tahoma"/>
            <family val="2"/>
            <charset val="162"/>
          </rPr>
          <t>Alperen:</t>
        </r>
        <r>
          <rPr>
            <sz val="9"/>
            <color indexed="81"/>
            <rFont val="Tahoma"/>
            <family val="2"/>
            <charset val="162"/>
          </rPr>
          <t xml:space="preserve">
MIDTERM TOTAL DÇ * DERS ÇIKTISI KATSAYISI= TOTAL CONTRIBUTION</t>
        </r>
      </text>
    </comment>
    <comment ref="J39" authorId="0" shapeId="0" xr:uid="{4CB1CB9B-BAB5-449E-81E3-142535823599}">
      <text>
        <r>
          <rPr>
            <b/>
            <sz val="9"/>
            <color indexed="81"/>
            <rFont val="Tahoma"/>
            <family val="2"/>
            <charset val="162"/>
          </rPr>
          <t>Alperen:</t>
        </r>
        <r>
          <rPr>
            <sz val="9"/>
            <color indexed="81"/>
            <rFont val="Tahoma"/>
            <family val="2"/>
            <charset val="162"/>
          </rPr>
          <t xml:space="preserve">
Formül=&gt; (öğrenci sayısı * (toplam öğrenci dç-x puanı))/( öğrenci sayısı * dç-x katsayısı) &lt;=1</t>
        </r>
      </text>
    </comment>
    <comment ref="J40" authorId="0" shapeId="0" xr:uid="{0575E8DC-FADC-4B20-9918-BE1B6E365881}">
      <text>
        <r>
          <rPr>
            <b/>
            <sz val="9"/>
            <color indexed="81"/>
            <rFont val="Tahoma"/>
            <family val="2"/>
            <charset val="162"/>
          </rPr>
          <t>Alperen:</t>
        </r>
        <r>
          <rPr>
            <sz val="9"/>
            <color indexed="81"/>
            <rFont val="Tahoma"/>
            <family val="2"/>
            <charset val="162"/>
          </rPr>
          <t xml:space="preserve">
Formül=&gt; (öğrenci sayısı * (toplam öğrenci dç-x puanı))/( öğrenci sayısı * dç-x katsayısı) &lt;=1</t>
        </r>
      </text>
    </comment>
    <comment ref="J41" authorId="0" shapeId="0" xr:uid="{ACE75263-1178-4E24-AF8C-2FF9CD8BFD0B}">
      <text>
        <r>
          <rPr>
            <b/>
            <sz val="9"/>
            <color indexed="81"/>
            <rFont val="Tahoma"/>
            <family val="2"/>
            <charset val="162"/>
          </rPr>
          <t>Alperen:</t>
        </r>
        <r>
          <rPr>
            <sz val="9"/>
            <color indexed="81"/>
            <rFont val="Tahoma"/>
            <family val="2"/>
            <charset val="162"/>
          </rPr>
          <t xml:space="preserve">
Formül=&gt; (öğrenci sayısı * (toplam öğrenci dç-x puanı))/( öğrenci sayısı * dç-x katsayısı) &lt;=1</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Alperen</author>
  </authors>
  <commentList>
    <comment ref="R40" authorId="0" shapeId="0" xr:uid="{831CDD75-CDBF-4FDC-911A-76622861AEC7}">
      <text>
        <r>
          <rPr>
            <b/>
            <sz val="9"/>
            <color indexed="81"/>
            <rFont val="Tahoma"/>
            <family val="2"/>
            <charset val="162"/>
          </rPr>
          <t>Alperen:</t>
        </r>
        <r>
          <rPr>
            <sz val="9"/>
            <color indexed="81"/>
            <rFont val="Tahoma"/>
            <family val="2"/>
            <charset val="162"/>
          </rPr>
          <t xml:space="preserve">
Formül=&gt; (öğrenci sayısı * (toplam öğrenci dç-x puanı))/( öğrenci sayısı * dç-x katsayısı) &lt;=1</t>
        </r>
      </text>
    </comment>
    <comment ref="S40" authorId="0" shapeId="0" xr:uid="{D2AEF239-2B24-4E49-8BEC-BABCA092AFB1}">
      <text>
        <r>
          <rPr>
            <b/>
            <sz val="9"/>
            <color indexed="81"/>
            <rFont val="Tahoma"/>
            <family val="2"/>
            <charset val="162"/>
          </rPr>
          <t>Alperen:</t>
        </r>
        <r>
          <rPr>
            <sz val="9"/>
            <color indexed="81"/>
            <rFont val="Tahoma"/>
            <family val="2"/>
            <charset val="162"/>
          </rPr>
          <t xml:space="preserve">
MIDTERM TOTAL DÇ * DERS ÇIKTISI KATSAYISI= TOTAL CONTRIBUTION</t>
        </r>
      </text>
    </comment>
    <comment ref="R41" authorId="0" shapeId="0" xr:uid="{1A6AE805-A213-49B9-9F81-701AF1209A4F}">
      <text>
        <r>
          <rPr>
            <b/>
            <sz val="9"/>
            <color indexed="81"/>
            <rFont val="Tahoma"/>
            <family val="2"/>
            <charset val="162"/>
          </rPr>
          <t>Alperen:</t>
        </r>
        <r>
          <rPr>
            <sz val="9"/>
            <color indexed="81"/>
            <rFont val="Tahoma"/>
            <family val="2"/>
            <charset val="162"/>
          </rPr>
          <t xml:space="preserve">
Formül=&gt; (öğrenci sayısı * (toplam öğrenci dç-x puanı))/( öğrenci sayısı * dç-x katsayısı) &lt;=1</t>
        </r>
      </text>
    </comment>
    <comment ref="R42" authorId="0" shapeId="0" xr:uid="{35672216-B74C-4FFC-ABCB-59AEA9934445}">
      <text>
        <r>
          <rPr>
            <b/>
            <sz val="9"/>
            <color indexed="81"/>
            <rFont val="Tahoma"/>
            <family val="2"/>
            <charset val="162"/>
          </rPr>
          <t>Alperen:</t>
        </r>
        <r>
          <rPr>
            <sz val="9"/>
            <color indexed="81"/>
            <rFont val="Tahoma"/>
            <family val="2"/>
            <charset val="162"/>
          </rPr>
          <t xml:space="preserve">
Formül=&gt; (öğrenci sayısı * (toplam öğrenci dç-x puanı))/( öğrenci sayısı * dç-x katsayısı) &lt;=1</t>
        </r>
      </text>
    </comment>
    <comment ref="R43" authorId="0" shapeId="0" xr:uid="{32A089F7-7C1C-4F79-BEE4-B901AF4A9E11}">
      <text>
        <r>
          <rPr>
            <b/>
            <sz val="9"/>
            <color indexed="81"/>
            <rFont val="Tahoma"/>
            <family val="2"/>
            <charset val="162"/>
          </rPr>
          <t>Alperen:</t>
        </r>
        <r>
          <rPr>
            <sz val="9"/>
            <color indexed="81"/>
            <rFont val="Tahoma"/>
            <family val="2"/>
            <charset val="162"/>
          </rPr>
          <t xml:space="preserve">
Formül=&gt; (öğrenci sayısı * (toplam öğrenci dç-x puanı))/( öğrenci sayısı * dç-x katsayısı) &lt;=1</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<sst xmlns="http://schemas.openxmlformats.org/spreadsheetml/2006/main" count="1067" uniqueCount="170">
  <si>
    <t>-</t>
  </si>
  <si>
    <t>Midterm</t>
  </si>
  <si>
    <t>FINAL</t>
  </si>
  <si>
    <t>HOMEWORK</t>
  </si>
  <si>
    <t>LAB</t>
  </si>
  <si>
    <t>BONUS</t>
  </si>
  <si>
    <t>Total Points</t>
  </si>
  <si>
    <t>Letter Grade</t>
  </si>
  <si>
    <t>* Bu  renkteki tablolara dokunmayın. İçlerinde formüller vardır ve değiştirilirse hesaplamaların hepsi hatalı çıkabilir.</t>
  </si>
  <si>
    <t>Satır1</t>
  </si>
  <si>
    <t>Veri</t>
  </si>
  <si>
    <t>Satır2</t>
  </si>
  <si>
    <t>*Eğer bu renkte hücreler görürseniz sütündaki verilerin doldurulabilir. İşlemleri bozmaz. Doldurmadan hesaplamalar düzgün çalışır. (Default olarak 0 verilir)</t>
  </si>
  <si>
    <t>Satır3</t>
  </si>
  <si>
    <t>Satır4</t>
  </si>
  <si>
    <t>*Sarı renkli hücreler dışındaki hücrelere dokunulmamalıdır.</t>
  </si>
  <si>
    <t>Satır5</t>
  </si>
  <si>
    <t>Satır6</t>
  </si>
  <si>
    <t>Satır7</t>
  </si>
  <si>
    <t>Q1</t>
  </si>
  <si>
    <t>Q2</t>
  </si>
  <si>
    <t>Q3</t>
  </si>
  <si>
    <t>Q4</t>
  </si>
  <si>
    <t>Q5</t>
  </si>
  <si>
    <t>Q6</t>
  </si>
  <si>
    <t>Total Points2</t>
  </si>
  <si>
    <t>*Bu tablolar ders verilerinin girilmesi gereken tablolardır. Doldurulmaması gereken yerleri vardır. (İçlerinde formüller vardır.</t>
  </si>
  <si>
    <t>*Bu renkli sütunlar formül içerir ve dokunulmaması lazımdır. (Sonradan kilitleyeceğim)</t>
  </si>
  <si>
    <t>Sütun1</t>
  </si>
  <si>
    <t>Q7</t>
  </si>
  <si>
    <t>TOTAL</t>
  </si>
  <si>
    <t>*Her mavi tablonun altında bunun gibi bir not dağılım tablosu bulunur. Bunlarda sadece total kısmına dokunulmamalıdır. Diğer verilerin de x&gt;0 olması beklenir.</t>
  </si>
  <si>
    <t>PUAN</t>
  </si>
  <si>
    <t>LETTER GRADE RANGE</t>
  </si>
  <si>
    <t>Grade</t>
  </si>
  <si>
    <t>Min</t>
  </si>
  <si>
    <t>Max</t>
  </si>
  <si>
    <t xml:space="preserve">Bu değerler kullanılırken max değerlerin o değere eşit olmadığı düşünülür.          Örn: BA -&gt;  85&gt;=X&lt;90 (AA HARİÇ) </t>
  </si>
  <si>
    <t>AA</t>
  </si>
  <si>
    <t>BA</t>
  </si>
  <si>
    <t>BB</t>
  </si>
  <si>
    <t>CB</t>
  </si>
  <si>
    <t>CC</t>
  </si>
  <si>
    <t>CD</t>
  </si>
  <si>
    <t>DD</t>
  </si>
  <si>
    <t>Bu tabloların tüm verileri ile oynanabilir. Hatalı veriler girilince hücrelerin rengi değişir ve hesaplama hataları olacağını gösterir. (Kırmızı =Hatalı Değer)</t>
  </si>
  <si>
    <t>FD</t>
  </si>
  <si>
    <t>FF</t>
  </si>
  <si>
    <t>Bu tablolar sadece MAIN'de bulunur.</t>
  </si>
  <si>
    <t>NA</t>
  </si>
  <si>
    <t>X</t>
  </si>
  <si>
    <t>GRADING INFO</t>
  </si>
  <si>
    <t>Item</t>
  </si>
  <si>
    <t>Multiplier</t>
  </si>
  <si>
    <t>Base Value</t>
  </si>
  <si>
    <t>Homework</t>
  </si>
  <si>
    <t>Lab</t>
  </si>
  <si>
    <t>BASE VALUE sütunu otomatik olarak güncellenir. Sadece Grade girilmelidir.</t>
  </si>
  <si>
    <t>Final</t>
  </si>
  <si>
    <t>Bu değerler ilgili satırın kaç puan üzerinden hesaplandığını gösterir.                                      Örn: Midterm 100 puan üzerinden değerlendirildi, toplam ders puanına da %30 etki etti.</t>
  </si>
  <si>
    <t>Total</t>
  </si>
  <si>
    <t>PÇ1</t>
  </si>
  <si>
    <t>PÇ2</t>
  </si>
  <si>
    <t>PÇ3</t>
  </si>
  <si>
    <t>PÇ4</t>
  </si>
  <si>
    <t>PÇ5</t>
  </si>
  <si>
    <t>PÇ6</t>
  </si>
  <si>
    <t>PÇ7</t>
  </si>
  <si>
    <t>PÇ8</t>
  </si>
  <si>
    <t>PÇ9</t>
  </si>
  <si>
    <t>PÇ10</t>
  </si>
  <si>
    <t>PÇ11</t>
  </si>
  <si>
    <t>DÇ1</t>
  </si>
  <si>
    <t>DÇ2</t>
  </si>
  <si>
    <t>DÇ3</t>
  </si>
  <si>
    <t>DÇ4</t>
  </si>
  <si>
    <t>* Bu tablo otomatik doldurulur ve değiştirilemez. Sadece yönetim kararı ile değiştirilebilir. Kutucuklar işaretli ise ilgili değerler yanına yazılır. (MAIN'de bulunur.) Dönem sonu derslerin ortalamasını hesaplarken bu tablodan veri alınır.</t>
  </si>
  <si>
    <t>DERS ÇIKTILARI</t>
  </si>
  <si>
    <t>DERS ÇIKTISI ADI</t>
  </si>
  <si>
    <t>Çıktı-1</t>
  </si>
  <si>
    <t xml:space="preserve">*Bu tabloda ders çıktısı bilgileri otomatik olarak alt sayfalara doldurulur. </t>
  </si>
  <si>
    <t>Çıktı-2</t>
  </si>
  <si>
    <t>Çıktı-3</t>
  </si>
  <si>
    <t>Çıktı-4</t>
  </si>
  <si>
    <t>Örn: Midterm Verileri olsun</t>
  </si>
  <si>
    <t>Ders Çıktıları</t>
  </si>
  <si>
    <t>TOPLAM</t>
  </si>
  <si>
    <t>TOTAL DÇ</t>
  </si>
  <si>
    <t>CONTRIBUTION</t>
  </si>
  <si>
    <t>Bu tablodaki veriler otomatik olarak güncellenir.</t>
  </si>
  <si>
    <t>DÇ DAĞILIMI VE DÇ BİLGİSİ</t>
  </si>
  <si>
    <t>DÇ KATSAYISI</t>
  </si>
  <si>
    <t>Öğrenci DÇ Katkısı</t>
  </si>
  <si>
    <t>Bu veriler alt tablolardan otomatik olarak çekilir. İlk olarak 0/0 engellenir. Sonra da verilerin doğru bir şekilde hesaplanmasını sağlar.</t>
  </si>
  <si>
    <t>Number</t>
  </si>
  <si>
    <t>Student No</t>
  </si>
  <si>
    <t>Student Name</t>
  </si>
  <si>
    <t>Student Surname</t>
  </si>
  <si>
    <t>DÇ-1</t>
  </si>
  <si>
    <t>DÇ-2</t>
  </si>
  <si>
    <t>DÇ-3</t>
  </si>
  <si>
    <t>DÇ-4</t>
  </si>
  <si>
    <t>Her sayfada dersin belli başlığının çan eğrisini gösteren bir grafik vardır. Bunları düzgün kullanmak için total grades sütununu küçükten büyüğe ya da büyükten küçüğe sıralamanız lazımdır. Yoksa grafik düzgün bir çan eğrisi göstermez.</t>
  </si>
  <si>
    <t xml:space="preserve">Grafikte görülen 1-2-3…30 diye giden sayılar öğrencilerin student no'sudur. </t>
  </si>
  <si>
    <t>HESAPLAMALARDA KULLANILAN FORMÜLLER VE AÇIKLAMALARI</t>
  </si>
  <si>
    <t>MAIN PAGE</t>
  </si>
  <si>
    <t>Explaining:</t>
  </si>
  <si>
    <t>This calculation will result between 0 and 1.</t>
  </si>
  <si>
    <t>MIDTERM/FINAL/HOMEWORK/LAB</t>
  </si>
  <si>
    <t>STUDENT ID</t>
  </si>
  <si>
    <t>Name</t>
  </si>
  <si>
    <t>Surname</t>
  </si>
  <si>
    <t>TOTAL GRADE</t>
  </si>
  <si>
    <t>CENG-XXX OVERALL STUDENT AND COURSE DATA</t>
  </si>
  <si>
    <t>GENEL PUAN/NOT TABLOSU</t>
  </si>
  <si>
    <t>Normal Dist.</t>
  </si>
  <si>
    <t>* To use the graph select total points from the main tablo and order it by smallest to biggest.</t>
  </si>
  <si>
    <t>Mean</t>
  </si>
  <si>
    <t>Variance</t>
  </si>
  <si>
    <t>DÇ-5</t>
  </si>
  <si>
    <t>DÇ-6</t>
  </si>
  <si>
    <t>DÇ-7</t>
  </si>
  <si>
    <t>DÇ-8</t>
  </si>
  <si>
    <t>DÇ-9</t>
  </si>
  <si>
    <t>DÇ-10</t>
  </si>
  <si>
    <t>Toplam DÇ</t>
  </si>
  <si>
    <t>Çıktı-5</t>
  </si>
  <si>
    <t>Çıktı-6</t>
  </si>
  <si>
    <t>Çıktı-7</t>
  </si>
  <si>
    <t>Çıktı-8</t>
  </si>
  <si>
    <t>Çıktı-9</t>
  </si>
  <si>
    <t>Çıktı-10</t>
  </si>
  <si>
    <t>DERSİN TOPLAM DÇ ORANI</t>
  </si>
  <si>
    <t>Toplam Katkı</t>
  </si>
  <si>
    <t>DÇ VE PÇ İLİŞKİSİ</t>
  </si>
  <si>
    <t>DÇ5</t>
  </si>
  <si>
    <t>DÇ6</t>
  </si>
  <si>
    <t>DÇ7</t>
  </si>
  <si>
    <t>DÇ8</t>
  </si>
  <si>
    <t>DÇ9</t>
  </si>
  <si>
    <t>DÇ10</t>
  </si>
  <si>
    <t>CENG-XXX MIDTERM EXAM DATA</t>
  </si>
  <si>
    <t>TOT</t>
  </si>
  <si>
    <t>Normal Dist</t>
  </si>
  <si>
    <t>CENG-XXX FINAL EXAM DATA</t>
  </si>
  <si>
    <t>CENG-XXX HOMEWORK DATA</t>
  </si>
  <si>
    <t>HW1</t>
  </si>
  <si>
    <t>HW2</t>
  </si>
  <si>
    <t>HW3</t>
  </si>
  <si>
    <t>HW4</t>
  </si>
  <si>
    <t>HW5</t>
  </si>
  <si>
    <t>MEAN</t>
  </si>
  <si>
    <t>VARIANCE</t>
  </si>
  <si>
    <t>CENG-XXX LABWORK DATA</t>
  </si>
  <si>
    <t>LW1</t>
  </si>
  <si>
    <t>LW2</t>
  </si>
  <si>
    <t>LW3</t>
  </si>
  <si>
    <t>LW4</t>
  </si>
  <si>
    <t>LW5</t>
  </si>
  <si>
    <t>LW6</t>
  </si>
  <si>
    <t>LW7</t>
  </si>
  <si>
    <t>LW8</t>
  </si>
  <si>
    <t>LW9</t>
  </si>
  <si>
    <t>LW10</t>
  </si>
  <si>
    <t>LW11</t>
  </si>
  <si>
    <t>LW12</t>
  </si>
  <si>
    <t>LW13</t>
  </si>
  <si>
    <t>LW14</t>
  </si>
  <si>
    <t>TOTAL2</t>
  </si>
  <si>
    <t>POINTS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</si>
</sst>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000000"/>
    <numFmt numFmtId="165" formatCode="0.00000000"/>
  </numFmts>
  <fonts count="27" x14ac:knownFonts="1">
    <font>
      <sz val="11"/>
      <color theme="1"/>
      <name val="Calibri"/>
      <family val="2"/>
      <scheme val="minor"/>
    </font>
    <font>
      <sz val="11"/>
      <color rgb="FF006100"/>
      <name val="Calibri"/>
      <family val="2"/>
      <charset val="162"/>
      <scheme val="minor"/>
    </font>
    <font>
      <sz val="11"/>
      <color rgb="FF9C5700"/>
      <name val="Calibri"/>
      <family val="2"/>
      <charset val="162"/>
      <scheme val="minor"/>
    </font>
    <font>
      <b/>
      <sz val="11"/>
      <color theme="0"/>
      <name val="Calibri"/>
      <family val="2"/>
      <charset val="162"/>
      <scheme val="minor"/>
    </font>
    <font>
      <sz val="11"/>
      <color theme="1"/>
      <name val="Calibri"/>
      <family val="2"/>
      <charset val="162"/>
    </font>
    <font>
      <sz val="11"/>
      <name val="Calibri"/>
      <charset val="1"/>
    </font>
    <font>
      <b/>
      <sz val="11"/>
      <name val="Calibri"/>
      <family val="2"/>
      <charset val="162"/>
    </font>
    <font>
      <sz val="11"/>
      <name val="Calibri"/>
      <family val="2"/>
      <charset val="162"/>
    </font>
    <font>
      <b/>
      <sz val="11"/>
      <name val="Calibri"/>
      <family val="2"/>
      <charset val="1"/>
    </font>
    <font>
      <sz val="10"/>
      <name val="Noto Sans"/>
      <family val="2"/>
      <charset val="1"/>
    </font>
    <font>
      <sz val="11"/>
      <color theme="1" tint="0.249977111117893"/>
      <name val="Calibri"/>
      <family val="2"/>
      <charset val="162"/>
    </font>
    <font>
      <sz val="10"/>
      <color theme="1" tint="0.249977111117893"/>
      <name val="Noto Sans"/>
      <family val="2"/>
      <charset val="1"/>
    </font>
    <font>
      <sz val="11"/>
      <name val="Calibri"/>
      <family val="2"/>
      <charset val="1"/>
    </font>
    <font>
      <sz val="20"/>
      <name val="Calibri"/>
      <family val="2"/>
      <charset val="162"/>
    </font>
    <font>
      <sz val="24"/>
      <name val="Calibri"/>
      <family val="2"/>
      <charset val="162"/>
    </font>
    <font>
      <b/>
      <sz val="11"/>
      <color theme="0"/>
      <name val="Calibri"/>
      <family val="2"/>
      <charset val="162"/>
    </font>
    <font>
      <sz val="16"/>
      <name val="Calibri"/>
      <family val="2"/>
      <charset val="162"/>
    </font>
    <font>
      <sz val="22"/>
      <name val="Calibri"/>
      <family val="2"/>
      <charset val="162"/>
    </font>
    <font>
      <b/>
      <sz val="11"/>
      <color theme="0"/>
      <name val="Calibri"/>
      <family val="2"/>
      <charset val="1"/>
    </font>
    <font>
      <b/>
      <sz val="9"/>
      <color indexed="81"/>
      <name val="Tahoma"/>
      <family val="2"/>
      <charset val="162"/>
    </font>
    <font>
      <sz val="9"/>
      <color indexed="81"/>
      <name val="Tahoma"/>
      <family val="2"/>
      <charset val="162"/>
    </font>
    <font>
      <sz val="26"/>
      <name val="Calibri"/>
      <family val="2"/>
      <charset val="162"/>
    </font>
    <font>
      <b/>
      <i/>
      <sz val="11"/>
      <name val="Calibri"/>
      <family val="2"/>
      <charset val="162"/>
    </font>
    <font>
      <sz val="12"/>
      <name val="Calibri"/>
      <family val="2"/>
      <charset val="162"/>
    </font>
    <font>
      <sz val="11"/>
      <color theme="0"/>
      <name val="Calibri"/>
      <family val="2"/>
      <charset val="162"/>
    </font>
    <font>
      <b/>
      <sz val="11"/>
      <name val="Calibri"/>
      <family val="2"/>
    </font>
    <font>
      <sz val="11"/>
      <name val="Calibri"/>
      <family val="2"/>
    </font>
  </fonts>
  <fills count="21">
    <fill>
      <patternFill patternType="none"/>
    </fill>
    <fill>
      <patternFill patternType="gray125"/>
    </fill>
    <fill>
      <patternFill patternType="solid">
        <fgColor rgb="FFC6EFCE"/>
      </patternFill>
    </fill>
    <fill>
      <patternFill patternType="solid">
        <fgColor rgb="FFFFEB9C"/>
      </patternFill>
    </fill>
    <fill>
      <patternFill patternType="solid">
        <fgColor rgb="FFA5A5A5"/>
      </patternFill>
    </fill>
    <fill>
      <patternFill patternType="solid">
        <fgColor theme="4" tint="0.39997558519241921"/>
        <bgColor indexed="64"/>
      </patternFill>
    </fill>
    <fill>
      <patternFill patternType="solid">
        <fgColor theme="7" tint="0.59999389629810485"/>
        <bgColor indexed="64"/>
      </patternFill>
    </fill>
    <fill>
      <patternFill patternType="solid">
        <fgColor theme="7" tint="0.79998168889431442"/>
        <bgColor indexed="64"/>
      </patternFill>
    </fill>
    <fill>
      <patternFill patternType="solid">
        <fgColor theme="8" tint="0.59999389629810485"/>
        <bgColor theme="8" tint="0.59999389629810485"/>
      </patternFill>
    </fill>
    <fill>
      <patternFill patternType="solid">
        <fgColor rgb="FFFF0000"/>
        <bgColor indexed="64"/>
      </patternFill>
    </fill>
    <fill>
      <patternFill patternType="solid">
        <fgColor theme="7" tint="0.39997558519241921"/>
        <bgColor indexed="64"/>
      </patternFill>
    </fill>
    <fill>
      <patternFill patternType="solid">
        <fgColor theme="1" tint="0.249977111117893"/>
        <bgColor indexed="64"/>
      </patternFill>
    </fill>
    <fill>
      <patternFill patternType="solid">
        <fgColor theme="5" tint="0.59999389629810485"/>
        <bgColor indexed="64"/>
      </patternFill>
    </fill>
    <fill>
      <patternFill patternType="solid">
        <fgColor rgb="FFFFFF00"/>
        <bgColor indexed="64"/>
      </patternFill>
    </fill>
    <fill>
      <patternFill patternType="solid">
        <fgColor theme="5"/>
        <bgColor theme="5"/>
      </patternFill>
    </fill>
    <fill>
      <patternFill patternType="solid">
        <fgColor theme="5" tint="0.79998168889431442"/>
        <bgColor theme="5" tint="0.79998168889431442"/>
      </patternFill>
    </fill>
    <fill>
      <patternFill patternType="solid">
        <fgColor theme="4" tint="0.59999389629810485"/>
        <bgColor indexed="64"/>
      </patternFill>
    </fill>
    <fill>
      <patternFill patternType="solid">
        <fgColor theme="9" tint="0.59999389629810485"/>
        <bgColor indexed="64"/>
      </patternFill>
    </fill>
    <fill>
      <patternFill patternType="solid">
        <fgColor theme="8"/>
        <bgColor theme="8"/>
      </patternFill>
    </fill>
    <fill>
      <patternFill patternType="solid">
        <fgColor theme="8" tint="0.79998168889431442"/>
        <bgColor theme="8" tint="0.79998168889431442"/>
      </patternFill>
    </fill>
    <fill>
      <patternFill patternType="solid">
        <fgColor rgb="FFD9D9D9"/>
        <bgColor rgb="FFC0C0C0"/>
      </patternFill>
    </fill>
  </fills>
  <borders count="20">
    <border>
      <left/>
      <right/>
      <top/>
      <bottom/>
      <diagonal/>
    </border>
    <border>
      <left style="double">
        <color rgb="FF3F3F3F"/>
      </left>
      <right style="double">
        <color rgb="FF3F3F3F"/>
      </right>
      <top style="double">
        <color rgb="FF3F3F3F"/>
      </top>
      <bottom style="double">
        <color rgb="FF3F3F3F"/>
      </bottom>
      <diagonal/>
    </border>
    <border>
      <left style="thin">
        <color theme="0"/>
      </left>
      <right/>
      <top style="thin">
        <color theme="0"/>
      </top>
      <bottom style="thin">
        <color theme="0"/>
      </bottom>
      <diagonal/>
    </border>
    <border>
      <left/>
      <right/>
      <top style="thin">
        <color theme="0"/>
      </top>
      <bottom style="thin">
        <color theme="0"/>
      </bottom>
      <diagonal/>
    </border>
    <border>
      <left/>
      <right style="thin">
        <color theme="0"/>
      </right>
      <top style="thin">
        <color theme="0"/>
      </top>
      <bottom style="thin">
        <color theme="0"/>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top style="thin">
        <color indexed="64"/>
      </top>
      <bottom/>
      <diagonal/>
    </border>
    <border>
      <left/>
      <right/>
      <top style="thin">
        <color theme="5" tint="0.39997558519241921"/>
      </top>
      <bottom style="thin">
        <color theme="5" tint="0.39997558519241921"/>
      </bottom>
      <diagonal/>
    </border>
    <border>
      <left style="thin">
        <color theme="8" tint="0.39997558519241921"/>
      </left>
      <right/>
      <top style="thin">
        <color theme="8" tint="0.39997558519241921"/>
      </top>
      <bottom style="thin">
        <color theme="8" tint="0.39997558519241921"/>
      </bottom>
      <diagonal/>
    </border>
    <border>
      <left/>
      <right/>
      <top style="thin">
        <color theme="8" tint="0.39997558519241921"/>
      </top>
      <bottom style="thin">
        <color theme="8" tint="0.39997558519241921"/>
      </bottom>
      <diagonal/>
    </border>
    <border>
      <left/>
      <right style="thin">
        <color theme="8" tint="0.39997558519241921"/>
      </right>
      <top style="thin">
        <color theme="8" tint="0.39997558519241921"/>
      </top>
      <bottom style="thin">
        <color theme="8" tint="0.39997558519241921"/>
      </bottom>
      <diagonal/>
    </border>
    <border>
      <left/>
      <right style="thin">
        <color theme="5" tint="0.39997558519241921"/>
      </right>
      <top style="thin">
        <color theme="5" tint="0.39997558519241921"/>
      </top>
      <bottom style="thin">
        <color theme="5" tint="0.39997558519241921"/>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double">
        <color rgb="FF3F3F3F"/>
      </left>
      <right style="double">
        <color rgb="FF3F3F3F"/>
      </right>
      <top style="double">
        <color rgb="FF3F3F3F"/>
      </top>
      <bottom/>
      <diagonal/>
    </border>
    <border>
      <left style="thin">
        <color theme="0"/>
      </left>
      <right/>
      <top style="thin">
        <color theme="8" tint="0.39997558519241921"/>
      </top>
      <bottom style="thin">
        <color theme="8" tint="0.39997558519241921"/>
      </bottom>
      <diagonal/>
    </border>
  </borders>
  <cellStyleXfs count="5">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1" applyNumberFormat="0" applyAlignment="0" applyProtection="0"/>
    <xf numFmtId="0" fontId="5" fillId="0" borderId="0"/>
  </cellStyleXfs>
  <cellXfs count="141">
    <xf numFmtId="0" fontId="0" fillId="0" borderId="0" xfId="0"/>
    <xf numFmtId="0" fontId="5" fillId="0" borderId="0" xfId="4" applyAlignment="1">
      <alignment horizontal="center" vertical="center"/>
    </xf>
    <xf numFmtId="0" fontId="6" fillId="0" borderId="0" xfId="4" applyFont="1" applyAlignment="1">
      <alignment horizontal="center" vertical="center"/>
    </xf>
    <xf numFmtId="2" fontId="6" fillId="0" borderId="0" xfId="4" applyNumberFormat="1" applyFont="1" applyAlignment="1">
      <alignment horizontal="center" vertical="center"/>
    </xf>
    <xf numFmtId="0" fontId="7" fillId="0" borderId="0" xfId="4" applyFont="1" applyAlignment="1">
      <alignment horizontal="center" wrapText="1"/>
    </xf>
    <xf numFmtId="0" fontId="5" fillId="0" borderId="0" xfId="4"/>
    <xf numFmtId="0" fontId="7" fillId="0" borderId="0" xfId="4" applyFont="1"/>
    <xf numFmtId="0" fontId="2" fillId="3" borderId="0" xfId="2"/>
    <xf numFmtId="0" fontId="3" fillId="4" borderId="1" xfId="3"/>
    <xf numFmtId="0" fontId="3" fillId="4" borderId="1" xfId="3" applyAlignment="1">
      <alignment horizontal="center"/>
    </xf>
    <xf numFmtId="0" fontId="8" fillId="0" borderId="0" xfId="4" applyFont="1" applyAlignment="1">
      <alignment horizontal="center" vertical="center"/>
    </xf>
    <xf numFmtId="0" fontId="8" fillId="0" borderId="0" xfId="4" applyFont="1" applyAlignment="1">
      <alignment horizontal="center"/>
    </xf>
    <xf numFmtId="0" fontId="3" fillId="4" borderId="1" xfId="3" applyAlignment="1">
      <alignment horizontal="center" vertical="center"/>
    </xf>
    <xf numFmtId="2" fontId="5" fillId="0" borderId="0" xfId="4" applyNumberFormat="1" applyAlignment="1">
      <alignment horizontal="center" vertical="center"/>
    </xf>
    <xf numFmtId="0" fontId="5" fillId="0" borderId="0" xfId="4" applyAlignment="1">
      <alignment horizontal="center"/>
    </xf>
    <xf numFmtId="0" fontId="5" fillId="9" borderId="0" xfId="4" applyFill="1" applyAlignment="1">
      <alignment horizontal="center"/>
    </xf>
    <xf numFmtId="1" fontId="5" fillId="10" borderId="5" xfId="4" applyNumberFormat="1" applyFill="1" applyBorder="1" applyAlignment="1">
      <alignment horizontal="center" vertical="center"/>
    </xf>
    <xf numFmtId="1" fontId="5" fillId="10" borderId="8" xfId="4" applyNumberFormat="1" applyFill="1" applyBorder="1" applyAlignment="1">
      <alignment horizontal="center" vertical="center"/>
    </xf>
    <xf numFmtId="0" fontId="10" fillId="11" borderId="9" xfId="4" applyFont="1" applyFill="1" applyBorder="1"/>
    <xf numFmtId="0" fontId="5" fillId="6" borderId="9" xfId="4" applyFill="1" applyBorder="1" applyAlignment="1">
      <alignment horizontal="center" vertical="center"/>
    </xf>
    <xf numFmtId="0" fontId="10" fillId="11" borderId="9" xfId="4" applyFont="1" applyFill="1" applyBorder="1" applyAlignment="1">
      <alignment horizontal="center" vertical="center"/>
    </xf>
    <xf numFmtId="0" fontId="11" fillId="11" borderId="9" xfId="4" applyFont="1" applyFill="1" applyBorder="1" applyAlignment="1">
      <alignment horizontal="center" vertical="center"/>
    </xf>
    <xf numFmtId="0" fontId="10" fillId="11" borderId="6" xfId="4" applyFont="1" applyFill="1" applyBorder="1"/>
    <xf numFmtId="0" fontId="5" fillId="6" borderId="6" xfId="4" applyFill="1" applyBorder="1" applyAlignment="1">
      <alignment horizontal="center" vertical="center"/>
    </xf>
    <xf numFmtId="0" fontId="10" fillId="11" borderId="6" xfId="4" applyFont="1" applyFill="1" applyBorder="1" applyAlignment="1">
      <alignment horizontal="center" vertical="center"/>
    </xf>
    <xf numFmtId="0" fontId="11" fillId="11" borderId="6" xfId="4" applyFont="1" applyFill="1" applyBorder="1" applyAlignment="1">
      <alignment horizontal="center" vertical="center"/>
    </xf>
    <xf numFmtId="1" fontId="5" fillId="0" borderId="8" xfId="4" applyNumberFormat="1" applyBorder="1" applyAlignment="1">
      <alignment horizontal="center" vertical="center"/>
    </xf>
    <xf numFmtId="0" fontId="8" fillId="0" borderId="0" xfId="4" applyFont="1"/>
    <xf numFmtId="0" fontId="7" fillId="0" borderId="0" xfId="4" applyFont="1" applyAlignment="1">
      <alignment wrapText="1"/>
    </xf>
    <xf numFmtId="0" fontId="7" fillId="0" borderId="0" xfId="4" applyFont="1" applyAlignment="1">
      <alignment horizontal="center"/>
    </xf>
    <xf numFmtId="0" fontId="12" fillId="0" borderId="0" xfId="4" applyFont="1" applyAlignment="1">
      <alignment horizontal="center" vertical="center"/>
    </xf>
    <xf numFmtId="0" fontId="6" fillId="0" borderId="0" xfId="4" applyFont="1" applyAlignment="1">
      <alignment horizontal="center"/>
    </xf>
    <xf numFmtId="2" fontId="7" fillId="0" borderId="0" xfId="4" applyNumberFormat="1" applyFont="1" applyAlignment="1">
      <alignment horizontal="center" vertical="center"/>
    </xf>
    <xf numFmtId="2" fontId="3" fillId="4" borderId="1" xfId="3" applyNumberFormat="1" applyAlignment="1">
      <alignment horizontal="center"/>
    </xf>
    <xf numFmtId="164" fontId="3" fillId="4" borderId="1" xfId="3" applyNumberFormat="1" applyAlignment="1">
      <alignment horizontal="center"/>
    </xf>
    <xf numFmtId="2" fontId="5" fillId="0" borderId="0" xfId="4" applyNumberFormat="1" applyAlignment="1">
      <alignment horizontal="center"/>
    </xf>
    <xf numFmtId="0" fontId="2" fillId="3" borderId="0" xfId="2" applyAlignment="1">
      <alignment horizontal="center"/>
    </xf>
    <xf numFmtId="2" fontId="7" fillId="0" borderId="0" xfId="4" applyNumberFormat="1" applyFont="1" applyAlignment="1">
      <alignment horizontal="center"/>
    </xf>
    <xf numFmtId="0" fontId="14" fillId="0" borderId="0" xfId="4" applyFont="1" applyAlignment="1">
      <alignment wrapText="1"/>
    </xf>
    <xf numFmtId="0" fontId="15" fillId="14" borderId="11" xfId="4" applyFont="1" applyFill="1" applyBorder="1" applyAlignment="1">
      <alignment horizontal="center" vertical="center"/>
    </xf>
    <xf numFmtId="0" fontId="4" fillId="15" borderId="11" xfId="4" applyFont="1" applyFill="1" applyBorder="1" applyAlignment="1">
      <alignment horizontal="center" vertical="center"/>
    </xf>
    <xf numFmtId="0" fontId="4" fillId="0" borderId="11" xfId="4" applyFont="1" applyBorder="1" applyAlignment="1">
      <alignment horizontal="center" vertical="center"/>
    </xf>
    <xf numFmtId="0" fontId="7" fillId="17" borderId="0" xfId="4" applyFont="1" applyFill="1"/>
    <xf numFmtId="0" fontId="5" fillId="0" borderId="0" xfId="4" applyAlignment="1">
      <alignment vertical="center"/>
    </xf>
    <xf numFmtId="0" fontId="13" fillId="0" borderId="0" xfId="4" applyFont="1"/>
    <xf numFmtId="0" fontId="5" fillId="17" borderId="0" xfId="4" applyFill="1"/>
    <xf numFmtId="0" fontId="7" fillId="0" borderId="0" xfId="4" applyFont="1" applyAlignment="1">
      <alignment horizontal="center" vertical="center"/>
    </xf>
    <xf numFmtId="0" fontId="15" fillId="18" borderId="12" xfId="4" applyFont="1" applyFill="1" applyBorder="1" applyAlignment="1">
      <alignment horizontal="center"/>
    </xf>
    <xf numFmtId="0" fontId="15" fillId="18" borderId="13" xfId="4" applyFont="1" applyFill="1" applyBorder="1" applyAlignment="1">
      <alignment horizontal="center"/>
    </xf>
    <xf numFmtId="0" fontId="18" fillId="18" borderId="13" xfId="4" applyFont="1" applyFill="1" applyBorder="1" applyAlignment="1">
      <alignment horizontal="center" vertical="center"/>
    </xf>
    <xf numFmtId="0" fontId="18" fillId="18" borderId="13" xfId="4" applyFont="1" applyFill="1" applyBorder="1" applyAlignment="1">
      <alignment horizontal="center"/>
    </xf>
    <xf numFmtId="0" fontId="4" fillId="19" borderId="12" xfId="4" applyFont="1" applyFill="1" applyBorder="1" applyAlignment="1">
      <alignment horizontal="center"/>
    </xf>
    <xf numFmtId="1" fontId="4" fillId="19" borderId="13" xfId="4" applyNumberFormat="1" applyFont="1" applyFill="1" applyBorder="1" applyAlignment="1">
      <alignment horizontal="center" vertical="center"/>
    </xf>
    <xf numFmtId="0" fontId="4" fillId="19" borderId="13" xfId="4" applyFont="1" applyFill="1" applyBorder="1" applyAlignment="1">
      <alignment horizontal="center" vertical="center"/>
    </xf>
    <xf numFmtId="2" fontId="1" fillId="2" borderId="1" xfId="1" applyNumberFormat="1" applyBorder="1" applyAlignment="1">
      <alignment horizontal="center" vertical="center"/>
    </xf>
    <xf numFmtId="0" fontId="15" fillId="18" borderId="12" xfId="4" applyFont="1" applyFill="1" applyBorder="1"/>
    <xf numFmtId="0" fontId="15" fillId="18" borderId="14" xfId="4" applyFont="1" applyFill="1" applyBorder="1"/>
    <xf numFmtId="2" fontId="4" fillId="19" borderId="13" xfId="4" applyNumberFormat="1" applyFont="1" applyFill="1" applyBorder="1" applyAlignment="1">
      <alignment horizontal="center" vertical="center"/>
    </xf>
    <xf numFmtId="164" fontId="3" fillId="17" borderId="1" xfId="3" applyNumberFormat="1" applyFill="1" applyAlignment="1">
      <alignment horizontal="center"/>
    </xf>
    <xf numFmtId="0" fontId="15" fillId="14" borderId="15" xfId="4" applyFont="1" applyFill="1" applyBorder="1" applyAlignment="1">
      <alignment horizontal="center" vertical="center"/>
    </xf>
    <xf numFmtId="0" fontId="4" fillId="15" borderId="15" xfId="4" applyFont="1" applyFill="1" applyBorder="1" applyAlignment="1">
      <alignment horizontal="center" vertical="center"/>
    </xf>
    <xf numFmtId="1" fontId="7" fillId="0" borderId="0" xfId="4" applyNumberFormat="1" applyFont="1" applyAlignment="1">
      <alignment horizontal="center" vertical="center"/>
    </xf>
    <xf numFmtId="0" fontId="9" fillId="0" borderId="0" xfId="4" applyFont="1" applyAlignment="1">
      <alignment horizontal="center" vertical="center"/>
    </xf>
    <xf numFmtId="2" fontId="2" fillId="3" borderId="0" xfId="2" applyNumberFormat="1" applyAlignment="1">
      <alignment horizontal="center" vertical="center"/>
    </xf>
    <xf numFmtId="0" fontId="4" fillId="0" borderId="15" xfId="4" applyFont="1" applyBorder="1" applyAlignment="1">
      <alignment horizontal="center" vertical="center"/>
    </xf>
    <xf numFmtId="0" fontId="22" fillId="0" borderId="0" xfId="4" applyFont="1"/>
    <xf numFmtId="1" fontId="5" fillId="0" borderId="0" xfId="4" applyNumberFormat="1" applyAlignment="1">
      <alignment horizontal="center" vertical="center"/>
    </xf>
    <xf numFmtId="2" fontId="5" fillId="0" borderId="0" xfId="4" applyNumberFormat="1"/>
    <xf numFmtId="0" fontId="23" fillId="0" borderId="0" xfId="4" applyFont="1" applyAlignment="1">
      <alignment horizontal="center"/>
    </xf>
    <xf numFmtId="0" fontId="9" fillId="6" borderId="9" xfId="4" applyFont="1" applyFill="1" applyBorder="1" applyAlignment="1">
      <alignment horizontal="center" vertical="center"/>
    </xf>
    <xf numFmtId="0" fontId="5" fillId="6" borderId="17" xfId="4" applyFill="1" applyBorder="1" applyAlignment="1">
      <alignment horizontal="center" vertical="center"/>
    </xf>
    <xf numFmtId="1" fontId="7" fillId="10" borderId="8" xfId="4" applyNumberFormat="1" applyFont="1" applyFill="1" applyBorder="1" applyAlignment="1">
      <alignment horizontal="center" vertical="center"/>
    </xf>
    <xf numFmtId="1" fontId="7" fillId="10" borderId="5" xfId="4" applyNumberFormat="1" applyFont="1" applyFill="1" applyBorder="1" applyAlignment="1">
      <alignment horizontal="center" vertical="center"/>
    </xf>
    <xf numFmtId="0" fontId="21" fillId="0" borderId="0" xfId="4" applyFont="1" applyAlignment="1">
      <alignment vertical="center"/>
    </xf>
    <xf numFmtId="2" fontId="3" fillId="4" borderId="1" xfId="3" applyNumberFormat="1" applyAlignment="1">
      <alignment horizontal="center" vertical="center"/>
    </xf>
    <xf numFmtId="0" fontId="15" fillId="4" borderId="1" xfId="3" applyFont="1" applyAlignment="1">
      <alignment horizontal="center" vertical="center"/>
    </xf>
    <xf numFmtId="0" fontId="24" fillId="4" borderId="1" xfId="3" applyFont="1" applyAlignment="1">
      <alignment horizontal="center" vertical="center"/>
    </xf>
    <xf numFmtId="0" fontId="4" fillId="0" borderId="12" xfId="4" applyFont="1" applyBorder="1" applyAlignment="1">
      <alignment horizontal="center"/>
    </xf>
    <xf numFmtId="164" fontId="3" fillId="4" borderId="18" xfId="3" applyNumberFormat="1" applyBorder="1" applyAlignment="1">
      <alignment horizontal="center"/>
    </xf>
    <xf numFmtId="2" fontId="3" fillId="4" borderId="18" xfId="3" applyNumberFormat="1" applyBorder="1" applyAlignment="1">
      <alignment horizontal="center"/>
    </xf>
    <xf numFmtId="2" fontId="3" fillId="4" borderId="18" xfId="3" applyNumberFormat="1" applyBorder="1" applyAlignment="1">
      <alignment horizontal="center" vertical="center"/>
    </xf>
    <xf numFmtId="0" fontId="12" fillId="0" borderId="0" xfId="4" applyFont="1" applyAlignment="1">
      <alignment horizontal="center"/>
    </xf>
    <xf numFmtId="164" fontId="3" fillId="4" borderId="18" xfId="3" applyNumberFormat="1" applyBorder="1" applyAlignment="1">
      <alignment horizontal="center" vertical="center"/>
    </xf>
    <xf numFmtId="0" fontId="25" fillId="0" borderId="0" xfId="4" applyFont="1"/>
    <xf numFmtId="0" fontId="25" fillId="0" borderId="0" xfId="4" applyFont="1" applyAlignment="1">
      <alignment horizontal="center"/>
    </xf>
    <xf numFmtId="2" fontId="26" fillId="0" borderId="0" xfId="4" applyNumberFormat="1" applyFont="1" applyAlignment="1">
      <alignment horizontal="center"/>
    </xf>
    <xf numFmtId="0" fontId="12" fillId="0" borderId="0" xfId="4" applyFont="1"/>
    <xf numFmtId="0" fontId="26" fillId="0" borderId="0" xfId="4" applyFont="1" applyAlignment="1">
      <alignment horizontal="center"/>
    </xf>
    <xf numFmtId="0" fontId="5" fillId="20" borderId="0" xfId="4" applyFill="1" applyAlignment="1">
      <alignment horizontal="center" vertical="center"/>
    </xf>
    <xf numFmtId="0" fontId="15" fillId="18" borderId="19" xfId="4" applyFont="1" applyFill="1" applyBorder="1" applyAlignment="1">
      <alignment horizontal="center" vertical="center"/>
    </xf>
    <xf numFmtId="0" fontId="6" fillId="0" borderId="0" xfId="4" applyFont="1"/>
    <xf numFmtId="0" fontId="4" fillId="19" borderId="19" xfId="4" applyFont="1" applyFill="1" applyBorder="1" applyAlignment="1">
      <alignment horizontal="center"/>
    </xf>
    <xf numFmtId="0" fontId="3" fillId="4" borderId="1" xfId="3" applyNumberFormat="1"/>
    <xf numFmtId="0" fontId="4" fillId="0" borderId="19" xfId="4" applyFont="1" applyBorder="1" applyAlignment="1">
      <alignment horizontal="center"/>
    </xf>
    <xf numFmtId="0" fontId="15" fillId="0" borderId="0" xfId="4" applyFont="1" applyAlignment="1">
      <alignment horizontal="center"/>
    </xf>
    <xf numFmtId="165" fontId="3" fillId="4" borderId="1" xfId="3" applyNumberFormat="1" applyAlignment="1">
      <alignment horizontal="center"/>
    </xf>
    <xf numFmtId="165" fontId="3" fillId="4" borderId="18" xfId="3" applyNumberFormat="1" applyBorder="1" applyAlignment="1">
      <alignment horizontal="center"/>
    </xf>
    <xf numFmtId="164" fontId="5" fillId="0" borderId="0" xfId="4" applyNumberFormat="1" applyAlignment="1">
      <alignment horizontal="center"/>
    </xf>
    <xf numFmtId="165" fontId="5" fillId="0" borderId="0" xfId="4" applyNumberFormat="1" applyAlignment="1">
      <alignment horizontal="center"/>
    </xf>
    <xf numFmtId="0" fontId="24" fillId="0" borderId="0" xfId="4" applyFont="1"/>
    <xf numFmtId="0" fontId="13" fillId="16" borderId="0" xfId="4" applyFont="1" applyFill="1" applyAlignment="1">
      <alignment horizontal="center"/>
    </xf>
    <xf numFmtId="0" fontId="5" fillId="17" borderId="0" xfId="4" applyFill="1" applyAlignment="1">
      <alignment horizontal="center"/>
    </xf>
    <xf numFmtId="0" fontId="5" fillId="0" borderId="0" xfId="4" applyAlignment="1">
      <alignment horizontal="center"/>
    </xf>
    <xf numFmtId="0" fontId="5" fillId="0" borderId="0" xfId="4" applyAlignment="1">
      <alignment horizontal="center" vertical="center"/>
    </xf>
    <xf numFmtId="0" fontId="7" fillId="6" borderId="0" xfId="4" applyFont="1" applyFill="1" applyAlignment="1">
      <alignment horizontal="center"/>
    </xf>
    <xf numFmtId="0" fontId="17" fillId="13" borderId="0" xfId="4" applyFont="1" applyFill="1" applyAlignment="1">
      <alignment horizontal="center"/>
    </xf>
    <xf numFmtId="0" fontId="14" fillId="16" borderId="0" xfId="4" applyFont="1" applyFill="1" applyAlignment="1">
      <alignment horizontal="center"/>
    </xf>
    <xf numFmtId="0" fontId="13" fillId="12" borderId="0" xfId="4" applyFont="1" applyFill="1" applyAlignment="1">
      <alignment horizontal="center"/>
    </xf>
    <xf numFmtId="0" fontId="7" fillId="0" borderId="0" xfId="4" applyFont="1" applyAlignment="1">
      <alignment horizontal="center" vertical="center"/>
    </xf>
    <xf numFmtId="0" fontId="16" fillId="6" borderId="0" xfId="4" applyFont="1" applyFill="1" applyAlignment="1">
      <alignment horizontal="center" wrapText="1"/>
    </xf>
    <xf numFmtId="0" fontId="7" fillId="10" borderId="6" xfId="4" applyFont="1" applyFill="1" applyBorder="1" applyAlignment="1">
      <alignment horizontal="center" vertical="center"/>
    </xf>
    <xf numFmtId="0" fontId="7" fillId="10" borderId="7" xfId="4" applyFont="1" applyFill="1" applyBorder="1" applyAlignment="1">
      <alignment horizontal="center" vertical="center"/>
    </xf>
    <xf numFmtId="0" fontId="7" fillId="12" borderId="10" xfId="4" applyFont="1" applyFill="1" applyBorder="1" applyAlignment="1">
      <alignment horizontal="center" wrapText="1"/>
    </xf>
    <xf numFmtId="0" fontId="7" fillId="0" borderId="0" xfId="4" applyFont="1" applyAlignment="1">
      <alignment horizontal="center" vertical="center" wrapText="1"/>
    </xf>
    <xf numFmtId="0" fontId="6" fillId="0" borderId="0" xfId="4" applyFont="1" applyAlignment="1">
      <alignment horizontal="center" wrapText="1"/>
    </xf>
    <xf numFmtId="0" fontId="7" fillId="13" borderId="0" xfId="4" applyFont="1" applyFill="1" applyAlignment="1">
      <alignment horizontal="center"/>
    </xf>
    <xf numFmtId="0" fontId="7" fillId="12" borderId="0" xfId="4" applyFont="1" applyFill="1" applyAlignment="1">
      <alignment horizontal="center"/>
    </xf>
    <xf numFmtId="0" fontId="5" fillId="12" borderId="0" xfId="4" applyFill="1" applyAlignment="1">
      <alignment horizontal="center"/>
    </xf>
    <xf numFmtId="0" fontId="14" fillId="0" borderId="0" xfId="4" applyFont="1" applyAlignment="1">
      <alignment horizontal="center" vertical="center" wrapText="1"/>
    </xf>
    <xf numFmtId="0" fontId="7" fillId="6" borderId="0" xfId="4" applyFont="1" applyFill="1" applyAlignment="1">
      <alignment horizontal="center" wrapText="1"/>
    </xf>
    <xf numFmtId="0" fontId="5" fillId="10" borderId="6" xfId="4" applyFill="1" applyBorder="1" applyAlignment="1">
      <alignment horizontal="center" vertical="center"/>
    </xf>
    <xf numFmtId="0" fontId="9" fillId="10" borderId="6" xfId="4" applyFont="1" applyFill="1" applyBorder="1" applyAlignment="1">
      <alignment horizontal="center" vertical="center"/>
    </xf>
    <xf numFmtId="0" fontId="6" fillId="5" borderId="0" xfId="4" applyFont="1" applyFill="1" applyAlignment="1">
      <alignment horizontal="center"/>
    </xf>
    <xf numFmtId="0" fontId="7" fillId="0" borderId="0" xfId="4" applyFont="1" applyAlignment="1">
      <alignment horizontal="center" wrapText="1"/>
    </xf>
    <xf numFmtId="0" fontId="7" fillId="7" borderId="0" xfId="4" applyFont="1" applyFill="1" applyAlignment="1">
      <alignment horizontal="center"/>
    </xf>
    <xf numFmtId="0" fontId="5" fillId="7" borderId="0" xfId="4" applyFill="1" applyAlignment="1">
      <alignment horizontal="center"/>
    </xf>
    <xf numFmtId="0" fontId="4" fillId="8" borderId="2" xfId="4" applyFont="1" applyFill="1" applyBorder="1" applyAlignment="1">
      <alignment horizontal="center"/>
    </xf>
    <xf numFmtId="0" fontId="4" fillId="8" borderId="3" xfId="4" applyFont="1" applyFill="1" applyBorder="1" applyAlignment="1">
      <alignment horizontal="center"/>
    </xf>
    <xf numFmtId="0" fontId="4" fillId="8" borderId="4" xfId="4" applyFont="1" applyFill="1" applyBorder="1" applyAlignment="1">
      <alignment horizontal="center"/>
    </xf>
    <xf numFmtId="0" fontId="7" fillId="7" borderId="0" xfId="4" applyFont="1" applyFill="1" applyAlignment="1">
      <alignment horizontal="center" vertical="center"/>
    </xf>
    <xf numFmtId="0" fontId="2" fillId="3" borderId="0" xfId="2" applyAlignment="1">
      <alignment horizontal="center" wrapText="1"/>
    </xf>
    <xf numFmtId="0" fontId="5" fillId="0" borderId="0" xfId="4" applyAlignment="1">
      <alignment horizontal="center" wrapText="1"/>
    </xf>
    <xf numFmtId="0" fontId="3" fillId="4" borderId="1" xfId="3" applyAlignment="1">
      <alignment horizontal="center"/>
    </xf>
    <xf numFmtId="0" fontId="7" fillId="10" borderId="16" xfId="4" applyFont="1" applyFill="1" applyBorder="1" applyAlignment="1">
      <alignment horizontal="center" vertical="center"/>
    </xf>
    <xf numFmtId="0" fontId="17" fillId="13" borderId="9" xfId="4" applyFont="1" applyFill="1" applyBorder="1" applyAlignment="1">
      <alignment horizontal="center" wrapText="1"/>
    </xf>
    <xf numFmtId="0" fontId="5" fillId="10" borderId="16" xfId="4" applyFill="1" applyBorder="1" applyAlignment="1">
      <alignment horizontal="center" vertical="center"/>
    </xf>
    <xf numFmtId="0" fontId="9" fillId="10" borderId="16" xfId="4" applyFont="1" applyFill="1" applyBorder="1" applyAlignment="1">
      <alignment horizontal="center" vertical="center"/>
    </xf>
    <xf numFmtId="0" fontId="21" fillId="0" borderId="0" xfId="4" applyFont="1" applyAlignment="1">
      <alignment horizontal="center" vertical="center"/>
    </xf>
    <xf numFmtId="0" fontId="16" fillId="12" borderId="0" xfId="4" applyFont="1" applyFill="1" applyAlignment="1">
      <alignment horizontal="center"/>
    </xf>
    <xf numFmtId="0" fontId="6" fillId="0" borderId="0" xfId="4" applyFont="1" applyAlignment="1">
      <alignment horizontal="center" vertical="center"/>
    </xf>
    <xf numFmtId="0" fontId="22" fillId="0" borderId="0" xfId="4" applyFont="1" applyAlignment="1">
      <alignment horizontal="center" vertical="center"/>
    </xf>
  </cellXfs>
  <cellStyles count="5">
    <cellStyle name="İşaretli Hücre" xfId="3" builtinId="23"/>
    <cellStyle name="İyi" xfId="1" builtinId="26"/>
    <cellStyle name="Normal" xfId="0" builtinId="0"/>
    <cellStyle name="Normal 2" xfId="4" xr:uid="{3FA426AB-8B49-485C-B0B8-D58A7A068E44}"/>
    <cellStyle name="Nötr" xfId="2" builtinId="28"/>
  </cellStyles>
  <dxfs count="426">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ont>
        <color rgb="FF9C0006"/>
      </font>
      <fill>
        <patternFill>
          <bgColor rgb="FFFF0000"/>
        </patternFill>
      </fill>
    </dxf>
    <dxf>
      <font>
        <color rgb="FF9C0006"/>
      </font>
      <fill>
        <patternFill patternType="solid">
          <bgColor rgb="FFFF0000"/>
        </patternFill>
      </fill>
    </dxf>
    <dxf>
      <fill>
        <patternFill patternType="solid">
          <bgColor rgb="FFFF0000"/>
        </patternFill>
      </fill>
    </dxf>
    <dxf>
      <fill>
        <patternFill>
          <bgColor rgb="FF92D050"/>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ill>
        <patternFill>
          <bgColor rgb="FF92D050"/>
        </patternFill>
      </fill>
    </dxf>
    <dxf>
      <font>
        <b val="0"/>
        <i val="0"/>
        <strike val="0"/>
        <condense val="0"/>
        <extend val="0"/>
        <outline val="0"/>
        <shadow val="0"/>
        <u val="none"/>
        <vertAlign val="baseline"/>
        <sz val="11"/>
        <color auto="1"/>
        <name val="Calibri"/>
        <family val="2"/>
        <charset val="162"/>
        <scheme val="none"/>
      </font>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1"/>
        <color auto="1"/>
        <name val="Calibri"/>
        <family val="2"/>
        <charset val="162"/>
        <scheme val="none"/>
      </font>
      <alignment horizontal="center" vertical="center" textRotation="0" wrapText="0" indent="0" justifyLastLine="0" shrinkToFit="0" readingOrder="0"/>
    </dxf>
    <dxf>
      <font>
        <b val="0"/>
        <i val="0"/>
        <strike val="0"/>
        <condense val="0"/>
        <extend val="0"/>
        <outline val="0"/>
        <shadow val="0"/>
        <u val="none"/>
        <vertAlign val="baseline"/>
        <sz val="11"/>
        <color auto="1"/>
        <name val="Calibri"/>
        <family val="2"/>
        <charset val="162"/>
        <scheme val="none"/>
      </font>
    </dxf>
    <dxf>
      <font>
        <b/>
        <i val="0"/>
        <strike val="0"/>
        <condense val="0"/>
        <extend val="0"/>
        <outline val="0"/>
        <shadow val="0"/>
        <u val="none"/>
        <vertAlign val="baseline"/>
        <sz val="11"/>
        <color auto="1"/>
        <name val="Calibri"/>
        <family val="2"/>
        <charset val="1"/>
        <scheme val="none"/>
      </font>
      <fill>
        <patternFill patternType="none">
          <fgColor indexed="64"/>
          <bgColor indexed="65"/>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Calibri"/>
        <family val="2"/>
        <charset val="162"/>
        <scheme val="none"/>
      </font>
      <fill>
        <patternFill patternType="none">
          <fgColor indexed="64"/>
          <bgColor indexed="65"/>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Calibri"/>
        <family val="2"/>
        <charset val="1"/>
        <scheme val="none"/>
      </font>
      <fill>
        <patternFill patternType="none">
          <fgColor indexed="64"/>
          <bgColor indexed="65"/>
        </patternFill>
      </fill>
      <alignment horizontal="center" vertical="center" textRotation="0" wrapText="0" indent="0" justifyLastLine="0" shrinkToFit="0" readingOrder="0"/>
    </dxf>
    <dxf>
      <font>
        <b/>
        <i val="0"/>
        <strike val="0"/>
        <condense val="0"/>
        <extend val="0"/>
        <outline val="0"/>
        <shadow val="0"/>
        <u val="none"/>
        <vertAlign val="baseline"/>
        <sz val="11"/>
        <color auto="1"/>
        <name val="Calibri"/>
        <family val="2"/>
        <charset val="1"/>
        <scheme val="none"/>
      </font>
      <fill>
        <patternFill patternType="none">
          <fgColor indexed="64"/>
          <bgColor indexed="65"/>
        </patternFill>
      </fill>
      <alignment horizontal="center" vertical="center" textRotation="0" wrapText="0" indent="0" justifyLastLine="0" shrinkToFit="0" readingOrder="0"/>
    </dxf>
    <dxf>
      <font>
        <b/>
        <i val="0"/>
        <strike val="0"/>
        <condense val="0"/>
        <extend val="0"/>
        <outline val="0"/>
        <shadow val="0"/>
        <u val="none"/>
        <vertAlign val="baseline"/>
        <sz val="11"/>
        <color auto="1"/>
        <name val="Calibri"/>
        <family val="2"/>
        <charset val="1"/>
        <scheme val="none"/>
      </font>
      <fill>
        <patternFill patternType="none">
          <fgColor indexed="64"/>
          <bgColor indexed="65"/>
        </patternFill>
      </fill>
      <alignment horizontal="center" vertical="center" textRotation="0" wrapText="0" indent="0" justifyLastLine="0" shrinkToFit="0" readingOrder="0"/>
    </dxf>
    <dxf>
      <font>
        <b/>
        <i val="0"/>
        <strike val="0"/>
        <condense val="0"/>
        <extend val="0"/>
        <outline val="0"/>
        <shadow val="0"/>
        <u val="none"/>
        <vertAlign val="baseline"/>
        <sz val="11"/>
        <color auto="1"/>
        <name val="Calibri"/>
        <family val="2"/>
        <charset val="1"/>
        <scheme val="none"/>
      </font>
      <fill>
        <patternFill patternType="none">
          <fgColor indexed="64"/>
          <bgColor indexed="65"/>
        </patternFill>
      </fill>
      <alignment horizontal="center" vertical="center" textRotation="0" wrapText="0" indent="0" justifyLastLine="0" shrinkToFit="0" readingOrder="0"/>
    </dxf>
    <dxf>
      <font>
        <b/>
        <i val="0"/>
        <strike val="0"/>
        <condense val="0"/>
        <extend val="0"/>
        <outline val="0"/>
        <shadow val="0"/>
        <u val="none"/>
        <vertAlign val="baseline"/>
        <sz val="11"/>
        <color auto="1"/>
        <name val="Calibri"/>
        <family val="2"/>
        <charset val="1"/>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Calibri"/>
        <family val="2"/>
        <charset val="162"/>
        <scheme val="none"/>
      </font>
    </dxf>
    <dxf>
      <numFmt numFmtId="165" formatCode="0.00000000"/>
      <alignment horizontal="center" vertical="bottom" textRotation="0" wrapText="0" indent="0" justifyLastLine="0" shrinkToFit="0" readingOrder="0"/>
    </dxf>
    <dxf>
      <numFmt numFmtId="164" formatCode="0.00000000000"/>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font>
        <b val="0"/>
        <i val="0"/>
        <strike val="0"/>
        <condense val="0"/>
        <extend val="0"/>
        <outline val="0"/>
        <shadow val="0"/>
        <u val="none"/>
        <vertAlign val="baseline"/>
        <sz val="11"/>
        <color auto="1"/>
        <name val="Calibri"/>
        <family val="2"/>
        <charset val="162"/>
        <scheme val="none"/>
      </font>
    </dxf>
    <dxf>
      <numFmt numFmtId="0" formatCode="General"/>
    </dxf>
    <dxf>
      <font>
        <b val="0"/>
        <i val="0"/>
        <strike val="0"/>
        <condense val="0"/>
        <extend val="0"/>
        <outline val="0"/>
        <shadow val="0"/>
        <u val="none"/>
        <vertAlign val="baseline"/>
        <sz val="11"/>
        <color auto="1"/>
        <name val="Calibri"/>
        <family val="2"/>
        <charset val="1"/>
        <scheme val="none"/>
      </font>
      <alignment horizontal="center" vertical="center" textRotation="0" wrapText="0"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ont>
        <b val="0"/>
        <i val="0"/>
        <strike val="0"/>
        <condense val="0"/>
        <extend val="0"/>
        <outline val="0"/>
        <shadow val="0"/>
        <u val="none"/>
        <vertAlign val="baseline"/>
        <sz val="11"/>
        <color auto="1"/>
        <name val="Calibri"/>
        <family val="2"/>
        <charset val="162"/>
        <scheme val="none"/>
      </font>
      <numFmt numFmtId="1" formatCode="0"/>
      <alignment horizontal="center" vertical="center" textRotation="0" wrapText="0" indent="0" justifyLastLine="0" shrinkToFit="0" readingOrder="0"/>
    </dxf>
    <dxf>
      <font>
        <b val="0"/>
        <i val="0"/>
        <strike val="0"/>
        <condense val="0"/>
        <extend val="0"/>
        <outline val="0"/>
        <shadow val="0"/>
        <u val="none"/>
        <vertAlign val="baseline"/>
        <sz val="11"/>
        <color auto="1"/>
        <name val="Calibri"/>
        <family val="2"/>
        <charset val="162"/>
        <scheme val="none"/>
      </font>
      <numFmt numFmtId="1" formatCode="0"/>
      <alignment horizontal="center" vertical="center" textRotation="0" wrapText="0" indent="0" justifyLastLine="0" shrinkToFit="0" readingOrder="0"/>
    </dxf>
    <dxf>
      <alignment horizontal="center" vertical="bottom" textRotation="0" wrapText="0" indent="0" justifyLastLine="0" shrinkToFit="0" readingOrder="0"/>
    </dxf>
    <dxf>
      <border outline="0">
        <left style="thin">
          <color theme="0"/>
        </left>
      </border>
    </dxf>
    <dxf>
      <font>
        <b val="0"/>
        <i val="0"/>
        <strike val="0"/>
        <condense val="0"/>
        <extend val="0"/>
        <outline val="0"/>
        <shadow val="0"/>
        <u val="none"/>
        <vertAlign val="baseline"/>
        <sz val="11"/>
        <color auto="1"/>
        <name val="Calibri"/>
        <family val="2"/>
        <charset val="162"/>
        <scheme val="none"/>
      </font>
    </dxf>
    <dxf>
      <font>
        <b val="0"/>
        <i val="0"/>
        <strike val="0"/>
        <condense val="0"/>
        <extend val="0"/>
        <outline val="0"/>
        <shadow val="0"/>
        <u val="none"/>
        <vertAlign val="baseline"/>
        <sz val="11"/>
        <color theme="1"/>
        <name val="Calibri"/>
        <family val="2"/>
        <charset val="162"/>
        <scheme val="none"/>
      </font>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charset val="162"/>
        <scheme val="none"/>
      </font>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charset val="162"/>
        <scheme val="none"/>
      </font>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charset val="162"/>
        <scheme val="none"/>
      </font>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charset val="162"/>
        <scheme val="none"/>
      </font>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charset val="162"/>
        <scheme val="none"/>
      </font>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charset val="162"/>
        <scheme val="none"/>
      </font>
      <fill>
        <patternFill patternType="none">
          <fgColor indexed="64"/>
          <bgColor auto="1"/>
        </patternFill>
      </fill>
      <alignment horizontal="center" vertical="bottom" textRotation="0" wrapText="0" indent="0" justifyLastLine="0" shrinkToFit="0" readingOrder="0"/>
    </dxf>
    <dxf>
      <font>
        <b/>
        <i val="0"/>
        <strike val="0"/>
        <condense val="0"/>
        <extend val="0"/>
        <outline val="0"/>
        <shadow val="0"/>
        <u val="none"/>
        <vertAlign val="baseline"/>
        <sz val="11"/>
        <color theme="0"/>
        <name val="Calibri"/>
        <family val="2"/>
        <charset val="162"/>
        <scheme val="none"/>
      </font>
      <fill>
        <patternFill patternType="none">
          <fgColor indexed="64"/>
          <bgColor auto="1"/>
        </patternFill>
      </fill>
      <alignment horizontal="center" vertical="bottom" textRotation="0" wrapText="0" indent="0" justifyLastLine="0" shrinkToFit="0" readingOrder="0"/>
      <border diagonalUp="0" diagonalDown="0" outline="0">
        <left style="thin">
          <color theme="0"/>
        </left>
        <right style="thin">
          <color theme="0"/>
        </right>
        <top/>
        <bottom/>
      </border>
    </dxf>
    <dxf>
      <numFmt numFmtId="165" formatCode="0.00000000"/>
      <alignment horizontal="center" textRotation="0" wrapText="0" indent="0" justifyLastLine="0" shrinkToFit="0" readingOrder="0"/>
    </dxf>
    <dxf>
      <numFmt numFmtId="164" formatCode="0.00000000000"/>
      <alignment horizontal="center" textRotation="0" wrapText="0" indent="0" justifyLastLine="0" shrinkToFit="0" readingOrder="0"/>
    </dxf>
    <dxf>
      <numFmt numFmtId="2" formatCode="0.00"/>
      <alignment horizontal="center" textRotation="0" wrapText="0" indent="0" justifyLastLine="0" shrinkToFit="0" readingOrder="0"/>
    </dxf>
    <dxf>
      <numFmt numFmtId="2" formatCode="0.00"/>
      <alignment horizontal="center" textRotation="0" wrapText="0" indent="0" justifyLastLine="0" shrinkToFit="0" readingOrder="0"/>
    </dxf>
    <dxf>
      <numFmt numFmtId="2" formatCode="0.00"/>
      <alignment horizontal="center" textRotation="0" wrapText="0" indent="0" justifyLastLine="0" shrinkToFit="0" readingOrder="0"/>
    </dxf>
    <dxf>
      <numFmt numFmtId="2" formatCode="0.00"/>
      <alignment horizontal="center" textRotation="0" wrapText="0" indent="0" justifyLastLine="0" shrinkToFit="0" readingOrder="0"/>
    </dxf>
    <dxf>
      <numFmt numFmtId="2" formatCode="0.00"/>
      <alignment horizontal="center" textRotation="0" wrapText="0" indent="0" justifyLastLine="0" shrinkToFit="0" readingOrder="0"/>
    </dxf>
    <dxf>
      <numFmt numFmtId="2" formatCode="0.00"/>
      <alignment horizontal="center" textRotation="0" wrapText="0" indent="0" justifyLastLine="0" shrinkToFit="0" readingOrder="0"/>
    </dxf>
    <dxf>
      <alignment horizontal="center" vertical="bottom" textRotation="0" wrapText="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val="0"/>
        <i val="0"/>
        <strike val="0"/>
        <condense val="0"/>
        <extend val="0"/>
        <outline val="0"/>
        <shadow val="0"/>
        <u val="none"/>
        <vertAlign val="baseline"/>
        <sz val="11"/>
        <color auto="1"/>
        <name val="Calibri"/>
        <family val="2"/>
        <charset val="162"/>
        <scheme val="none"/>
      </font>
      <fill>
        <patternFill patternType="none">
          <fgColor indexed="64"/>
          <bgColor indexed="65"/>
        </patternFill>
      </fill>
    </dxf>
    <dxf>
      <font>
        <b val="0"/>
        <i val="0"/>
        <strike val="0"/>
        <condense val="0"/>
        <extend val="0"/>
        <outline val="0"/>
        <shadow val="0"/>
        <u val="none"/>
        <vertAlign val="baseline"/>
        <sz val="11"/>
        <color auto="1"/>
        <name val="Calibri"/>
        <family val="2"/>
        <charset val="162"/>
        <scheme val="none"/>
      </font>
    </dxf>
    <dxf>
      <numFmt numFmtId="0" formatCode="General"/>
    </dxf>
    <dxf>
      <font>
        <b val="0"/>
        <i val="0"/>
        <strike val="0"/>
        <condense val="0"/>
        <extend val="0"/>
        <outline val="0"/>
        <shadow val="0"/>
        <u val="none"/>
        <vertAlign val="baseline"/>
        <sz val="11"/>
        <color auto="1"/>
        <name val="Calibri"/>
        <family val="2"/>
        <charset val="1"/>
        <scheme val="none"/>
      </font>
      <alignment horizontal="center" vertical="center"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ont>
        <b val="0"/>
        <i val="0"/>
        <strike val="0"/>
        <condense val="0"/>
        <extend val="0"/>
        <outline val="0"/>
        <shadow val="0"/>
        <u val="none"/>
        <vertAlign val="baseline"/>
        <sz val="11"/>
        <color auto="1"/>
        <name val="Calibri"/>
        <family val="2"/>
        <charset val="162"/>
        <scheme val="none"/>
      </font>
      <numFmt numFmtId="1" formatCode="0"/>
      <alignment horizontal="center" vertical="center" textRotation="0" wrapText="0" indent="0" justifyLastLine="0" shrinkToFit="0" readingOrder="0"/>
    </dxf>
    <dxf>
      <font>
        <b val="0"/>
        <i val="0"/>
        <strike val="0"/>
        <condense val="0"/>
        <extend val="0"/>
        <outline val="0"/>
        <shadow val="0"/>
        <u val="none"/>
        <vertAlign val="baseline"/>
        <sz val="11"/>
        <color auto="1"/>
        <name val="Calibri"/>
        <family val="2"/>
        <charset val="162"/>
        <scheme val="none"/>
      </font>
      <numFmt numFmtId="1" formatCode="0"/>
      <alignment horizontal="center" vertical="center" textRotation="0" wrapText="0" indent="0" justifyLastLine="0" shrinkToFit="0" readingOrder="0"/>
    </dxf>
    <dxf>
      <alignment horizontal="center" vertical="bottom" textRotation="0" wrapText="0" indent="0" justifyLastLine="0" shrinkToFit="0" readingOrder="0"/>
    </dxf>
    <dxf>
      <border outline="0">
        <left style="thin">
          <color theme="0"/>
        </left>
      </border>
    </dxf>
    <dxf>
      <font>
        <b val="0"/>
        <i val="0"/>
        <strike val="0"/>
        <condense val="0"/>
        <extend val="0"/>
        <outline val="0"/>
        <shadow val="0"/>
        <u val="none"/>
        <vertAlign val="baseline"/>
        <sz val="11"/>
        <color auto="1"/>
        <name val="Calibri"/>
        <family val="2"/>
        <charset val="162"/>
        <scheme val="none"/>
      </font>
    </dxf>
    <dxf>
      <font>
        <b val="0"/>
        <i val="0"/>
        <strike val="0"/>
        <condense val="0"/>
        <extend val="0"/>
        <outline val="0"/>
        <shadow val="0"/>
        <u val="none"/>
        <vertAlign val="baseline"/>
        <sz val="11"/>
        <color auto="1"/>
        <name val="Calibri"/>
        <family val="2"/>
        <charset val="162"/>
        <scheme val="none"/>
      </font>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val="0"/>
        <i val="0"/>
        <strike val="0"/>
        <condense val="0"/>
        <extend val="0"/>
        <outline val="0"/>
        <shadow val="0"/>
        <u val="none"/>
        <vertAlign val="baseline"/>
        <sz val="11"/>
        <color auto="1"/>
        <name val="Calibri"/>
        <family val="2"/>
        <charset val="162"/>
        <scheme val="none"/>
      </font>
      <alignment horizontal="center" vertical="bottom" textRotation="0" wrapText="0" indent="0" justifyLastLine="0" shrinkToFit="0" readingOrder="0"/>
    </dxf>
    <dxf>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Calibri"/>
        <charset val="1"/>
        <scheme val="none"/>
      </font>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Calibri"/>
        <charset val="1"/>
        <scheme val="none"/>
      </font>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Calibri"/>
        <charset val="1"/>
        <scheme val="none"/>
      </font>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Calibri"/>
        <charset val="1"/>
        <scheme val="none"/>
      </font>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Calibri"/>
        <charset val="1"/>
        <scheme val="none"/>
      </font>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Calibri"/>
        <charset val="1"/>
        <scheme val="none"/>
      </font>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Calibri"/>
        <charset val="1"/>
        <scheme val="none"/>
      </font>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Calibri"/>
        <charset val="1"/>
        <scheme val="none"/>
      </font>
      <fill>
        <patternFill patternType="solid">
          <fgColor indexed="64"/>
          <bgColor rgb="FFFFFF00"/>
        </patternFill>
      </fill>
      <alignment horizontal="center" vertical="center" textRotation="0" wrapText="0" indent="0" justifyLastLine="0" shrinkToFit="0" readingOrder="0"/>
    </dxf>
    <dxf>
      <font>
        <b/>
        <i val="0"/>
        <strike val="0"/>
        <condense val="0"/>
        <extend val="0"/>
        <outline val="0"/>
        <shadow val="0"/>
        <u val="none"/>
        <vertAlign val="baseline"/>
        <sz val="11"/>
        <color auto="1"/>
        <name val="Calibri"/>
        <family val="2"/>
        <charset val="1"/>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Calibri"/>
        <charset val="1"/>
        <scheme val="none"/>
      </font>
      <numFmt numFmtId="2" formatCode="0.00"/>
      <alignment horizontal="center" vertical="center" textRotation="0" wrapText="0" indent="0" justifyLastLine="0" shrinkToFit="0" readingOrder="0"/>
      <border>
        <left style="double">
          <color rgb="FF3F3F3F"/>
        </left>
      </border>
    </dxf>
    <dxf>
      <font>
        <b val="0"/>
        <i val="0"/>
        <strike val="0"/>
        <condense val="0"/>
        <extend val="0"/>
        <outline val="0"/>
        <shadow val="0"/>
        <u val="none"/>
        <vertAlign val="baseline"/>
        <sz val="11"/>
        <color auto="1"/>
        <name val="Calibri"/>
        <family val="2"/>
        <charset val="162"/>
        <scheme val="none"/>
      </font>
      <alignment horizontal="center" vertical="center" textRotation="0" wrapText="0" indent="0" justifyLastLine="0" shrinkToFit="0" readingOrder="0"/>
    </dxf>
    <dxf>
      <font>
        <b val="0"/>
        <i val="0"/>
        <strike val="0"/>
        <condense val="0"/>
        <extend val="0"/>
        <outline val="0"/>
        <shadow val="0"/>
        <u val="none"/>
        <vertAlign val="baseline"/>
        <sz val="11"/>
        <color theme="0"/>
        <name val="Calibri"/>
        <family val="2"/>
        <charset val="162"/>
        <scheme val="none"/>
      </font>
      <numFmt numFmtId="0" formatCode="General"/>
      <alignment horizontal="center" vertical="center" textRotation="0" wrapText="0" indent="0" justifyLastLine="0" shrinkToFit="0" readingOrder="0"/>
      <border>
        <left style="double">
          <color rgb="FF3F3F3F"/>
        </left>
      </border>
    </dxf>
    <dxf>
      <font>
        <b val="0"/>
        <i val="0"/>
        <strike val="0"/>
        <condense val="0"/>
        <extend val="0"/>
        <outline val="0"/>
        <shadow val="0"/>
        <u val="none"/>
        <vertAlign val="baseline"/>
        <sz val="11"/>
        <color auto="1"/>
        <name val="Calibri"/>
        <family val="2"/>
        <charset val="162"/>
        <scheme val="none"/>
      </font>
      <alignment horizontal="center" vertical="center" textRotation="0" wrapText="0" indent="0" justifyLastLine="0" shrinkToFit="0" readingOrder="0"/>
    </dxf>
    <dxf>
      <font>
        <b val="0"/>
        <i val="0"/>
        <strike val="0"/>
        <condense val="0"/>
        <extend val="0"/>
        <outline val="0"/>
        <shadow val="0"/>
        <u val="none"/>
        <vertAlign val="baseline"/>
        <sz val="11"/>
        <color theme="0"/>
        <name val="Calibri"/>
        <family val="2"/>
        <charset val="162"/>
        <scheme val="none"/>
      </font>
      <numFmt numFmtId="0" formatCode="General"/>
      <alignment horizontal="center" vertical="center" textRotation="0" wrapText="0" indent="0" justifyLastLine="0" shrinkToFit="0" readingOrder="0"/>
      <border>
        <left style="double">
          <color rgb="FF3F3F3F"/>
        </left>
        <right style="double">
          <color rgb="FF3F3F3F"/>
        </right>
      </border>
    </dxf>
    <dxf>
      <font>
        <b val="0"/>
        <i val="0"/>
        <strike val="0"/>
        <condense val="0"/>
        <extend val="0"/>
        <outline val="0"/>
        <shadow val="0"/>
        <u val="none"/>
        <vertAlign val="baseline"/>
        <sz val="11"/>
        <color auto="1"/>
        <name val="Calibri"/>
        <family val="2"/>
        <charset val="162"/>
        <scheme val="none"/>
      </font>
      <alignment horizontal="center" vertical="center" textRotation="0" wrapText="0" indent="0" justifyLastLine="0" shrinkToFit="0" readingOrder="0"/>
    </dxf>
    <dxf>
      <font>
        <b val="0"/>
        <i val="0"/>
        <strike val="0"/>
        <condense val="0"/>
        <extend val="0"/>
        <outline val="0"/>
        <shadow val="0"/>
        <u val="none"/>
        <vertAlign val="baseline"/>
        <sz val="11"/>
        <color theme="0"/>
        <name val="Calibri"/>
        <family val="2"/>
        <charset val="162"/>
        <scheme val="none"/>
      </font>
      <numFmt numFmtId="0" formatCode="General"/>
      <alignment horizontal="center" vertical="center" textRotation="0" wrapText="0" indent="0" justifyLastLine="0" shrinkToFit="0" readingOrder="0"/>
      <border>
        <left style="double">
          <color rgb="FF3F3F3F"/>
        </left>
        <right style="double">
          <color rgb="FF3F3F3F"/>
        </right>
      </border>
    </dxf>
    <dxf>
      <font>
        <b/>
        <i val="0"/>
        <strike val="0"/>
        <condense val="0"/>
        <extend val="0"/>
        <outline val="0"/>
        <shadow val="0"/>
        <u val="none"/>
        <vertAlign val="baseline"/>
        <sz val="11"/>
        <color theme="0"/>
        <name val="Calibri"/>
        <family val="2"/>
        <charset val="162"/>
        <scheme val="none"/>
      </font>
      <numFmt numFmtId="0" formatCode="General"/>
      <alignment horizontal="center" vertical="center" textRotation="0" wrapText="0" indent="0" justifyLastLine="0" shrinkToFit="0" readingOrder="0"/>
      <border>
        <right style="double">
          <color rgb="FF3F3F3F"/>
        </right>
      </border>
    </dxf>
    <dxf>
      <font>
        <b val="0"/>
        <i val="0"/>
        <strike val="0"/>
        <condense val="0"/>
        <extend val="0"/>
        <outline val="0"/>
        <shadow val="0"/>
        <u val="none"/>
        <vertAlign val="baseline"/>
        <sz val="11"/>
        <color auto="1"/>
        <name val="Calibri"/>
        <family val="2"/>
        <charset val="162"/>
        <scheme val="none"/>
      </font>
      <alignment horizontal="center" vertical="center" textRotation="0" wrapText="0" indent="0" justifyLastLine="0" shrinkToFit="0" readingOrder="0"/>
    </dxf>
    <dxf>
      <font>
        <b val="0"/>
        <i val="0"/>
        <strike val="0"/>
        <condense val="0"/>
        <extend val="0"/>
        <outline val="0"/>
        <shadow val="0"/>
        <u val="none"/>
        <vertAlign val="baseline"/>
        <sz val="11"/>
        <color auto="1"/>
        <name val="Calibri"/>
        <charset val="1"/>
        <scheme val="none"/>
      </font>
      <numFmt numFmtId="0" formatCode="General"/>
      <alignment horizontal="center" vertical="center" textRotation="0" wrapText="0" indent="0" justifyLastLine="0" shrinkToFit="0" readingOrder="0"/>
      <border>
        <right style="double">
          <color rgb="FF3F3F3F"/>
        </right>
      </border>
    </dxf>
    <dxf>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1"/>
        <color auto="1"/>
        <name val="Calibri"/>
        <family val="2"/>
        <charset val="162"/>
        <scheme val="none"/>
      </font>
      <alignment horizontal="center" vertical="center" textRotation="0" wrapText="0" indent="0" justifyLastLine="0" shrinkToFit="0" readingOrder="0"/>
    </dxf>
    <dxf>
      <numFmt numFmtId="2" formatCode="0.00"/>
      <alignment horizontal="center" vertical="center" textRotation="0" wrapText="0" indent="0" justifyLastLine="0" shrinkToFit="0" readingOrder="0"/>
    </dxf>
    <dxf>
      <font>
        <b val="0"/>
        <i val="0"/>
        <strike val="0"/>
        <condense val="0"/>
        <extend val="0"/>
        <outline val="0"/>
        <shadow val="0"/>
        <u val="none"/>
        <vertAlign val="baseline"/>
        <sz val="11"/>
        <color auto="1"/>
        <name val="Calibri"/>
        <family val="2"/>
        <charset val="162"/>
        <scheme val="none"/>
      </font>
      <alignment horizontal="center" vertical="center" textRotation="0" wrapText="0" indent="0" justifyLastLine="0" shrinkToFit="0" readingOrder="0"/>
    </dxf>
    <dxf>
      <alignment horizontal="center" vertical="center" textRotation="0" wrapText="0" indent="0" justifyLastLine="0" shrinkToFit="0" readingOrder="0"/>
    </dxf>
    <dxf>
      <numFmt numFmtId="2" formatCode="0.00"/>
      <alignment horizontal="center" vertical="center" textRotation="0" wrapText="0" indent="0" justifyLastLine="0" shrinkToFit="0" readingOrder="0"/>
    </dxf>
    <dxf>
      <font>
        <b val="0"/>
        <i val="0"/>
        <strike val="0"/>
        <condense val="0"/>
        <extend val="0"/>
        <outline val="0"/>
        <shadow val="0"/>
        <u val="none"/>
        <vertAlign val="baseline"/>
        <sz val="11"/>
        <color auto="1"/>
        <name val="Calibri"/>
        <family val="2"/>
        <charset val="162"/>
        <scheme val="none"/>
      </font>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font>
        <b val="0"/>
        <i val="0"/>
        <strike val="0"/>
        <condense val="0"/>
        <extend val="0"/>
        <outline val="0"/>
        <shadow val="0"/>
        <u val="none"/>
        <vertAlign val="baseline"/>
        <sz val="11"/>
        <color auto="1"/>
        <name val="Calibri"/>
        <family val="2"/>
        <charset val="162"/>
        <scheme val="none"/>
      </font>
      <alignment horizontal="center" vertical="center" textRotation="0" wrapText="0" indent="0" justifyLastLine="0" shrinkToFit="0" readingOrder="0"/>
    </dxf>
    <dxf>
      <font>
        <b val="0"/>
        <i val="0"/>
        <strike val="0"/>
        <condense val="0"/>
        <extend val="0"/>
        <outline val="0"/>
        <shadow val="0"/>
        <u val="none"/>
        <vertAlign val="baseline"/>
        <sz val="11"/>
        <color auto="1"/>
        <name val="Calibri"/>
        <charset val="1"/>
        <scheme val="none"/>
      </font>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Calibri"/>
        <family val="2"/>
        <charset val="162"/>
        <scheme val="none"/>
      </font>
      <alignment horizontal="center" vertical="center" textRotation="0" wrapText="0" indent="0" justifyLastLine="0" shrinkToFit="0" readingOrder="0"/>
    </dxf>
    <dxf>
      <font>
        <b val="0"/>
        <i val="0"/>
        <strike val="0"/>
        <condense val="0"/>
        <extend val="0"/>
        <outline val="0"/>
        <shadow val="0"/>
        <u val="none"/>
        <vertAlign val="baseline"/>
        <sz val="11"/>
        <color auto="1"/>
        <name val="Calibri"/>
        <charset val="1"/>
        <scheme val="none"/>
      </font>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Calibri"/>
        <family val="2"/>
        <charset val="162"/>
        <scheme val="none"/>
      </font>
      <alignment horizontal="center" vertical="center" textRotation="0" wrapText="0" indent="0" justifyLastLine="0" shrinkToFit="0" readingOrder="0"/>
    </dxf>
    <dxf>
      <font>
        <b val="0"/>
        <i val="0"/>
        <strike val="0"/>
        <condense val="0"/>
        <extend val="0"/>
        <outline val="0"/>
        <shadow val="0"/>
        <u val="none"/>
        <vertAlign val="baseline"/>
        <sz val="11"/>
        <color auto="1"/>
        <name val="Calibri"/>
        <charset val="1"/>
        <scheme val="none"/>
      </font>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Calibri"/>
        <family val="2"/>
        <charset val="162"/>
        <scheme val="none"/>
      </font>
      <alignment horizontal="center" vertical="center" textRotation="0" wrapText="0" indent="0" justifyLastLine="0" shrinkToFit="0" readingOrder="0"/>
    </dxf>
    <dxf>
      <font>
        <b val="0"/>
        <i val="0"/>
        <strike val="0"/>
        <condense val="0"/>
        <extend val="0"/>
        <outline val="0"/>
        <shadow val="0"/>
        <u val="none"/>
        <vertAlign val="baseline"/>
        <sz val="11"/>
        <color auto="1"/>
        <name val="Calibri"/>
        <charset val="1"/>
        <scheme val="none"/>
      </font>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Calibri"/>
        <family val="2"/>
        <charset val="162"/>
        <scheme val="none"/>
      </font>
      <alignment horizontal="center" vertical="center" textRotation="0" wrapText="0" indent="0" justifyLastLine="0" shrinkToFit="0" readingOrder="0"/>
    </dxf>
    <dxf>
      <font>
        <b val="0"/>
        <i val="0"/>
        <strike val="0"/>
        <condense val="0"/>
        <extend val="0"/>
        <outline val="0"/>
        <shadow val="0"/>
        <u val="none"/>
        <vertAlign val="baseline"/>
        <sz val="11"/>
        <color auto="1"/>
        <name val="Calibri"/>
        <charset val="1"/>
        <scheme val="none"/>
      </font>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Calibri"/>
        <family val="2"/>
        <charset val="162"/>
        <scheme val="none"/>
      </font>
      <alignment horizontal="center" vertical="center" textRotation="0" wrapText="0" indent="0" justifyLastLine="0" shrinkToFit="0" readingOrder="0"/>
    </dxf>
    <dxf>
      <font>
        <b val="0"/>
        <i val="0"/>
        <strike val="0"/>
        <condense val="0"/>
        <extend val="0"/>
        <outline val="0"/>
        <shadow val="0"/>
        <u val="none"/>
        <vertAlign val="baseline"/>
        <sz val="11"/>
        <color auto="1"/>
        <name val="Calibri"/>
        <charset val="1"/>
        <scheme val="none"/>
      </font>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Calibri"/>
        <family val="2"/>
        <charset val="162"/>
        <scheme val="none"/>
      </font>
      <alignment horizontal="center" vertical="center" textRotation="0" wrapText="0" indent="0" justifyLastLine="0" shrinkToFit="0" readingOrder="0"/>
    </dxf>
    <dxf>
      <font>
        <b val="0"/>
        <i val="0"/>
        <strike val="0"/>
        <condense val="0"/>
        <extend val="0"/>
        <outline val="0"/>
        <shadow val="0"/>
        <u val="none"/>
        <vertAlign val="baseline"/>
        <sz val="11"/>
        <color auto="1"/>
        <name val="Calibri"/>
        <charset val="1"/>
        <scheme val="none"/>
      </font>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Calibri"/>
        <family val="2"/>
        <charset val="162"/>
        <scheme val="none"/>
      </font>
      <numFmt numFmtId="1" formatCode="0"/>
      <fill>
        <patternFill patternType="none">
          <fgColor indexed="64"/>
          <bgColor auto="1"/>
        </patternFill>
      </fill>
      <alignment horizontal="center" vertical="center" textRotation="0" wrapText="0" indent="0" justifyLastLine="0" shrinkToFit="0" readingOrder="0"/>
    </dxf>
    <dxf>
      <numFmt numFmtId="1" formatCode="0"/>
      <fill>
        <patternFill patternType="none">
          <fgColor indexed="64"/>
          <bgColor auto="1"/>
        </patternFill>
      </fill>
      <alignment horizontal="center" vertical="center" textRotation="0" wrapText="0" indent="0" justifyLastLine="0" shrinkToFit="0" readingOrder="0"/>
    </dxf>
    <dxf>
      <fill>
        <patternFill patternType="none">
          <fgColor indexed="64"/>
          <bgColor auto="1"/>
        </patternFill>
      </fill>
      <alignment horizontal="center" vertical="bottom" textRotation="0" wrapText="0" indent="0" justifyLastLine="0" shrinkToFit="0" readingOrder="0"/>
    </dxf>
    <dxf>
      <alignment horizontal="center" textRotation="0" wrapText="0" indent="0" justifyLastLine="0" shrinkToFit="0" readingOrder="0"/>
    </dxf>
    <dxf>
      <font>
        <b val="0"/>
        <i val="0"/>
        <strike val="0"/>
        <condense val="0"/>
        <extend val="0"/>
        <outline val="0"/>
        <shadow val="0"/>
        <u val="none"/>
        <vertAlign val="baseline"/>
        <sz val="11"/>
        <color auto="1"/>
        <name val="Calibri"/>
        <charset val="1"/>
        <scheme val="none"/>
      </font>
      <alignment horizontal="center" vertical="center" textRotation="0" wrapText="0" indent="0" justifyLastLine="0" shrinkToFit="0" readingOrder="0"/>
    </dxf>
    <dxf>
      <font>
        <b/>
        <i val="0"/>
        <strike val="0"/>
        <condense val="0"/>
        <extend val="0"/>
        <outline val="0"/>
        <shadow val="0"/>
        <u val="none"/>
        <vertAlign val="baseline"/>
        <sz val="11"/>
        <color auto="1"/>
        <name val="Calibri"/>
        <family val="2"/>
        <charset val="1"/>
        <scheme val="none"/>
      </font>
      <alignment horizontal="center" vertical="center" textRotation="0" wrapText="0" indent="0" justifyLastLine="0" shrinkToFit="0" readingOrder="0"/>
    </dxf>
    <dxf>
      <numFmt numFmtId="2" formatCode="0.00"/>
      <alignment horizontal="center" textRotation="0" wrapText="0" indent="0" justifyLastLine="0" shrinkToFit="0" readingOrder="0"/>
    </dxf>
    <dxf>
      <numFmt numFmtId="164" formatCode="0.00000000000"/>
      <alignment horizontal="center" textRotation="0" wrapText="0" indent="0" justifyLastLine="0" shrinkToFit="0" readingOrder="0"/>
    </dxf>
    <dxf>
      <numFmt numFmtId="2" formatCode="0.00"/>
      <alignment horizontal="center" textRotation="0" wrapText="0" indent="0" justifyLastLine="0" shrinkToFit="0" readingOrder="0"/>
    </dxf>
    <dxf>
      <numFmt numFmtId="2" formatCode="0.00"/>
      <alignment horizontal="center" textRotation="0" wrapText="0" indent="0" justifyLastLine="0" shrinkToFit="0" readingOrder="0"/>
    </dxf>
    <dxf>
      <numFmt numFmtId="2" formatCode="0.00"/>
      <alignment horizontal="center" textRotation="0" wrapText="0" indent="0" justifyLastLine="0" shrinkToFit="0" readingOrder="0"/>
    </dxf>
    <dxf>
      <numFmt numFmtId="2" formatCode="0.00"/>
      <alignment horizontal="center" textRotation="0" wrapText="0" indent="0" justifyLastLine="0" shrinkToFit="0" readingOrder="0"/>
    </dxf>
    <dxf>
      <numFmt numFmtId="2" formatCode="0.00"/>
      <alignment horizontal="center" textRotation="0" wrapText="0" indent="0" justifyLastLine="0" shrinkToFit="0" readingOrder="0"/>
    </dxf>
    <dxf>
      <numFmt numFmtId="2" formatCode="0.00"/>
      <alignment horizontal="center" textRotation="0" wrapText="0" indent="0" justifyLastLine="0" shrinkToFit="0" readingOrder="0"/>
    </dxf>
    <dxf>
      <numFmt numFmtId="2" formatCode="0.00"/>
      <alignment horizontal="center" textRotation="0" wrapText="0" indent="0" justifyLastLine="0" shrinkToFit="0" readingOrder="0"/>
    </dxf>
    <dxf>
      <numFmt numFmtId="2" formatCode="0.00"/>
      <alignment horizontal="center" textRotation="0" wrapText="0" indent="0" justifyLastLine="0" shrinkToFit="0" readingOrder="0"/>
    </dxf>
    <dxf>
      <alignment horizontal="center" vertical="bottom" textRotation="0" wrapText="0" indent="0" justifyLastLine="0" shrinkToFit="0" readingOrder="0"/>
    </dxf>
    <dxf>
      <numFmt numFmtId="0" formatCode="General"/>
    </dxf>
    <dxf>
      <font>
        <b val="0"/>
        <i val="0"/>
        <strike val="0"/>
        <condense val="0"/>
        <extend val="0"/>
        <outline val="0"/>
        <shadow val="0"/>
        <u val="none"/>
        <vertAlign val="baseline"/>
        <sz val="11"/>
        <color auto="1"/>
        <name val="Calibri"/>
        <family val="2"/>
        <charset val="1"/>
        <scheme val="none"/>
      </font>
      <alignment horizontal="center" vertical="center" textRotation="0" wrapText="0" indent="0" justifyLastLine="0" shrinkToFit="0" readingOrder="0"/>
    </dxf>
    <dxf>
      <font>
        <b val="0"/>
        <i val="0"/>
        <strike val="0"/>
        <condense val="0"/>
        <extend val="0"/>
        <outline val="0"/>
        <shadow val="0"/>
        <u val="none"/>
        <vertAlign val="baseline"/>
        <sz val="11"/>
        <color auto="1"/>
        <name val="Calibri"/>
        <family val="2"/>
        <charset val="162"/>
        <scheme val="none"/>
      </font>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val="0"/>
        <i val="0"/>
        <strike val="0"/>
        <condense val="0"/>
        <extend val="0"/>
        <outline val="0"/>
        <shadow val="0"/>
        <u val="none"/>
        <vertAlign val="baseline"/>
        <sz val="11"/>
        <color auto="1"/>
        <name val="Calibri"/>
        <family val="2"/>
        <charset val="162"/>
        <scheme val="none"/>
      </font>
      <alignment horizontal="center" vertical="bottom" textRotation="0" wrapText="0" indent="0" justifyLastLine="0" shrinkToFit="0" readingOrder="0"/>
    </dxf>
    <dxf>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Calibri"/>
        <charset val="1"/>
        <scheme val="none"/>
      </font>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Calibri"/>
        <charset val="1"/>
        <scheme val="none"/>
      </font>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Calibri"/>
        <charset val="1"/>
        <scheme val="none"/>
      </font>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Calibri"/>
        <charset val="1"/>
        <scheme val="none"/>
      </font>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Calibri"/>
        <charset val="1"/>
        <scheme val="none"/>
      </font>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Calibri"/>
        <charset val="1"/>
        <scheme val="none"/>
      </font>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Calibri"/>
        <charset val="1"/>
        <scheme val="none"/>
      </font>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Calibri"/>
        <charset val="1"/>
        <scheme val="none"/>
      </font>
      <fill>
        <patternFill patternType="solid">
          <fgColor indexed="64"/>
          <bgColor rgb="FFFFFF00"/>
        </patternFill>
      </fill>
      <alignment horizontal="center" vertical="center" textRotation="0" wrapText="0" indent="0" justifyLastLine="0" shrinkToFit="0" readingOrder="0"/>
    </dxf>
    <dxf>
      <font>
        <b/>
        <i val="0"/>
        <strike val="0"/>
        <condense val="0"/>
        <extend val="0"/>
        <outline val="0"/>
        <shadow val="0"/>
        <u val="none"/>
        <vertAlign val="baseline"/>
        <sz val="11"/>
        <color auto="1"/>
        <name val="Calibri"/>
        <family val="2"/>
        <charset val="1"/>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Calibri"/>
        <charset val="1"/>
        <scheme val="none"/>
      </font>
      <numFmt numFmtId="2" formatCode="0.00"/>
      <alignment horizontal="center" vertical="center" textRotation="0" wrapText="0" indent="0" justifyLastLine="0" shrinkToFit="0" readingOrder="0"/>
      <border>
        <left style="double">
          <color rgb="FF3F3F3F"/>
        </left>
      </border>
    </dxf>
    <dxf>
      <font>
        <b val="0"/>
        <i val="0"/>
        <strike val="0"/>
        <condense val="0"/>
        <extend val="0"/>
        <outline val="0"/>
        <shadow val="0"/>
        <u val="none"/>
        <vertAlign val="baseline"/>
        <sz val="11"/>
        <color auto="1"/>
        <name val="Calibri"/>
        <family val="2"/>
        <charset val="162"/>
        <scheme val="none"/>
      </font>
      <alignment horizontal="center" vertical="center" textRotation="0" wrapText="0" indent="0" justifyLastLine="0" shrinkToFit="0" readingOrder="0"/>
    </dxf>
    <dxf>
      <font>
        <b val="0"/>
        <i val="0"/>
        <strike val="0"/>
        <condense val="0"/>
        <extend val="0"/>
        <outline val="0"/>
        <shadow val="0"/>
        <u val="none"/>
        <vertAlign val="baseline"/>
        <sz val="11"/>
        <color theme="0"/>
        <name val="Calibri"/>
        <family val="2"/>
        <charset val="162"/>
        <scheme val="none"/>
      </font>
      <numFmt numFmtId="0" formatCode="General"/>
      <alignment horizontal="center" vertical="center" textRotation="0" wrapText="0" indent="0" justifyLastLine="0" shrinkToFit="0" readingOrder="0"/>
      <border>
        <left style="double">
          <color rgb="FF3F3F3F"/>
        </left>
      </border>
    </dxf>
    <dxf>
      <font>
        <b val="0"/>
        <i val="0"/>
        <strike val="0"/>
        <condense val="0"/>
        <extend val="0"/>
        <outline val="0"/>
        <shadow val="0"/>
        <u val="none"/>
        <vertAlign val="baseline"/>
        <sz val="11"/>
        <color auto="1"/>
        <name val="Calibri"/>
        <family val="2"/>
        <charset val="162"/>
        <scheme val="none"/>
      </font>
      <alignment horizontal="center" vertical="center" textRotation="0" wrapText="0" indent="0" justifyLastLine="0" shrinkToFit="0" readingOrder="0"/>
    </dxf>
    <dxf>
      <font>
        <b val="0"/>
        <i val="0"/>
        <strike val="0"/>
        <condense val="0"/>
        <extend val="0"/>
        <outline val="0"/>
        <shadow val="0"/>
        <u val="none"/>
        <vertAlign val="baseline"/>
        <sz val="11"/>
        <color theme="0"/>
        <name val="Calibri"/>
        <family val="2"/>
        <charset val="162"/>
        <scheme val="none"/>
      </font>
      <numFmt numFmtId="0" formatCode="General"/>
      <alignment horizontal="center" vertical="center" textRotation="0" wrapText="0" indent="0" justifyLastLine="0" shrinkToFit="0" readingOrder="0"/>
      <border>
        <left style="double">
          <color rgb="FF3F3F3F"/>
        </left>
        <right style="double">
          <color rgb="FF3F3F3F"/>
        </right>
      </border>
    </dxf>
    <dxf>
      <font>
        <b val="0"/>
        <i val="0"/>
        <strike val="0"/>
        <condense val="0"/>
        <extend val="0"/>
        <outline val="0"/>
        <shadow val="0"/>
        <u val="none"/>
        <vertAlign val="baseline"/>
        <sz val="11"/>
        <color auto="1"/>
        <name val="Calibri"/>
        <family val="2"/>
        <charset val="162"/>
        <scheme val="none"/>
      </font>
      <alignment horizontal="center" vertical="center" textRotation="0" wrapText="0" indent="0" justifyLastLine="0" shrinkToFit="0" readingOrder="0"/>
    </dxf>
    <dxf>
      <font>
        <b val="0"/>
        <i val="0"/>
        <strike val="0"/>
        <condense val="0"/>
        <extend val="0"/>
        <outline val="0"/>
        <shadow val="0"/>
        <u val="none"/>
        <vertAlign val="baseline"/>
        <sz val="11"/>
        <color theme="0"/>
        <name val="Calibri"/>
        <family val="2"/>
        <charset val="162"/>
        <scheme val="none"/>
      </font>
      <numFmt numFmtId="0" formatCode="General"/>
      <alignment horizontal="center" vertical="center" textRotation="0" wrapText="0" indent="0" justifyLastLine="0" shrinkToFit="0" readingOrder="0"/>
      <border>
        <left style="double">
          <color rgb="FF3F3F3F"/>
        </left>
        <right style="double">
          <color rgb="FF3F3F3F"/>
        </right>
      </border>
    </dxf>
    <dxf>
      <font>
        <b/>
        <i val="0"/>
        <strike val="0"/>
        <condense val="0"/>
        <extend val="0"/>
        <outline val="0"/>
        <shadow val="0"/>
        <u val="none"/>
        <vertAlign val="baseline"/>
        <sz val="11"/>
        <color theme="0"/>
        <name val="Calibri"/>
        <family val="2"/>
        <charset val="162"/>
        <scheme val="none"/>
      </font>
      <numFmt numFmtId="0" formatCode="General"/>
      <alignment horizontal="center" vertical="center" textRotation="0" wrapText="0" indent="0" justifyLastLine="0" shrinkToFit="0" readingOrder="0"/>
      <border>
        <right style="double">
          <color rgb="FF3F3F3F"/>
        </right>
      </border>
    </dxf>
    <dxf>
      <font>
        <b val="0"/>
        <i val="0"/>
        <strike val="0"/>
        <condense val="0"/>
        <extend val="0"/>
        <outline val="0"/>
        <shadow val="0"/>
        <u val="none"/>
        <vertAlign val="baseline"/>
        <sz val="11"/>
        <color auto="1"/>
        <name val="Calibri"/>
        <family val="2"/>
        <charset val="162"/>
        <scheme val="none"/>
      </font>
      <alignment horizontal="center" vertical="center" textRotation="0" wrapText="0" indent="0" justifyLastLine="0" shrinkToFit="0" readingOrder="0"/>
    </dxf>
    <dxf>
      <font>
        <b val="0"/>
        <i val="0"/>
        <strike val="0"/>
        <condense val="0"/>
        <extend val="0"/>
        <outline val="0"/>
        <shadow val="0"/>
        <u val="none"/>
        <vertAlign val="baseline"/>
        <sz val="11"/>
        <color auto="1"/>
        <name val="Calibri"/>
        <charset val="1"/>
        <scheme val="none"/>
      </font>
      <numFmt numFmtId="0" formatCode="General"/>
      <alignment horizontal="center" vertical="center" textRotation="0" wrapText="0" indent="0" justifyLastLine="0" shrinkToFit="0" readingOrder="0"/>
      <border>
        <right style="double">
          <color rgb="FF3F3F3F"/>
        </right>
      </border>
    </dxf>
    <dxf>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1"/>
        <color auto="1"/>
        <name val="Calibri"/>
        <family val="2"/>
        <charset val="162"/>
        <scheme val="none"/>
      </font>
      <alignment horizontal="center" vertical="center" textRotation="0" wrapText="0" indent="0" justifyLastLine="0" shrinkToFit="0" readingOrder="0"/>
    </dxf>
    <dxf>
      <numFmt numFmtId="2" formatCode="0.00"/>
      <alignment horizontal="center" vertical="center" textRotation="0" wrapText="0" indent="0" justifyLastLine="0" shrinkToFit="0" readingOrder="0"/>
    </dxf>
    <dxf>
      <font>
        <b val="0"/>
        <i val="0"/>
        <strike val="0"/>
        <condense val="0"/>
        <extend val="0"/>
        <outline val="0"/>
        <shadow val="0"/>
        <u val="none"/>
        <vertAlign val="baseline"/>
        <sz val="11"/>
        <color auto="1"/>
        <name val="Calibri"/>
        <family val="2"/>
        <charset val="162"/>
        <scheme val="none"/>
      </font>
      <alignment horizontal="center" vertical="center" textRotation="0" wrapText="0" indent="0" justifyLastLine="0" shrinkToFit="0" readingOrder="0"/>
    </dxf>
    <dxf>
      <alignment horizontal="center" vertical="center" textRotation="0" wrapText="0" indent="0" justifyLastLine="0" shrinkToFit="0" readingOrder="0"/>
    </dxf>
    <dxf>
      <numFmt numFmtId="2" formatCode="0.00"/>
      <alignment horizontal="center" vertical="center" textRotation="0" wrapText="0" indent="0" justifyLastLine="0" shrinkToFit="0" readingOrder="0"/>
    </dxf>
    <dxf>
      <font>
        <b val="0"/>
        <i val="0"/>
        <strike val="0"/>
        <condense val="0"/>
        <extend val="0"/>
        <outline val="0"/>
        <shadow val="0"/>
        <u val="none"/>
        <vertAlign val="baseline"/>
        <sz val="11"/>
        <color auto="1"/>
        <name val="Calibri"/>
        <family val="2"/>
        <charset val="162"/>
        <scheme val="none"/>
      </font>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font>
        <b val="0"/>
        <i val="0"/>
        <strike val="0"/>
        <condense val="0"/>
        <extend val="0"/>
        <outline val="0"/>
        <shadow val="0"/>
        <u val="none"/>
        <vertAlign val="baseline"/>
        <sz val="11"/>
        <color auto="1"/>
        <name val="Calibri"/>
        <family val="2"/>
        <charset val="162"/>
        <scheme val="none"/>
      </font>
      <alignment horizontal="center" vertical="center" textRotation="0" wrapText="0" indent="0" justifyLastLine="0" shrinkToFit="0" readingOrder="0"/>
    </dxf>
    <dxf>
      <font>
        <b val="0"/>
        <i val="0"/>
        <strike val="0"/>
        <condense val="0"/>
        <extend val="0"/>
        <outline val="0"/>
        <shadow val="0"/>
        <u val="none"/>
        <vertAlign val="baseline"/>
        <sz val="11"/>
        <color auto="1"/>
        <name val="Calibri"/>
        <charset val="1"/>
        <scheme val="none"/>
      </font>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Calibri"/>
        <family val="2"/>
        <charset val="162"/>
        <scheme val="none"/>
      </font>
      <alignment horizontal="center" vertical="center" textRotation="0" wrapText="0" indent="0" justifyLastLine="0" shrinkToFit="0" readingOrder="0"/>
    </dxf>
    <dxf>
      <font>
        <b val="0"/>
        <i val="0"/>
        <strike val="0"/>
        <condense val="0"/>
        <extend val="0"/>
        <outline val="0"/>
        <shadow val="0"/>
        <u val="none"/>
        <vertAlign val="baseline"/>
        <sz val="11"/>
        <color auto="1"/>
        <name val="Calibri"/>
        <charset val="1"/>
        <scheme val="none"/>
      </font>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Calibri"/>
        <family val="2"/>
        <charset val="162"/>
        <scheme val="none"/>
      </font>
      <alignment horizontal="center" vertical="center" textRotation="0" wrapText="0" indent="0" justifyLastLine="0" shrinkToFit="0" readingOrder="0"/>
    </dxf>
    <dxf>
      <font>
        <b val="0"/>
        <i val="0"/>
        <strike val="0"/>
        <condense val="0"/>
        <extend val="0"/>
        <outline val="0"/>
        <shadow val="0"/>
        <u val="none"/>
        <vertAlign val="baseline"/>
        <sz val="11"/>
        <color auto="1"/>
        <name val="Calibri"/>
        <charset val="1"/>
        <scheme val="none"/>
      </font>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Calibri"/>
        <family val="2"/>
        <charset val="162"/>
        <scheme val="none"/>
      </font>
      <alignment horizontal="center" vertical="center" textRotation="0" wrapText="0" indent="0" justifyLastLine="0" shrinkToFit="0" readingOrder="0"/>
    </dxf>
    <dxf>
      <font>
        <b val="0"/>
        <i val="0"/>
        <strike val="0"/>
        <condense val="0"/>
        <extend val="0"/>
        <outline val="0"/>
        <shadow val="0"/>
        <u val="none"/>
        <vertAlign val="baseline"/>
        <sz val="11"/>
        <color auto="1"/>
        <name val="Calibri"/>
        <charset val="1"/>
        <scheme val="none"/>
      </font>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Calibri"/>
        <family val="2"/>
        <charset val="162"/>
        <scheme val="none"/>
      </font>
      <alignment horizontal="center" vertical="center" textRotation="0" wrapText="0" indent="0" justifyLastLine="0" shrinkToFit="0" readingOrder="0"/>
    </dxf>
    <dxf>
      <font>
        <b val="0"/>
        <i val="0"/>
        <strike val="0"/>
        <condense val="0"/>
        <extend val="0"/>
        <outline val="0"/>
        <shadow val="0"/>
        <u val="none"/>
        <vertAlign val="baseline"/>
        <sz val="11"/>
        <color auto="1"/>
        <name val="Calibri"/>
        <charset val="1"/>
        <scheme val="none"/>
      </font>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Calibri"/>
        <family val="2"/>
        <charset val="162"/>
        <scheme val="none"/>
      </font>
      <alignment horizontal="center" vertical="center" textRotation="0" wrapText="0" indent="0" justifyLastLine="0" shrinkToFit="0" readingOrder="0"/>
    </dxf>
    <dxf>
      <font>
        <b val="0"/>
        <i val="0"/>
        <strike val="0"/>
        <condense val="0"/>
        <extend val="0"/>
        <outline val="0"/>
        <shadow val="0"/>
        <u val="none"/>
        <vertAlign val="baseline"/>
        <sz val="11"/>
        <color auto="1"/>
        <name val="Calibri"/>
        <charset val="1"/>
        <scheme val="none"/>
      </font>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Calibri"/>
        <family val="2"/>
        <charset val="162"/>
        <scheme val="none"/>
      </font>
      <alignment horizontal="center" vertical="center" textRotation="0" wrapText="0" indent="0" justifyLastLine="0" shrinkToFit="0" readingOrder="0"/>
    </dxf>
    <dxf>
      <font>
        <b val="0"/>
        <i val="0"/>
        <strike val="0"/>
        <condense val="0"/>
        <extend val="0"/>
        <outline val="0"/>
        <shadow val="0"/>
        <u val="none"/>
        <vertAlign val="baseline"/>
        <sz val="11"/>
        <color auto="1"/>
        <name val="Calibri"/>
        <charset val="1"/>
        <scheme val="none"/>
      </font>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Calibri"/>
        <family val="2"/>
        <charset val="162"/>
        <scheme val="none"/>
      </font>
      <numFmt numFmtId="1" formatCode="0"/>
      <fill>
        <patternFill patternType="none">
          <fgColor indexed="64"/>
          <bgColor auto="1"/>
        </patternFill>
      </fill>
      <alignment horizontal="center" vertical="center" textRotation="0" wrapText="0" indent="0" justifyLastLine="0" shrinkToFit="0" readingOrder="0"/>
    </dxf>
    <dxf>
      <numFmt numFmtId="1" formatCode="0"/>
      <fill>
        <patternFill patternType="none">
          <fgColor indexed="64"/>
          <bgColor auto="1"/>
        </patternFill>
      </fill>
      <alignment horizontal="center" vertical="center" textRotation="0" wrapText="0" indent="0" justifyLastLine="0" shrinkToFit="0" readingOrder="0"/>
    </dxf>
    <dxf>
      <fill>
        <patternFill patternType="none">
          <fgColor indexed="64"/>
          <bgColor auto="1"/>
        </patternFill>
      </fill>
      <alignment horizontal="center" vertical="bottom" textRotation="0" wrapText="0" indent="0" justifyLastLine="0" shrinkToFit="0" readingOrder="0"/>
    </dxf>
    <dxf>
      <alignment horizontal="center" textRotation="0" wrapText="0" indent="0" justifyLastLine="0" shrinkToFit="0" readingOrder="0"/>
    </dxf>
    <dxf>
      <font>
        <b val="0"/>
        <i val="0"/>
        <strike val="0"/>
        <condense val="0"/>
        <extend val="0"/>
        <outline val="0"/>
        <shadow val="0"/>
        <u val="none"/>
        <vertAlign val="baseline"/>
        <sz val="11"/>
        <color auto="1"/>
        <name val="Calibri"/>
        <charset val="1"/>
        <scheme val="none"/>
      </font>
      <alignment horizontal="center" vertical="center" textRotation="0" wrapText="0" indent="0" justifyLastLine="0" shrinkToFit="0" readingOrder="0"/>
    </dxf>
    <dxf>
      <font>
        <b/>
        <i val="0"/>
        <strike val="0"/>
        <condense val="0"/>
        <extend val="0"/>
        <outline val="0"/>
        <shadow val="0"/>
        <u val="none"/>
        <vertAlign val="baseline"/>
        <sz val="11"/>
        <color auto="1"/>
        <name val="Calibri"/>
        <family val="2"/>
        <charset val="1"/>
        <scheme val="none"/>
      </font>
      <alignment horizontal="center" vertical="center" textRotation="0" wrapText="0" indent="0" justifyLastLine="0" shrinkToFit="0" readingOrder="0"/>
    </dxf>
    <dxf>
      <numFmt numFmtId="2" formatCode="0.00"/>
      <alignment horizontal="center" textRotation="0" wrapText="0" indent="0" justifyLastLine="0" shrinkToFit="0" readingOrder="0"/>
    </dxf>
    <dxf>
      <numFmt numFmtId="164" formatCode="0.00000000000"/>
      <alignment horizontal="center" textRotation="0" wrapText="0" indent="0" justifyLastLine="0" shrinkToFit="0" readingOrder="0"/>
    </dxf>
    <dxf>
      <numFmt numFmtId="2" formatCode="0.00"/>
      <alignment horizontal="center" textRotation="0" wrapText="0" indent="0" justifyLastLine="0" shrinkToFit="0" readingOrder="0"/>
    </dxf>
    <dxf>
      <numFmt numFmtId="2" formatCode="0.00"/>
      <alignment horizontal="center" textRotation="0" wrapText="0" indent="0" justifyLastLine="0" shrinkToFit="0" readingOrder="0"/>
    </dxf>
    <dxf>
      <numFmt numFmtId="2" formatCode="0.00"/>
      <alignment horizontal="center" textRotation="0" wrapText="0" indent="0" justifyLastLine="0" shrinkToFit="0" readingOrder="0"/>
    </dxf>
    <dxf>
      <numFmt numFmtId="2" formatCode="0.00"/>
      <alignment horizontal="center" textRotation="0" wrapText="0" indent="0" justifyLastLine="0" shrinkToFit="0" readingOrder="0"/>
    </dxf>
    <dxf>
      <numFmt numFmtId="2" formatCode="0.00"/>
      <alignment horizontal="center" textRotation="0" wrapText="0" indent="0" justifyLastLine="0" shrinkToFit="0" readingOrder="0"/>
    </dxf>
    <dxf>
      <numFmt numFmtId="2" formatCode="0.00"/>
      <alignment horizontal="center" textRotation="0" wrapText="0" indent="0" justifyLastLine="0" shrinkToFit="0" readingOrder="0"/>
    </dxf>
    <dxf>
      <numFmt numFmtId="2" formatCode="0.00"/>
      <alignment horizontal="center" textRotation="0" wrapText="0" indent="0" justifyLastLine="0" shrinkToFit="0" readingOrder="0"/>
    </dxf>
    <dxf>
      <numFmt numFmtId="2" formatCode="0.00"/>
      <alignment horizontal="center" textRotation="0" wrapText="0" indent="0" justifyLastLine="0" shrinkToFit="0" readingOrder="0"/>
    </dxf>
    <dxf>
      <alignment horizontal="center" vertical="bottom" textRotation="0" wrapText="0" indent="0" justifyLastLine="0" shrinkToFit="0" readingOrder="0"/>
    </dxf>
    <dxf>
      <numFmt numFmtId="0" formatCode="General"/>
    </dxf>
    <dxf>
      <font>
        <b val="0"/>
        <i val="0"/>
        <strike val="0"/>
        <condense val="0"/>
        <extend val="0"/>
        <outline val="0"/>
        <shadow val="0"/>
        <u val="none"/>
        <vertAlign val="baseline"/>
        <sz val="11"/>
        <color auto="1"/>
        <name val="Calibri"/>
        <family val="2"/>
        <charset val="1"/>
        <scheme val="none"/>
      </font>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1"/>
        <color auto="1"/>
        <name val="Calibri"/>
        <family val="2"/>
        <charset val="162"/>
        <scheme val="none"/>
      </font>
      <numFmt numFmtId="2" formatCode="0.00"/>
      <alignment horizontal="center" vertical="center" textRotation="0" wrapText="0" indent="0" justifyLastLine="0" shrinkToFit="0" readingOrder="0"/>
    </dxf>
    <dxf>
      <numFmt numFmtId="2" formatCode="0.00"/>
      <alignment horizontal="center" vertical="center" textRotation="0" wrapText="0" indent="0" justifyLastLine="0" shrinkToFit="0" readingOrder="0"/>
    </dxf>
    <dxf>
      <font>
        <b val="0"/>
        <i val="0"/>
        <strike val="0"/>
        <condense val="0"/>
        <extend val="0"/>
        <outline val="0"/>
        <shadow val="0"/>
        <u val="none"/>
        <vertAlign val="baseline"/>
        <sz val="10"/>
        <color auto="1"/>
        <name val="Noto Sans"/>
        <family val="2"/>
        <charset val="1"/>
        <scheme val="none"/>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auto="1"/>
        <name val="Noto Sans"/>
        <family val="2"/>
        <charset val="1"/>
        <scheme val="none"/>
      </font>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1"/>
        <color auto="1"/>
        <name val="Calibri"/>
        <charset val="1"/>
        <scheme val="none"/>
      </font>
      <numFmt numFmtId="1" formatCode="0"/>
      <alignment horizontal="center" vertical="center" textRotation="0" wrapText="0" indent="0" justifyLastLine="0" shrinkToFit="0" readingOrder="0"/>
    </dxf>
    <dxf>
      <font>
        <b val="0"/>
        <i val="0"/>
        <strike val="0"/>
        <condense val="0"/>
        <extend val="0"/>
        <outline val="0"/>
        <shadow val="0"/>
        <u val="none"/>
        <vertAlign val="baseline"/>
        <sz val="11"/>
        <color auto="1"/>
        <name val="Calibri"/>
        <charset val="1"/>
        <scheme val="none"/>
      </font>
      <numFmt numFmtId="1" formatCode="0"/>
      <alignment horizontal="center" vertical="center" textRotation="0" wrapText="0" indent="0" justifyLastLine="0" shrinkToFit="0" readingOrder="0"/>
    </dxf>
    <dxf>
      <font>
        <b val="0"/>
        <i val="0"/>
        <strike val="0"/>
        <condense val="0"/>
        <extend val="0"/>
        <outline val="0"/>
        <shadow val="0"/>
        <u val="none"/>
        <vertAlign val="baseline"/>
        <sz val="11"/>
        <color auto="1"/>
        <name val="Calibri"/>
        <charset val="1"/>
        <scheme val="none"/>
      </font>
      <numFmt numFmtId="1" formatCode="0"/>
      <alignment horizontal="center" vertical="bottom" textRotation="0" wrapText="0" indent="0" justifyLastLine="0" shrinkToFit="0" readingOrder="0"/>
    </dxf>
    <dxf>
      <alignment horizontal="center" textRotation="0" wrapText="0" indent="0" justifyLastLine="0" shrinkToFit="0" readingOrder="0"/>
    </dxf>
    <dxf>
      <font>
        <b/>
        <i val="0"/>
        <strike val="0"/>
        <condense val="0"/>
        <extend val="0"/>
        <outline val="0"/>
        <shadow val="0"/>
        <u val="none"/>
        <vertAlign val="baseline"/>
        <sz val="11"/>
        <color auto="1"/>
        <name val="Calibri"/>
        <family val="2"/>
        <charset val="162"/>
        <scheme val="none"/>
      </font>
      <alignment horizontal="center" vertical="center"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val="0"/>
        <i val="0"/>
        <strike val="0"/>
        <condense val="0"/>
        <extend val="0"/>
        <outline val="0"/>
        <shadow val="0"/>
        <u val="none"/>
        <vertAlign val="baseline"/>
        <sz val="11"/>
        <color auto="1"/>
        <name val="Calibri"/>
        <family val="2"/>
        <charset val="162"/>
        <scheme val="none"/>
      </font>
      <alignment horizontal="center" vertical="bottom"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textRotation="0" wrapText="0" indent="0" justifyLastLine="0" shrinkToFit="0" readingOrder="0"/>
    </dxf>
    <dxf>
      <font>
        <b val="0"/>
        <i val="0"/>
        <strike val="0"/>
        <condense val="0"/>
        <extend val="0"/>
        <outline val="0"/>
        <shadow val="0"/>
        <u val="none"/>
        <vertAlign val="baseline"/>
        <sz val="11"/>
        <color auto="1"/>
        <name val="Calibri"/>
        <family val="2"/>
        <charset val="1"/>
        <scheme val="none"/>
      </font>
      <alignment horizontal="center" vertic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numFmt numFmtId="2" formatCode="0.00"/>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textRotation="0" wrapText="0" indent="0" justifyLastLine="0" shrinkToFit="0" readingOrder="0"/>
    </dxf>
    <dxf>
      <font>
        <b val="0"/>
        <i val="0"/>
        <strike val="0"/>
        <condense val="0"/>
        <extend val="0"/>
        <outline val="0"/>
        <shadow val="0"/>
        <u val="none"/>
        <vertAlign val="baseline"/>
        <sz val="11"/>
        <color auto="1"/>
        <name val="Calibri"/>
        <family val="2"/>
        <charset val="1"/>
        <scheme val="none"/>
      </font>
      <alignment horizontal="center" vertic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numFmt numFmtId="0" formatCode="General"/>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1"/>
        <color auto="1"/>
        <name val="Calibri"/>
        <charset val="1"/>
        <scheme val="none"/>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auto="1"/>
        <name val="Noto Sans"/>
        <family val="2"/>
        <charset val="1"/>
        <scheme val="none"/>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auto="1"/>
        <name val="Noto Sans"/>
        <family val="2"/>
        <charset val="1"/>
        <scheme val="none"/>
      </font>
      <numFmt numFmtId="0" formatCode="General"/>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font>
        <b val="0"/>
        <i val="0"/>
        <strike val="0"/>
        <condense val="0"/>
        <extend val="0"/>
        <outline val="0"/>
        <shadow val="0"/>
        <u val="none"/>
        <vertAlign val="baseline"/>
        <sz val="11"/>
        <color auto="1"/>
        <name val="Calibri"/>
        <family val="2"/>
        <charset val="162"/>
        <scheme val="none"/>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charset val="162"/>
        <scheme val="none"/>
      </font>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charset val="162"/>
        <scheme val="none"/>
      </font>
      <fill>
        <patternFill patternType="none">
          <fgColor indexed="64"/>
          <bgColor auto="1"/>
        </patternFill>
      </fill>
      <alignment horizontal="center" vertical="center" textRotation="0" wrapText="0" indent="0" justifyLastLine="0" shrinkToFit="0" readingOrder="0"/>
    </dxf>
    <dxf>
      <font>
        <b/>
        <i val="0"/>
        <strike val="0"/>
        <condense val="0"/>
        <extend val="0"/>
        <outline val="0"/>
        <shadow val="0"/>
        <u val="none"/>
        <vertAlign val="baseline"/>
        <sz val="11"/>
        <color auto="1"/>
        <name val="Calibri"/>
        <family val="2"/>
        <charset val="162"/>
        <scheme val="none"/>
      </font>
      <alignment horizontal="center" vertical="center" textRotation="0" wrapText="0" indent="0" justifyLastLine="0" shrinkToFit="0" readingOrder="0"/>
    </dxf>
    <dxf>
      <font>
        <b val="0"/>
        <i val="0"/>
        <strike val="0"/>
        <condense val="0"/>
        <extend val="0"/>
        <outline val="0"/>
        <shadow val="0"/>
        <u val="none"/>
        <vertAlign val="baseline"/>
        <sz val="11"/>
        <color auto="1"/>
        <name val="Calibri"/>
        <family val="2"/>
        <charset val="162"/>
        <scheme val="none"/>
      </font>
      <fill>
        <patternFill patternType="solid">
          <fgColor indexed="64"/>
          <bgColor theme="9" tint="0.59999389629810485"/>
        </patternFill>
      </fill>
      <alignment horizontal="center" vertical="center" textRotation="0" wrapText="0" indent="0" justifyLastLine="0" shrinkToFit="0" readingOrder="0"/>
    </dxf>
    <dxf>
      <font>
        <b val="0"/>
        <i val="0"/>
        <strike val="0"/>
        <condense val="0"/>
        <extend val="0"/>
        <outline val="0"/>
        <shadow val="0"/>
        <u val="none"/>
        <vertAlign val="baseline"/>
        <sz val="10"/>
        <color auto="1"/>
        <name val="Noto Sans"/>
        <family val="2"/>
        <charset val="162"/>
        <scheme val="none"/>
      </font>
      <fill>
        <patternFill patternType="solid">
          <fgColor indexed="64"/>
          <bgColor theme="9" tint="0.59999389629810485"/>
        </patternFill>
      </fill>
      <alignment horizontal="center" vertical="center" textRotation="0" wrapText="0" indent="0" justifyLastLine="0" shrinkToFit="0" readingOrder="0"/>
    </dxf>
    <dxf>
      <fill>
        <patternFill patternType="solid">
          <fgColor indexed="64"/>
          <bgColor theme="9" tint="0.59999389629810485"/>
        </patternFill>
      </fill>
    </dxf>
    <dxf>
      <fill>
        <patternFill patternType="solid">
          <fgColor indexed="64"/>
          <bgColor theme="9" tint="0.59999389629810485"/>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Calibri"/>
        <family val="2"/>
        <charset val="162"/>
        <scheme val="none"/>
      </font>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font>
        <b val="0"/>
        <i val="0"/>
        <strike val="0"/>
        <condense val="0"/>
        <extend val="0"/>
        <outline val="0"/>
        <shadow val="0"/>
        <u val="none"/>
        <vertAlign val="baseline"/>
        <sz val="11"/>
        <color auto="1"/>
        <name val="Calibri"/>
        <family val="2"/>
        <charset val="162"/>
        <scheme val="none"/>
      </font>
      <alignment horizontal="center" vertical="center" textRotation="0" wrapText="0" indent="0" justifyLastLine="0" shrinkToFit="0" readingOrder="0"/>
    </dxf>
    <dxf>
      <font>
        <b val="0"/>
        <i val="0"/>
        <strike val="0"/>
        <condense val="0"/>
        <extend val="0"/>
        <outline val="0"/>
        <shadow val="0"/>
        <u val="none"/>
        <vertAlign val="baseline"/>
        <sz val="11"/>
        <color auto="1"/>
        <name val="Calibri"/>
        <family val="2"/>
        <charset val="162"/>
        <scheme val="none"/>
      </font>
      <fill>
        <patternFill patternType="none">
          <fgColor indexed="64"/>
          <bgColor auto="1"/>
        </patternFill>
      </fill>
    </dxf>
    <dxf>
      <font>
        <b val="0"/>
        <i val="0"/>
        <strike val="0"/>
        <condense val="0"/>
        <extend val="0"/>
        <outline val="0"/>
        <shadow val="0"/>
        <u val="none"/>
        <vertAlign val="baseline"/>
        <sz val="11"/>
        <color auto="1"/>
        <name val="Calibri"/>
        <family val="2"/>
        <charset val="162"/>
        <scheme val="none"/>
      </font>
      <fill>
        <patternFill patternType="solid">
          <fgColor indexed="64"/>
          <bgColor theme="9" tint="0.59999389629810485"/>
        </patternFill>
      </fill>
    </dxf>
    <dxf>
      <font>
        <b val="0"/>
        <i val="0"/>
        <strike val="0"/>
        <condense val="0"/>
        <extend val="0"/>
        <outline val="0"/>
        <shadow val="0"/>
        <u val="none"/>
        <vertAlign val="baseline"/>
        <sz val="11"/>
        <color auto="1"/>
        <name val="Calibri"/>
        <family val="2"/>
        <charset val="162"/>
        <scheme val="none"/>
      </font>
    </dxf>
    <dxf>
      <font>
        <b val="0"/>
        <i val="0"/>
        <strike val="0"/>
        <condense val="0"/>
        <extend val="0"/>
        <outline val="0"/>
        <shadow val="0"/>
        <u val="none"/>
        <vertAlign val="baseline"/>
        <sz val="11"/>
        <color auto="1"/>
        <name val="Calibri"/>
        <family val="2"/>
        <charset val="162"/>
        <scheme val="none"/>
      </font>
    </dxf>
    <dxf>
      <font>
        <b val="0"/>
        <i val="0"/>
        <strike val="0"/>
        <condense val="0"/>
        <extend val="0"/>
        <outline val="0"/>
        <shadow val="0"/>
        <u val="none"/>
        <vertAlign val="baseline"/>
        <sz val="11"/>
        <color auto="1"/>
        <name val="Calibri"/>
        <family val="2"/>
        <charset val="162"/>
        <scheme val="none"/>
      </font>
    </dxf>
    <dxf>
      <font>
        <b val="0"/>
        <i val="0"/>
        <strike val="0"/>
        <condense val="0"/>
        <extend val="0"/>
        <outline val="0"/>
        <shadow val="0"/>
        <u val="none"/>
        <vertAlign val="baseline"/>
        <sz val="11"/>
        <color auto="1"/>
        <name val="Calibri"/>
        <family val="2"/>
        <charset val="162"/>
        <scheme val="none"/>
      </font>
    </dxf>
    <dxf>
      <font>
        <b val="0"/>
        <i val="0"/>
        <strike val="0"/>
        <condense val="0"/>
        <extend val="0"/>
        <outline val="0"/>
        <shadow val="0"/>
        <u val="none"/>
        <vertAlign val="baseline"/>
        <sz val="11"/>
        <color auto="1"/>
        <name val="Calibri"/>
        <family val="2"/>
        <charset val="162"/>
        <scheme val="none"/>
      </font>
    </dxf>
    <dxf>
      <numFmt numFmtId="2" formatCode="0.00"/>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textRotation="0" wrapText="0" indent="0" justifyLastLine="0" shrinkToFit="0" readingOrder="0"/>
    </dxf>
    <dxf>
      <font>
        <b val="0"/>
        <i val="0"/>
        <strike val="0"/>
        <condense val="0"/>
        <extend val="0"/>
        <outline val="0"/>
        <shadow val="0"/>
        <u val="none"/>
        <vertAlign val="baseline"/>
        <sz val="11"/>
        <color auto="1"/>
        <name val="Calibri"/>
        <family val="2"/>
        <charset val="1"/>
        <scheme val="none"/>
      </font>
      <alignment horizontal="center" vertic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numFmt numFmtId="2" formatCode="0.00"/>
      <alignment horizontal="center" textRotation="0" wrapText="0" indent="0" justifyLastLine="0" shrinkToFit="0" readingOrder="0"/>
    </dxf>
    <dxf>
      <numFmt numFmtId="164" formatCode="0.00000000000"/>
      <alignment horizontal="center" textRotation="0" wrapText="0" indent="0" justifyLastLine="0" shrinkToFit="0" readingOrder="0"/>
    </dxf>
    <dxf>
      <numFmt numFmtId="2" formatCode="0.00"/>
      <alignment horizontal="center" textRotation="0" wrapText="0" indent="0" justifyLastLine="0" shrinkToFit="0" readingOrder="0"/>
    </dxf>
    <dxf>
      <numFmt numFmtId="2" formatCode="0.00"/>
      <alignment horizontal="center" textRotation="0" wrapText="0" indent="0" justifyLastLine="0" shrinkToFit="0" readingOrder="0"/>
    </dxf>
    <dxf>
      <numFmt numFmtId="2" formatCode="0.00"/>
      <alignment horizontal="center" textRotation="0" wrapText="0" indent="0" justifyLastLine="0" shrinkToFit="0" readingOrder="0"/>
    </dxf>
    <dxf>
      <numFmt numFmtId="2" formatCode="0.00"/>
      <alignment horizontal="center" textRotation="0" wrapText="0" indent="0" justifyLastLine="0" shrinkToFit="0" readingOrder="0"/>
    </dxf>
    <dxf>
      <numFmt numFmtId="2" formatCode="0.00"/>
      <alignment horizontal="center" textRotation="0" wrapText="0" indent="0" justifyLastLine="0" shrinkToFit="0" readingOrder="0"/>
    </dxf>
    <dxf>
      <numFmt numFmtId="2" formatCode="0.00"/>
      <alignment horizontal="center" textRotation="0" wrapText="0" indent="0" justifyLastLine="0" shrinkToFit="0" readingOrder="0"/>
    </dxf>
    <dxf>
      <numFmt numFmtId="2" formatCode="0.00"/>
      <alignment horizontal="center" textRotation="0" wrapText="0" indent="0" justifyLastLine="0" shrinkToFit="0" readingOrder="0"/>
    </dxf>
    <dxf>
      <numFmt numFmtId="2" formatCode="0.00"/>
      <alignment horizontal="center" textRotation="0" wrapText="0" indent="0" justifyLastLine="0" shrinkToFit="0" readingOrder="0"/>
    </dxf>
    <dxf>
      <alignment horizontal="center" vertical="bottom" textRotation="0" wrapText="0" indent="0" justifyLastLine="0" shrinkToFit="0" readingOrder="0"/>
    </dxf>
    <dxf>
      <font>
        <b val="0"/>
        <i val="0"/>
        <strike val="0"/>
        <condense val="0"/>
        <extend val="0"/>
        <outline val="0"/>
        <shadow val="0"/>
        <u val="none"/>
        <vertAlign val="baseline"/>
        <sz val="11"/>
        <color auto="1"/>
        <name val="Calibri"/>
        <family val="2"/>
        <charset val="1"/>
        <scheme val="none"/>
      </font>
      <alignment horizontal="center" vertic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vertical="center" textRotation="0" wrapText="0" indent="0" justifyLastLine="0" shrinkToFit="0" readingOrder="0"/>
    </dxf>
    <dxf>
      <font>
        <b val="0"/>
        <i val="0"/>
        <strike val="0"/>
        <condense val="0"/>
        <extend val="0"/>
        <outline val="0"/>
        <shadow val="0"/>
        <u val="none"/>
        <vertAlign val="baseline"/>
        <sz val="11"/>
        <color auto="1"/>
        <name val="Calibri"/>
        <charset val="1"/>
        <scheme val="none"/>
      </font>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Calibri"/>
        <charset val="1"/>
        <scheme val="none"/>
      </font>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Calibri"/>
        <charset val="1"/>
        <scheme val="none"/>
      </font>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Calibri"/>
        <charset val="1"/>
        <scheme val="none"/>
      </font>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Calibri"/>
        <charset val="1"/>
        <scheme val="none"/>
      </font>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Calibri"/>
        <charset val="1"/>
        <scheme val="none"/>
      </font>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Calibri"/>
        <charset val="1"/>
        <scheme val="none"/>
      </font>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Calibri"/>
        <charset val="1"/>
        <scheme val="none"/>
      </font>
      <fill>
        <patternFill patternType="solid">
          <fgColor indexed="64"/>
          <bgColor rgb="FFFFFF00"/>
        </patternFill>
      </fill>
      <alignment horizontal="center" vertical="center" textRotation="0" wrapText="0" indent="0" justifyLastLine="0" shrinkToFit="0" readingOrder="0"/>
    </dxf>
    <dxf>
      <font>
        <b/>
        <i val="0"/>
        <strike val="0"/>
        <condense val="0"/>
        <extend val="0"/>
        <outline val="0"/>
        <shadow val="0"/>
        <u val="none"/>
        <vertAlign val="baseline"/>
        <sz val="11"/>
        <color auto="1"/>
        <name val="Calibri"/>
        <family val="2"/>
        <charset val="1"/>
        <scheme val="none"/>
      </font>
      <fill>
        <patternFill patternType="none">
          <fgColor indexed="64"/>
          <bgColor indexed="65"/>
        </patternFill>
      </fill>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font>
        <b val="0"/>
        <i val="0"/>
        <strike val="0"/>
        <condense val="0"/>
        <extend val="0"/>
        <outline val="0"/>
        <shadow val="0"/>
        <u val="none"/>
        <vertAlign val="baseline"/>
        <sz val="11"/>
        <color auto="1"/>
        <name val="Calibri"/>
        <family val="2"/>
        <charset val="162"/>
        <scheme val="none"/>
      </font>
    </dxf>
    <dxf>
      <font>
        <b val="0"/>
        <i val="0"/>
        <strike val="0"/>
        <condense val="0"/>
        <extend val="0"/>
        <outline val="0"/>
        <shadow val="0"/>
        <u val="none"/>
        <vertAlign val="baseline"/>
        <sz val="11"/>
        <color auto="1"/>
        <name val="Calibri"/>
        <family val="2"/>
        <charset val="162"/>
        <scheme val="none"/>
      </font>
    </dxf>
    <dxf>
      <font>
        <b val="0"/>
        <i val="0"/>
        <strike val="0"/>
        <condense val="0"/>
        <extend val="0"/>
        <outline val="0"/>
        <shadow val="0"/>
        <u val="none"/>
        <vertAlign val="baseline"/>
        <sz val="11"/>
        <color auto="1"/>
        <name val="Calibri"/>
        <family val="2"/>
        <charset val="162"/>
        <scheme val="none"/>
      </font>
    </dxf>
    <dxf>
      <font>
        <b val="0"/>
        <i val="0"/>
        <strike val="0"/>
        <condense val="0"/>
        <extend val="0"/>
        <outline val="0"/>
        <shadow val="0"/>
        <u val="none"/>
        <vertAlign val="baseline"/>
        <sz val="11"/>
        <color auto="1"/>
        <name val="Calibri"/>
        <family val="2"/>
        <charset val="162"/>
        <scheme val="none"/>
      </font>
    </dxf>
    <dxf>
      <font>
        <b val="0"/>
        <i val="0"/>
        <strike val="0"/>
        <condense val="0"/>
        <extend val="0"/>
        <outline val="0"/>
        <shadow val="0"/>
        <u val="none"/>
        <vertAlign val="baseline"/>
        <sz val="11"/>
        <color auto="1"/>
        <name val="Calibri"/>
        <family val="2"/>
        <charset val="162"/>
        <scheme val="none"/>
      </font>
    </dxf>
    <dxf>
      <font>
        <b val="0"/>
        <i val="0"/>
        <strike val="0"/>
        <condense val="0"/>
        <extend val="0"/>
        <outline val="0"/>
        <shadow val="0"/>
        <u val="none"/>
        <vertAlign val="baseline"/>
        <sz val="11"/>
        <color auto="1"/>
        <name val="Calibri"/>
        <family val="2"/>
        <charset val="162"/>
        <scheme val="none"/>
      </font>
    </dxf>
    <dxf>
      <font>
        <b val="0"/>
        <i val="0"/>
        <strike val="0"/>
        <condense val="0"/>
        <extend val="0"/>
        <outline val="0"/>
        <shadow val="0"/>
        <u val="none"/>
        <vertAlign val="baseline"/>
        <sz val="11"/>
        <color auto="1"/>
        <name val="Calibri"/>
        <family val="2"/>
        <charset val="162"/>
        <scheme val="none"/>
      </font>
    </dxf>
    <dxf>
      <font>
        <b val="0"/>
        <i val="0"/>
        <strike val="0"/>
        <condense val="0"/>
        <extend val="0"/>
        <outline val="0"/>
        <shadow val="0"/>
        <u val="none"/>
        <vertAlign val="baseline"/>
        <sz val="11"/>
        <color auto="1"/>
        <name val="Calibri"/>
        <family val="2"/>
        <charset val="162"/>
        <scheme val="none"/>
      </font>
    </dxf>
    <dxf>
      <font>
        <b val="0"/>
        <i val="0"/>
        <strike val="0"/>
        <condense val="0"/>
        <extend val="0"/>
        <outline val="0"/>
        <shadow val="0"/>
        <u val="none"/>
        <vertAlign val="baseline"/>
        <sz val="11"/>
        <color auto="1"/>
        <name val="Calibri"/>
        <family val="2"/>
        <charset val="162"/>
        <scheme val="none"/>
      </font>
    </dxf>
    <dxf>
      <font>
        <b val="0"/>
        <i val="0"/>
        <strike val="0"/>
        <condense val="0"/>
        <extend val="0"/>
        <outline val="0"/>
        <shadow val="0"/>
        <u val="none"/>
        <vertAlign val="baseline"/>
        <sz val="11"/>
        <color auto="1"/>
        <name val="Calibri"/>
        <family val="2"/>
        <charset val="162"/>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tr-T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tr-TR"/>
              <a:t>CENG-XXX CURVE</a:t>
            </a:r>
            <a:endParaRPr lang="en-US"/>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lotArea>
      <c:layout/>
      <c:scatterChart>
        <c:scatterStyle val="lineMarker"/>
        <c:varyColors val="0"/>
        <c:ser>
          <c:idx val="0"/>
          <c:order val="0"/>
          <c:spPr>
            <a:ln w="22225" cap="rnd">
              <a:solidFill>
                <a:schemeClr val="accent1"/>
              </a:solidFill>
            </a:ln>
            <a:effectLst>
              <a:glow rad="139700">
                <a:schemeClr val="accent1">
                  <a:satMod val="175000"/>
                  <a:alpha val="14000"/>
                </a:schemeClr>
              </a:glow>
            </a:effectLst>
          </c:spPr>
          <c:marker>
            <c:symbol val="circle"/>
            <c:size val="3"/>
            <c:spPr>
              <a:solidFill>
                <a:schemeClr val="accent1">
                  <a:lumMod val="60000"/>
                  <a:lumOff val="40000"/>
                </a:schemeClr>
              </a:solidFill>
              <a:ln>
                <a:noFill/>
              </a:ln>
              <a:effectLst>
                <a:glow rad="63500">
                  <a:schemeClr val="accent1">
                    <a:satMod val="175000"/>
                    <a:alpha val="25000"/>
                  </a:schemeClr>
                </a:glow>
              </a:effectLst>
            </c:spPr>
          </c:marker>
          <c:dLbls>
            <c:dLbl>
              <c:idx val="0"/>
              <c:tx>
                <c:rich>
                  <a:bodyPr/>
                  <a:lstStyle/>
                  <a:p>
                    <a:fld id="{FA253F26-D2BF-4779-B26F-34225EEC55A1}"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0-8F87-4115-B831-ED333E4286A2}"/>
                </c:ext>
              </c:extLst>
            </c:dLbl>
            <c:dLbl>
              <c:idx val="1"/>
              <c:tx>
                <c:rich>
                  <a:bodyPr/>
                  <a:lstStyle/>
                  <a:p>
                    <a:fld id="{AC9F16A7-05AB-48EA-9ED3-121C62CE19BC}"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8F87-4115-B831-ED333E4286A2}"/>
                </c:ext>
              </c:extLst>
            </c:dLbl>
            <c:dLbl>
              <c:idx val="2"/>
              <c:tx>
                <c:rich>
                  <a:bodyPr/>
                  <a:lstStyle/>
                  <a:p>
                    <a:fld id="{7487AC73-F412-40E2-B37A-09A1FAF9F715}"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8F87-4115-B831-ED333E4286A2}"/>
                </c:ext>
              </c:extLst>
            </c:dLbl>
            <c:dLbl>
              <c:idx val="3"/>
              <c:tx>
                <c:rich>
                  <a:bodyPr/>
                  <a:lstStyle/>
                  <a:p>
                    <a:fld id="{6DBAB138-31AF-41D7-ACC2-83AA0D55D218}"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8F87-4115-B831-ED333E4286A2}"/>
                </c:ext>
              </c:extLst>
            </c:dLbl>
            <c:dLbl>
              <c:idx val="4"/>
              <c:tx>
                <c:rich>
                  <a:bodyPr/>
                  <a:lstStyle/>
                  <a:p>
                    <a:fld id="{96FBB2ED-747D-43FA-BE1E-CEFE682A2B29}"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8F87-4115-B831-ED333E4286A2}"/>
                </c:ext>
              </c:extLst>
            </c:dLbl>
            <c:dLbl>
              <c:idx val="5"/>
              <c:tx>
                <c:rich>
                  <a:bodyPr/>
                  <a:lstStyle/>
                  <a:p>
                    <a:fld id="{0A260974-5DB8-4471-989A-4A67D7395BD2}"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8F87-4115-B831-ED333E4286A2}"/>
                </c:ext>
              </c:extLst>
            </c:dLbl>
            <c:dLbl>
              <c:idx val="6"/>
              <c:tx>
                <c:rich>
                  <a:bodyPr/>
                  <a:lstStyle/>
                  <a:p>
                    <a:fld id="{B142C20B-AE6C-4AB7-AAE9-D17BA3863A4B}"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8F87-4115-B831-ED333E4286A2}"/>
                </c:ext>
              </c:extLst>
            </c:dLbl>
            <c:dLbl>
              <c:idx val="7"/>
              <c:tx>
                <c:rich>
                  <a:bodyPr/>
                  <a:lstStyle/>
                  <a:p>
                    <a:fld id="{86138D10-7DF3-4FE3-9ACF-A446C60D775B}"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8F87-4115-B831-ED333E4286A2}"/>
                </c:ext>
              </c:extLst>
            </c:dLbl>
            <c:dLbl>
              <c:idx val="8"/>
              <c:tx>
                <c:rich>
                  <a:bodyPr/>
                  <a:lstStyle/>
                  <a:p>
                    <a:fld id="{BF29B40A-5240-4475-A540-24410C582B71}"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8F87-4115-B831-ED333E4286A2}"/>
                </c:ext>
              </c:extLst>
            </c:dLbl>
            <c:dLbl>
              <c:idx val="9"/>
              <c:tx>
                <c:rich>
                  <a:bodyPr/>
                  <a:lstStyle/>
                  <a:p>
                    <a:fld id="{751781BF-7FDB-41C8-B38D-BE96AB2541B0}"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8F87-4115-B831-ED333E4286A2}"/>
                </c:ext>
              </c:extLst>
            </c:dLbl>
            <c:dLbl>
              <c:idx val="10"/>
              <c:tx>
                <c:rich>
                  <a:bodyPr/>
                  <a:lstStyle/>
                  <a:p>
                    <a:fld id="{B57F731F-8352-4602-A071-16FEA9DD0603}"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8F87-4115-B831-ED333E4286A2}"/>
                </c:ext>
              </c:extLst>
            </c:dLbl>
            <c:dLbl>
              <c:idx val="11"/>
              <c:tx>
                <c:rich>
                  <a:bodyPr/>
                  <a:lstStyle/>
                  <a:p>
                    <a:fld id="{1BC4B732-DB79-4394-8BA4-D855C24C14A5}"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8F87-4115-B831-ED333E4286A2}"/>
                </c:ext>
              </c:extLst>
            </c:dLbl>
            <c:dLbl>
              <c:idx val="12"/>
              <c:tx>
                <c:rich>
                  <a:bodyPr/>
                  <a:lstStyle/>
                  <a:p>
                    <a:fld id="{98A9FF12-7C5E-4C5B-BDE1-1A31B4C9EC9C}"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C-8F87-4115-B831-ED333E4286A2}"/>
                </c:ext>
              </c:extLst>
            </c:dLbl>
            <c:dLbl>
              <c:idx val="13"/>
              <c:tx>
                <c:rich>
                  <a:bodyPr/>
                  <a:lstStyle/>
                  <a:p>
                    <a:fld id="{1203AA54-CB5D-421D-BAE3-7B3CC6A677FD}"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D-8F87-4115-B831-ED333E4286A2}"/>
                </c:ext>
              </c:extLst>
            </c:dLbl>
            <c:dLbl>
              <c:idx val="14"/>
              <c:tx>
                <c:rich>
                  <a:bodyPr/>
                  <a:lstStyle/>
                  <a:p>
                    <a:fld id="{E3ACF3F1-B5B2-460B-A14C-B9CCB5074412}"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E-8F87-4115-B831-ED333E4286A2}"/>
                </c:ext>
              </c:extLst>
            </c:dLbl>
            <c:dLbl>
              <c:idx val="15"/>
              <c:tx>
                <c:rich>
                  <a:bodyPr/>
                  <a:lstStyle/>
                  <a:p>
                    <a:fld id="{461684AC-422A-4934-917C-2FE217CF63F6}"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F-8F87-4115-B831-ED333E4286A2}"/>
                </c:ext>
              </c:extLst>
            </c:dLbl>
            <c:dLbl>
              <c:idx val="16"/>
              <c:tx>
                <c:rich>
                  <a:bodyPr/>
                  <a:lstStyle/>
                  <a:p>
                    <a:fld id="{D0B53E7F-7FF5-434C-9E39-81471D5FA878}"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0-8F87-4115-B831-ED333E4286A2}"/>
                </c:ext>
              </c:extLst>
            </c:dLbl>
            <c:dLbl>
              <c:idx val="17"/>
              <c:tx>
                <c:rich>
                  <a:bodyPr/>
                  <a:lstStyle/>
                  <a:p>
                    <a:fld id="{16D9F014-C199-4F55-B058-3E1C9C790418}"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1-8F87-4115-B831-ED333E4286A2}"/>
                </c:ext>
              </c:extLst>
            </c:dLbl>
            <c:dLbl>
              <c:idx val="18"/>
              <c:tx>
                <c:rich>
                  <a:bodyPr/>
                  <a:lstStyle/>
                  <a:p>
                    <a:fld id="{2E0B1968-8E87-425F-9524-A1EA46B09C40}"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2-8F87-4115-B831-ED333E4286A2}"/>
                </c:ext>
              </c:extLst>
            </c:dLbl>
            <c:dLbl>
              <c:idx val="19"/>
              <c:tx>
                <c:rich>
                  <a:bodyPr/>
                  <a:lstStyle/>
                  <a:p>
                    <a:fld id="{7F8EB612-0DFE-4FEE-8198-F18587B534DE}"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3-8F87-4115-B831-ED333E4286A2}"/>
                </c:ext>
              </c:extLst>
            </c:dLbl>
            <c:dLbl>
              <c:idx val="20"/>
              <c:tx>
                <c:rich>
                  <a:bodyPr/>
                  <a:lstStyle/>
                  <a:p>
                    <a:fld id="{BD322E72-0BE5-4DC0-9510-56A99535BB0F}"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4-8F87-4115-B831-ED333E4286A2}"/>
                </c:ext>
              </c:extLst>
            </c:dLbl>
            <c:dLbl>
              <c:idx val="21"/>
              <c:tx>
                <c:rich>
                  <a:bodyPr/>
                  <a:lstStyle/>
                  <a:p>
                    <a:fld id="{E71BB996-6373-4655-9654-DC086BB6E35C}"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5-8F87-4115-B831-ED333E4286A2}"/>
                </c:ext>
              </c:extLst>
            </c:dLbl>
            <c:dLbl>
              <c:idx val="22"/>
              <c:tx>
                <c:rich>
                  <a:bodyPr/>
                  <a:lstStyle/>
                  <a:p>
                    <a:fld id="{5F3ADAD4-3A6A-48A2-8D87-FB5C10F82CDC}"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6-8F87-4115-B831-ED333E4286A2}"/>
                </c:ext>
              </c:extLst>
            </c:dLbl>
            <c:dLbl>
              <c:idx val="23"/>
              <c:tx>
                <c:rich>
                  <a:bodyPr/>
                  <a:lstStyle/>
                  <a:p>
                    <a:fld id="{299AC30D-4252-4E76-A4D9-BC57062D3363}"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7-8F87-4115-B831-ED333E4286A2}"/>
                </c:ext>
              </c:extLst>
            </c:dLbl>
            <c:dLbl>
              <c:idx val="24"/>
              <c:tx>
                <c:rich>
                  <a:bodyPr/>
                  <a:lstStyle/>
                  <a:p>
                    <a:fld id="{07252644-2FE8-445B-AAF3-4370E2B50306}"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8-8F87-4115-B831-ED333E4286A2}"/>
                </c:ext>
              </c:extLst>
            </c:dLbl>
            <c:dLbl>
              <c:idx val="25"/>
              <c:tx>
                <c:rich>
                  <a:bodyPr/>
                  <a:lstStyle/>
                  <a:p>
                    <a:fld id="{24C56282-8143-4523-8AF8-AA05632EA2B3}"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9-8F87-4115-B831-ED333E4286A2}"/>
                </c:ext>
              </c:extLst>
            </c:dLbl>
            <c:dLbl>
              <c:idx val="26"/>
              <c:tx>
                <c:rich>
                  <a:bodyPr/>
                  <a:lstStyle/>
                  <a:p>
                    <a:fld id="{048A7CF5-8274-4C39-ACA5-939370041E2E}"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A-8F87-4115-B831-ED333E4286A2}"/>
                </c:ext>
              </c:extLst>
            </c:dLbl>
            <c:dLbl>
              <c:idx val="27"/>
              <c:tx>
                <c:rich>
                  <a:bodyPr/>
                  <a:lstStyle/>
                  <a:p>
                    <a:fld id="{92911CF1-90DD-4C46-B833-DBDAE95372E6}"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B-8F87-4115-B831-ED333E4286A2}"/>
                </c:ext>
              </c:extLst>
            </c:dLbl>
            <c:dLbl>
              <c:idx val="28"/>
              <c:tx>
                <c:rich>
                  <a:bodyPr/>
                  <a:lstStyle/>
                  <a:p>
                    <a:fld id="{B53BEABE-9B09-4096-94CE-1BD06B600847}"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C-8F87-4115-B831-ED333E4286A2}"/>
                </c:ext>
              </c:extLst>
            </c:dLbl>
            <c:dLbl>
              <c:idx val="29"/>
              <c:tx>
                <c:rich>
                  <a:bodyPr/>
                  <a:lstStyle/>
                  <a:p>
                    <a:fld id="{A2514099-D570-4F06-8EAC-2BCEB6412ACF}"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D-8F87-4115-B831-ED333E4286A2}"/>
                </c:ext>
              </c:extLst>
            </c:dLbl>
            <c:spPr>
              <a:solidFill>
                <a:sysClr val="windowText" lastClr="000000">
                  <a:lumMod val="65000"/>
                  <a:lumOff val="35000"/>
                </a:sysClr>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lt1">
                        <a:lumMod val="15000"/>
                        <a:lumOff val="85000"/>
                      </a:schemeClr>
                    </a:solidFill>
                    <a:latin typeface="+mn-lt"/>
                    <a:ea typeface="+mn-ea"/>
                    <a:cs typeface="+mn-cs"/>
                  </a:defRPr>
                </a:pPr>
                <a:endParaRPr lang="en-US"/>
              </a:p>
            </c:txPr>
            <c:dLblPos val="t"/>
            <c:showLegendKey val="0"/>
            <c:showVal val="0"/>
            <c:showCatName val="0"/>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DataLabelsRange val="1"/>
                <c15:showLeaderLines val="0"/>
              </c:ext>
            </c:extLst>
          </c:dLbls>
          <c:xVal>
            <c:numRef>
              <c:f>MAIN!$K$4:$K$33</c:f>
              <c:numCache>
                <c:formatCode>0.00</c:formatCode>
                <c:ptCount val="30"/>
                <c:pt idx="0">
                  <c:v>63.5</c:v>
                </c:pt>
                <c:pt idx="1">
                  <c:v>57.7</c:v>
                </c:pt>
                <c:pt idx="2">
                  <c:v>54.379999999999995</c:v>
                </c:pt>
                <c:pt idx="3">
                  <c:v>53.379999999999995</c:v>
                </c:pt>
                <c:pt idx="4">
                  <c:v>53.2</c:v>
                </c:pt>
                <c:pt idx="5">
                  <c:v>50.099999999999994</c:v>
                </c:pt>
                <c:pt idx="6">
                  <c:v>49.08</c:v>
                </c:pt>
                <c:pt idx="7">
                  <c:v>48.78</c:v>
                </c:pt>
                <c:pt idx="8">
                  <c:v>47.7</c:v>
                </c:pt>
                <c:pt idx="9">
                  <c:v>46.959999999999994</c:v>
                </c:pt>
                <c:pt idx="10">
                  <c:v>46.800000000000004</c:v>
                </c:pt>
                <c:pt idx="11">
                  <c:v>45.34</c:v>
                </c:pt>
                <c:pt idx="12">
                  <c:v>44.56</c:v>
                </c:pt>
                <c:pt idx="13">
                  <c:v>42.2</c:v>
                </c:pt>
                <c:pt idx="14">
                  <c:v>41.16</c:v>
                </c:pt>
                <c:pt idx="15">
                  <c:v>40.240000000000009</c:v>
                </c:pt>
                <c:pt idx="16">
                  <c:v>39.76</c:v>
                </c:pt>
                <c:pt idx="17">
                  <c:v>37.700000000000003</c:v>
                </c:pt>
                <c:pt idx="18">
                  <c:v>37.020000000000003</c:v>
                </c:pt>
                <c:pt idx="19">
                  <c:v>37</c:v>
                </c:pt>
                <c:pt idx="20">
                  <c:v>34.480000000000004</c:v>
                </c:pt>
                <c:pt idx="21">
                  <c:v>31.240000000000002</c:v>
                </c:pt>
                <c:pt idx="22">
                  <c:v>30.34</c:v>
                </c:pt>
                <c:pt idx="23">
                  <c:v>28.6</c:v>
                </c:pt>
                <c:pt idx="24">
                  <c:v>28.439999999999998</c:v>
                </c:pt>
                <c:pt idx="25">
                  <c:v>28</c:v>
                </c:pt>
                <c:pt idx="26">
                  <c:v>22.060000000000002</c:v>
                </c:pt>
                <c:pt idx="27">
                  <c:v>10.420000000000002</c:v>
                </c:pt>
                <c:pt idx="28">
                  <c:v>8.84</c:v>
                </c:pt>
                <c:pt idx="29">
                  <c:v>8.1999999999999993</c:v>
                </c:pt>
              </c:numCache>
            </c:numRef>
          </c:xVal>
          <c:yVal>
            <c:numRef>
              <c:f>MAIN!$M$4:$M$33</c:f>
              <c:numCache>
                <c:formatCode>General</c:formatCode>
                <c:ptCount val="30"/>
                <c:pt idx="0">
                  <c:v>5.859039865418165E-3</c:v>
                </c:pt>
                <c:pt idx="1">
                  <c:v>1.1399825209054068E-2</c:v>
                </c:pt>
                <c:pt idx="2">
                  <c:v>1.5402312617757877E-2</c:v>
                </c:pt>
                <c:pt idx="3">
                  <c:v>1.6671985028178137E-2</c:v>
                </c:pt>
                <c:pt idx="4">
                  <c:v>1.6901901831425734E-2</c:v>
                </c:pt>
                <c:pt idx="5">
                  <c:v>2.0830412425502993E-2</c:v>
                </c:pt>
                <c:pt idx="6">
                  <c:v>2.2066541883834903E-2</c:v>
                </c:pt>
                <c:pt idx="7">
                  <c:v>2.2420383775145349E-2</c:v>
                </c:pt>
                <c:pt idx="8">
                  <c:v>2.3648443553586161E-2</c:v>
                </c:pt>
                <c:pt idx="9">
                  <c:v>2.4441285750594181E-2</c:v>
                </c:pt>
                <c:pt idx="10">
                  <c:v>2.4606801888451508E-2</c:v>
                </c:pt>
                <c:pt idx="11">
                  <c:v>2.6006671206685861E-2</c:v>
                </c:pt>
                <c:pt idx="12">
                  <c:v>2.666339708720232E-2</c:v>
                </c:pt>
                <c:pt idx="13">
                  <c:v>2.8195057048203333E-2</c:v>
                </c:pt>
                <c:pt idx="14">
                  <c:v>2.8628652429656298E-2</c:v>
                </c:pt>
                <c:pt idx="15">
                  <c:v>2.8879703547214169E-2</c:v>
                </c:pt>
                <c:pt idx="16">
                  <c:v>2.8960039200966924E-2</c:v>
                </c:pt>
                <c:pt idx="17">
                  <c:v>2.8904548996991804E-2</c:v>
                </c:pt>
                <c:pt idx="18">
                  <c:v>2.8744249837490903E-2</c:v>
                </c:pt>
                <c:pt idx="19">
                  <c:v>2.8738484437479471E-2</c:v>
                </c:pt>
                <c:pt idx="20">
                  <c:v>2.7550812445580872E-2</c:v>
                </c:pt>
                <c:pt idx="21">
                  <c:v>2.4838788286407641E-2</c:v>
                </c:pt>
                <c:pt idx="22">
                  <c:v>2.3897321344692461E-2</c:v>
                </c:pt>
                <c:pt idx="23">
                  <c:v>2.1909321045681204E-2</c:v>
                </c:pt>
                <c:pt idx="24">
                  <c:v>2.1717567482042406E-2</c:v>
                </c:pt>
                <c:pt idx="25">
                  <c:v>2.1184057075718871E-2</c:v>
                </c:pt>
                <c:pt idx="26">
                  <c:v>1.3697740075440513E-2</c:v>
                </c:pt>
                <c:pt idx="27">
                  <c:v>3.3924916955293269E-3</c:v>
                </c:pt>
                <c:pt idx="28">
                  <c:v>2.6561324949070458E-3</c:v>
                </c:pt>
                <c:pt idx="29">
                  <c:v>2.3964698104655298E-3</c:v>
                </c:pt>
              </c:numCache>
            </c:numRef>
          </c:yVal>
          <c:smooth val="0"/>
          <c:extLst>
            <c:ext xmlns:c15="http://schemas.microsoft.com/office/drawing/2012/chart" uri="{02D57815-91ED-43cb-92C2-25804820EDAC}">
              <c15:datalabelsRange>
                <c15:f>MAIN!$C$4:$C$33</c15:f>
                <c15:dlblRangeCache>
                  <c:ptCount val="30"/>
                  <c:pt idx="0">
                    <c:v>4</c:v>
                  </c:pt>
                  <c:pt idx="1">
                    <c:v>5</c:v>
                  </c:pt>
                  <c:pt idx="2">
                    <c:v>8</c:v>
                  </c:pt>
                  <c:pt idx="3">
                    <c:v>7</c:v>
                  </c:pt>
                  <c:pt idx="4">
                    <c:v>6</c:v>
                  </c:pt>
                  <c:pt idx="5">
                    <c:v>16</c:v>
                  </c:pt>
                  <c:pt idx="6">
                    <c:v>13</c:v>
                  </c:pt>
                  <c:pt idx="7">
                    <c:v>14</c:v>
                  </c:pt>
                  <c:pt idx="8">
                    <c:v>9</c:v>
                  </c:pt>
                  <c:pt idx="9">
                    <c:v>10</c:v>
                  </c:pt>
                  <c:pt idx="10">
                    <c:v>12</c:v>
                  </c:pt>
                  <c:pt idx="11">
                    <c:v>15</c:v>
                  </c:pt>
                  <c:pt idx="12">
                    <c:v>11</c:v>
                  </c:pt>
                  <c:pt idx="13">
                    <c:v>19</c:v>
                  </c:pt>
                  <c:pt idx="14">
                    <c:v>20</c:v>
                  </c:pt>
                  <c:pt idx="15">
                    <c:v>23</c:v>
                  </c:pt>
                  <c:pt idx="16">
                    <c:v>18</c:v>
                  </c:pt>
                  <c:pt idx="17">
                    <c:v>21</c:v>
                  </c:pt>
                  <c:pt idx="18">
                    <c:v>24</c:v>
                  </c:pt>
                  <c:pt idx="19">
                    <c:v>17</c:v>
                  </c:pt>
                  <c:pt idx="20">
                    <c:v>22</c:v>
                  </c:pt>
                  <c:pt idx="21">
                    <c:v>25</c:v>
                  </c:pt>
                  <c:pt idx="22">
                    <c:v>26</c:v>
                  </c:pt>
                  <c:pt idx="23">
                    <c:v>27</c:v>
                  </c:pt>
                  <c:pt idx="24">
                    <c:v>29</c:v>
                  </c:pt>
                  <c:pt idx="25">
                    <c:v>28</c:v>
                  </c:pt>
                  <c:pt idx="26">
                    <c:v>30</c:v>
                  </c:pt>
                  <c:pt idx="27">
                    <c:v>1</c:v>
                  </c:pt>
                  <c:pt idx="28">
                    <c:v>3</c:v>
                  </c:pt>
                  <c:pt idx="29">
                    <c:v>2</c:v>
                  </c:pt>
                </c15:dlblRangeCache>
              </c15:datalabelsRange>
            </c:ext>
            <c:ext xmlns:c16="http://schemas.microsoft.com/office/drawing/2014/chart" uri="{C3380CC4-5D6E-409C-BE32-E72D297353CC}">
              <c16:uniqueId val="{0000001E-8F87-4115-B831-ED333E4286A2}"/>
            </c:ext>
          </c:extLst>
        </c:ser>
        <c:dLbls>
          <c:showLegendKey val="0"/>
          <c:showVal val="0"/>
          <c:showCatName val="0"/>
          <c:showSerName val="0"/>
          <c:showPercent val="0"/>
          <c:showBubbleSize val="0"/>
        </c:dLbls>
        <c:axId val="520302671"/>
        <c:axId val="520303503"/>
      </c:scatterChart>
      <c:valAx>
        <c:axId val="520302671"/>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US"/>
                  <a:t>Grades</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0.00" sourceLinked="1"/>
        <c:majorTickMark val="none"/>
        <c:minorTickMark val="none"/>
        <c:tickLblPos val="nextTo"/>
        <c:spPr>
          <a:noFill/>
          <a:ln w="9525" cap="flat" cmpd="sng" algn="ctr">
            <a:solidFill>
              <a:schemeClr val="lt1">
                <a:lumMod val="50000"/>
              </a:schemeClr>
            </a:solid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520303503"/>
        <c:crosses val="autoZero"/>
        <c:crossBetween val="midCat"/>
      </c:valAx>
      <c:valAx>
        <c:axId val="520303503"/>
        <c:scaling>
          <c:orientation val="minMax"/>
        </c:scaling>
        <c:delete val="0"/>
        <c:axPos val="l"/>
        <c:majorGridlines>
          <c:spPr>
            <a:ln w="9525" cap="flat" cmpd="sng" algn="ctr">
              <a:solidFill>
                <a:schemeClr val="dk1">
                  <a:lumMod val="65000"/>
                  <a:lumOff val="35000"/>
                  <a:alpha val="7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US"/>
                  <a:t>Normal Dist</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lt1">
                <a:lumMod val="50000"/>
              </a:schemeClr>
            </a:solid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520302671"/>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tr-T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tr-TR" baseline="0"/>
              <a:t>CENG-XXX MIDTERM CURVE</a:t>
            </a:r>
            <a:endParaRPr lang="en-US"/>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lotArea>
      <c:layout>
        <c:manualLayout>
          <c:layoutTarget val="inner"/>
          <c:xMode val="edge"/>
          <c:yMode val="edge"/>
          <c:x val="6.1408147152337667E-2"/>
          <c:y val="0.14639175706283516"/>
          <c:w val="0.91750784200755398"/>
          <c:h val="0.73842367563293898"/>
        </c:manualLayout>
      </c:layout>
      <c:scatterChart>
        <c:scatterStyle val="lineMarker"/>
        <c:varyColors val="0"/>
        <c:ser>
          <c:idx val="0"/>
          <c:order val="0"/>
          <c:spPr>
            <a:ln w="22225" cap="rnd">
              <a:solidFill>
                <a:schemeClr val="accent1"/>
              </a:solidFill>
            </a:ln>
            <a:effectLst>
              <a:glow rad="139700">
                <a:schemeClr val="accent1">
                  <a:satMod val="175000"/>
                  <a:alpha val="14000"/>
                </a:schemeClr>
              </a:glow>
            </a:effectLst>
          </c:spPr>
          <c:marker>
            <c:symbol val="circle"/>
            <c:size val="3"/>
            <c:spPr>
              <a:solidFill>
                <a:schemeClr val="accent1">
                  <a:lumMod val="60000"/>
                  <a:lumOff val="40000"/>
                </a:schemeClr>
              </a:solidFill>
              <a:ln>
                <a:noFill/>
              </a:ln>
              <a:effectLst>
                <a:glow rad="63500">
                  <a:schemeClr val="accent1">
                    <a:satMod val="175000"/>
                    <a:alpha val="25000"/>
                  </a:schemeClr>
                </a:glow>
              </a:effectLst>
            </c:spPr>
          </c:marker>
          <c:dLbls>
            <c:dLbl>
              <c:idx val="0"/>
              <c:tx>
                <c:rich>
                  <a:bodyPr/>
                  <a:lstStyle/>
                  <a:p>
                    <a:fld id="{6260BD40-44EC-415D-8053-F5D0C11C063B}"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0-29C8-432E-9F3E-4FB1B7E06283}"/>
                </c:ext>
              </c:extLst>
            </c:dLbl>
            <c:dLbl>
              <c:idx val="1"/>
              <c:tx>
                <c:rich>
                  <a:bodyPr/>
                  <a:lstStyle/>
                  <a:p>
                    <a:fld id="{61592D6C-B8F3-4655-AA68-8524E53ADB43}"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29C8-432E-9F3E-4FB1B7E06283}"/>
                </c:ext>
              </c:extLst>
            </c:dLbl>
            <c:dLbl>
              <c:idx val="2"/>
              <c:tx>
                <c:rich>
                  <a:bodyPr/>
                  <a:lstStyle/>
                  <a:p>
                    <a:fld id="{877AD856-45BF-4726-85BF-08E75BADCBF5}"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29C8-432E-9F3E-4FB1B7E06283}"/>
                </c:ext>
              </c:extLst>
            </c:dLbl>
            <c:dLbl>
              <c:idx val="3"/>
              <c:tx>
                <c:rich>
                  <a:bodyPr/>
                  <a:lstStyle/>
                  <a:p>
                    <a:fld id="{903D68A9-EE2A-4F9E-B423-C9CA727A2177}"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29C8-432E-9F3E-4FB1B7E06283}"/>
                </c:ext>
              </c:extLst>
            </c:dLbl>
            <c:dLbl>
              <c:idx val="4"/>
              <c:tx>
                <c:rich>
                  <a:bodyPr/>
                  <a:lstStyle/>
                  <a:p>
                    <a:fld id="{E70C8F87-DAF0-4F64-9F7F-E348CEF1FE56}"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29C8-432E-9F3E-4FB1B7E06283}"/>
                </c:ext>
              </c:extLst>
            </c:dLbl>
            <c:dLbl>
              <c:idx val="5"/>
              <c:tx>
                <c:rich>
                  <a:bodyPr/>
                  <a:lstStyle/>
                  <a:p>
                    <a:fld id="{A27BF6B9-3B48-40DC-9D71-B0FC4FF90E4A}"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29C8-432E-9F3E-4FB1B7E06283}"/>
                </c:ext>
              </c:extLst>
            </c:dLbl>
            <c:dLbl>
              <c:idx val="6"/>
              <c:tx>
                <c:rich>
                  <a:bodyPr/>
                  <a:lstStyle/>
                  <a:p>
                    <a:fld id="{B2D3F6C9-8008-479D-8B45-1B7004EF7A0D}"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29C8-432E-9F3E-4FB1B7E06283}"/>
                </c:ext>
              </c:extLst>
            </c:dLbl>
            <c:dLbl>
              <c:idx val="7"/>
              <c:tx>
                <c:rich>
                  <a:bodyPr/>
                  <a:lstStyle/>
                  <a:p>
                    <a:fld id="{348FC876-978F-4667-B40F-F2577E45EF2E}"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29C8-432E-9F3E-4FB1B7E06283}"/>
                </c:ext>
              </c:extLst>
            </c:dLbl>
            <c:dLbl>
              <c:idx val="8"/>
              <c:tx>
                <c:rich>
                  <a:bodyPr/>
                  <a:lstStyle/>
                  <a:p>
                    <a:fld id="{12EBE46F-E8A8-4D04-A62D-AC99651BC3AE}"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29C8-432E-9F3E-4FB1B7E06283}"/>
                </c:ext>
              </c:extLst>
            </c:dLbl>
            <c:dLbl>
              <c:idx val="9"/>
              <c:tx>
                <c:rich>
                  <a:bodyPr/>
                  <a:lstStyle/>
                  <a:p>
                    <a:fld id="{0BED7B28-1679-417E-9C97-92ED6D507F2C}"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29C8-432E-9F3E-4FB1B7E06283}"/>
                </c:ext>
              </c:extLst>
            </c:dLbl>
            <c:dLbl>
              <c:idx val="10"/>
              <c:tx>
                <c:rich>
                  <a:bodyPr/>
                  <a:lstStyle/>
                  <a:p>
                    <a:fld id="{96180D79-CF1B-4495-BE71-0B380CA75B0F}"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29C8-432E-9F3E-4FB1B7E06283}"/>
                </c:ext>
              </c:extLst>
            </c:dLbl>
            <c:dLbl>
              <c:idx val="11"/>
              <c:tx>
                <c:rich>
                  <a:bodyPr/>
                  <a:lstStyle/>
                  <a:p>
                    <a:fld id="{AF779721-DE75-4C4D-B9B4-5EF967ACD917}"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29C8-432E-9F3E-4FB1B7E06283}"/>
                </c:ext>
              </c:extLst>
            </c:dLbl>
            <c:dLbl>
              <c:idx val="12"/>
              <c:tx>
                <c:rich>
                  <a:bodyPr/>
                  <a:lstStyle/>
                  <a:p>
                    <a:fld id="{EDD5C8EF-E4C3-4141-B0AC-D9A601D670F9}"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C-29C8-432E-9F3E-4FB1B7E06283}"/>
                </c:ext>
              </c:extLst>
            </c:dLbl>
            <c:dLbl>
              <c:idx val="13"/>
              <c:tx>
                <c:rich>
                  <a:bodyPr/>
                  <a:lstStyle/>
                  <a:p>
                    <a:fld id="{F647F9F3-65E3-44D8-BC26-628E16750AE4}"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D-29C8-432E-9F3E-4FB1B7E06283}"/>
                </c:ext>
              </c:extLst>
            </c:dLbl>
            <c:dLbl>
              <c:idx val="14"/>
              <c:tx>
                <c:rich>
                  <a:bodyPr/>
                  <a:lstStyle/>
                  <a:p>
                    <a:fld id="{924526AC-2DE1-46AE-9745-2998222B0576}"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E-29C8-432E-9F3E-4FB1B7E06283}"/>
                </c:ext>
              </c:extLst>
            </c:dLbl>
            <c:dLbl>
              <c:idx val="15"/>
              <c:tx>
                <c:rich>
                  <a:bodyPr/>
                  <a:lstStyle/>
                  <a:p>
                    <a:fld id="{7943C4F0-2694-4744-A476-1626A4FB4944}"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F-29C8-432E-9F3E-4FB1B7E06283}"/>
                </c:ext>
              </c:extLst>
            </c:dLbl>
            <c:dLbl>
              <c:idx val="16"/>
              <c:tx>
                <c:rich>
                  <a:bodyPr/>
                  <a:lstStyle/>
                  <a:p>
                    <a:fld id="{B16C458B-8E71-4497-A83C-D1E0EBE11DAF}"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0-29C8-432E-9F3E-4FB1B7E06283}"/>
                </c:ext>
              </c:extLst>
            </c:dLbl>
            <c:dLbl>
              <c:idx val="17"/>
              <c:tx>
                <c:rich>
                  <a:bodyPr/>
                  <a:lstStyle/>
                  <a:p>
                    <a:fld id="{47F9322E-4BED-4364-96BA-D7A071DB940C}"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1-29C8-432E-9F3E-4FB1B7E06283}"/>
                </c:ext>
              </c:extLst>
            </c:dLbl>
            <c:dLbl>
              <c:idx val="18"/>
              <c:tx>
                <c:rich>
                  <a:bodyPr/>
                  <a:lstStyle/>
                  <a:p>
                    <a:fld id="{43D16C5D-8E92-4761-8BDB-3C8B374F73E9}"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2-29C8-432E-9F3E-4FB1B7E06283}"/>
                </c:ext>
              </c:extLst>
            </c:dLbl>
            <c:dLbl>
              <c:idx val="19"/>
              <c:tx>
                <c:rich>
                  <a:bodyPr/>
                  <a:lstStyle/>
                  <a:p>
                    <a:fld id="{057E859E-0A71-40E0-B5E5-52F6B3D61208}"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3-29C8-432E-9F3E-4FB1B7E06283}"/>
                </c:ext>
              </c:extLst>
            </c:dLbl>
            <c:dLbl>
              <c:idx val="20"/>
              <c:tx>
                <c:rich>
                  <a:bodyPr/>
                  <a:lstStyle/>
                  <a:p>
                    <a:fld id="{94762643-3B45-4E42-9AA7-62C90C98461C}"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4-29C8-432E-9F3E-4FB1B7E06283}"/>
                </c:ext>
              </c:extLst>
            </c:dLbl>
            <c:dLbl>
              <c:idx val="21"/>
              <c:tx>
                <c:rich>
                  <a:bodyPr/>
                  <a:lstStyle/>
                  <a:p>
                    <a:fld id="{1A555577-884E-4BC1-987E-5AA1DBDDEDAA}"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5-29C8-432E-9F3E-4FB1B7E06283}"/>
                </c:ext>
              </c:extLst>
            </c:dLbl>
            <c:dLbl>
              <c:idx val="22"/>
              <c:tx>
                <c:rich>
                  <a:bodyPr/>
                  <a:lstStyle/>
                  <a:p>
                    <a:fld id="{A4303C34-BFE0-400D-B0BC-D344A1D92A04}"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6-29C8-432E-9F3E-4FB1B7E06283}"/>
                </c:ext>
              </c:extLst>
            </c:dLbl>
            <c:dLbl>
              <c:idx val="23"/>
              <c:tx>
                <c:rich>
                  <a:bodyPr/>
                  <a:lstStyle/>
                  <a:p>
                    <a:fld id="{D7DB6D13-8E56-41DC-B5AF-D24E510BF37C}"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7-29C8-432E-9F3E-4FB1B7E06283}"/>
                </c:ext>
              </c:extLst>
            </c:dLbl>
            <c:dLbl>
              <c:idx val="24"/>
              <c:tx>
                <c:rich>
                  <a:bodyPr/>
                  <a:lstStyle/>
                  <a:p>
                    <a:fld id="{098EA3CF-45F0-4C54-A1DE-4A86057FA75C}"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8-29C8-432E-9F3E-4FB1B7E06283}"/>
                </c:ext>
              </c:extLst>
            </c:dLbl>
            <c:dLbl>
              <c:idx val="25"/>
              <c:tx>
                <c:rich>
                  <a:bodyPr/>
                  <a:lstStyle/>
                  <a:p>
                    <a:fld id="{22113688-4DE1-474F-B4FF-61B643C53C03}"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9-29C8-432E-9F3E-4FB1B7E06283}"/>
                </c:ext>
              </c:extLst>
            </c:dLbl>
            <c:dLbl>
              <c:idx val="26"/>
              <c:tx>
                <c:rich>
                  <a:bodyPr/>
                  <a:lstStyle/>
                  <a:p>
                    <a:fld id="{2B8EBF41-0CEB-4628-AF56-6F9AAC88537C}"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A-29C8-432E-9F3E-4FB1B7E06283}"/>
                </c:ext>
              </c:extLst>
            </c:dLbl>
            <c:dLbl>
              <c:idx val="27"/>
              <c:tx>
                <c:rich>
                  <a:bodyPr/>
                  <a:lstStyle/>
                  <a:p>
                    <a:fld id="{A7FBAEB4-9807-4C0E-B1F5-A26D2B709285}"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B-29C8-432E-9F3E-4FB1B7E06283}"/>
                </c:ext>
              </c:extLst>
            </c:dLbl>
            <c:dLbl>
              <c:idx val="28"/>
              <c:tx>
                <c:rich>
                  <a:bodyPr/>
                  <a:lstStyle/>
                  <a:p>
                    <a:fld id="{811B5E4C-1B48-4F21-AE23-D49FD1EBC465}"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C-29C8-432E-9F3E-4FB1B7E06283}"/>
                </c:ext>
              </c:extLst>
            </c:dLbl>
            <c:dLbl>
              <c:idx val="29"/>
              <c:tx>
                <c:rich>
                  <a:bodyPr/>
                  <a:lstStyle/>
                  <a:p>
                    <a:fld id="{3778FE06-3F20-4E08-9042-9CCCB9BEBA65}"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D-29C8-432E-9F3E-4FB1B7E06283}"/>
                </c:ext>
              </c:extLst>
            </c:dLbl>
            <c:spPr>
              <a:solidFill>
                <a:sysClr val="windowText" lastClr="000000">
                  <a:lumMod val="65000"/>
                  <a:lumOff val="35000"/>
                </a:sysClr>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lt1">
                        <a:lumMod val="15000"/>
                        <a:lumOff val="85000"/>
                      </a:schemeClr>
                    </a:solidFill>
                    <a:latin typeface="+mn-lt"/>
                    <a:ea typeface="+mn-ea"/>
                    <a:cs typeface="+mn-cs"/>
                  </a:defRPr>
                </a:pPr>
                <a:endParaRPr lang="en-US"/>
              </a:p>
            </c:txPr>
            <c:dLblPos val="t"/>
            <c:showLegendKey val="0"/>
            <c:showVal val="0"/>
            <c:showCatName val="0"/>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DataLabelsRange val="1"/>
                <c15:showLeaderLines val="0"/>
              </c:ext>
            </c:extLst>
          </c:dLbls>
          <c:trendline>
            <c:spPr>
              <a:ln w="25400" cap="rnd">
                <a:solidFill>
                  <a:schemeClr val="accent1">
                    <a:alpha val="50000"/>
                  </a:schemeClr>
                </a:solidFill>
              </a:ln>
              <a:effectLst/>
            </c:spPr>
            <c:trendlineType val="power"/>
            <c:dispRSqr val="0"/>
            <c:dispEq val="0"/>
          </c:trendline>
          <c:xVal>
            <c:numRef>
              <c:f>MIDTERM!$M$5:$M$34</c:f>
              <c:numCache>
                <c:formatCode>General</c:formatCode>
                <c:ptCount val="30"/>
                <c:pt idx="0">
                  <c:v>71</c:v>
                </c:pt>
                <c:pt idx="1">
                  <c:v>67</c:v>
                </c:pt>
                <c:pt idx="2">
                  <c:v>62</c:v>
                </c:pt>
                <c:pt idx="3">
                  <c:v>57</c:v>
                </c:pt>
                <c:pt idx="4">
                  <c:v>55</c:v>
                </c:pt>
                <c:pt idx="5">
                  <c:v>53</c:v>
                </c:pt>
                <c:pt idx="6">
                  <c:v>50</c:v>
                </c:pt>
                <c:pt idx="7">
                  <c:v>50</c:v>
                </c:pt>
                <c:pt idx="8">
                  <c:v>48</c:v>
                </c:pt>
                <c:pt idx="9">
                  <c:v>48</c:v>
                </c:pt>
                <c:pt idx="10">
                  <c:v>47</c:v>
                </c:pt>
                <c:pt idx="11">
                  <c:v>44</c:v>
                </c:pt>
                <c:pt idx="12">
                  <c:v>43</c:v>
                </c:pt>
                <c:pt idx="13">
                  <c:v>42</c:v>
                </c:pt>
                <c:pt idx="14">
                  <c:v>42</c:v>
                </c:pt>
                <c:pt idx="15">
                  <c:v>40</c:v>
                </c:pt>
                <c:pt idx="16">
                  <c:v>40</c:v>
                </c:pt>
                <c:pt idx="17">
                  <c:v>37</c:v>
                </c:pt>
                <c:pt idx="18">
                  <c:v>36</c:v>
                </c:pt>
                <c:pt idx="19">
                  <c:v>36</c:v>
                </c:pt>
                <c:pt idx="20">
                  <c:v>35</c:v>
                </c:pt>
                <c:pt idx="21">
                  <c:v>28</c:v>
                </c:pt>
                <c:pt idx="22">
                  <c:v>26</c:v>
                </c:pt>
                <c:pt idx="23">
                  <c:v>25</c:v>
                </c:pt>
                <c:pt idx="24">
                  <c:v>24</c:v>
                </c:pt>
                <c:pt idx="25">
                  <c:v>22</c:v>
                </c:pt>
                <c:pt idx="26">
                  <c:v>17</c:v>
                </c:pt>
                <c:pt idx="27">
                  <c:v>5</c:v>
                </c:pt>
                <c:pt idx="28">
                  <c:v>0</c:v>
                </c:pt>
                <c:pt idx="29">
                  <c:v>0</c:v>
                </c:pt>
              </c:numCache>
            </c:numRef>
          </c:xVal>
          <c:yVal>
            <c:numRef>
              <c:f>MIDTERM!$Y$5:$Y$34</c:f>
              <c:numCache>
                <c:formatCode>General</c:formatCode>
                <c:ptCount val="30"/>
                <c:pt idx="0">
                  <c:v>4.0785185037180826E-3</c:v>
                </c:pt>
                <c:pt idx="1">
                  <c:v>6.0458545101493167E-3</c:v>
                </c:pt>
                <c:pt idx="2">
                  <c:v>9.2001409039820306E-3</c:v>
                </c:pt>
                <c:pt idx="3">
                  <c:v>1.2920813010057618E-2</c:v>
                </c:pt>
                <c:pt idx="4">
                  <c:v>1.4472127755323558E-2</c:v>
                </c:pt>
                <c:pt idx="5">
                  <c:v>1.6002959497409274E-2</c:v>
                </c:pt>
                <c:pt idx="6">
                  <c:v>1.8165600393919911E-2</c:v>
                </c:pt>
                <c:pt idx="7">
                  <c:v>1.8165600393919911E-2</c:v>
                </c:pt>
                <c:pt idx="8">
                  <c:v>1.9452754462471328E-2</c:v>
                </c:pt>
                <c:pt idx="9">
                  <c:v>1.9452754462471328E-2</c:v>
                </c:pt>
                <c:pt idx="10">
                  <c:v>2.0033475255327726E-2</c:v>
                </c:pt>
                <c:pt idx="11">
                  <c:v>2.1464457615725289E-2</c:v>
                </c:pt>
                <c:pt idx="12">
                  <c:v>2.1823302861544693E-2</c:v>
                </c:pt>
                <c:pt idx="13">
                  <c:v>2.2117059375001101E-2</c:v>
                </c:pt>
                <c:pt idx="14">
                  <c:v>2.2117059375001101E-2</c:v>
                </c:pt>
                <c:pt idx="15">
                  <c:v>2.2498844857807131E-2</c:v>
                </c:pt>
                <c:pt idx="16">
                  <c:v>2.2498844857807131E-2</c:v>
                </c:pt>
                <c:pt idx="17">
                  <c:v>2.2534973385693352E-2</c:v>
                </c:pt>
                <c:pt idx="18">
                  <c:v>2.2402785038806165E-2</c:v>
                </c:pt>
                <c:pt idx="19">
                  <c:v>2.2402785038806165E-2</c:v>
                </c:pt>
                <c:pt idx="20">
                  <c:v>2.2200017508738453E-2</c:v>
                </c:pt>
                <c:pt idx="21">
                  <c:v>1.9041013396597483E-2</c:v>
                </c:pt>
                <c:pt idx="22">
                  <c:v>1.7705186287628478E-2</c:v>
                </c:pt>
                <c:pt idx="23">
                  <c:v>1.6990855099063465E-2</c:v>
                </c:pt>
                <c:pt idx="24">
                  <c:v>1.6253104016129061E-2</c:v>
                </c:pt>
                <c:pt idx="25">
                  <c:v>1.4729822077923579E-2</c:v>
                </c:pt>
                <c:pt idx="26">
                  <c:v>1.0888334885206871E-2</c:v>
                </c:pt>
                <c:pt idx="27">
                  <c:v>3.8005109106011492E-3</c:v>
                </c:pt>
                <c:pt idx="28">
                  <c:v>2.138676561731587E-3</c:v>
                </c:pt>
                <c:pt idx="29">
                  <c:v>2.138676561731587E-3</c:v>
                </c:pt>
              </c:numCache>
            </c:numRef>
          </c:yVal>
          <c:smooth val="0"/>
          <c:extLst>
            <c:ext xmlns:c15="http://schemas.microsoft.com/office/drawing/2012/chart" uri="{02D57815-91ED-43cb-92C2-25804820EDAC}">
              <c15:datalabelsRange>
                <c15:f>MIDTERM!$C$5:$C$34</c15:f>
                <c15:dlblRangeCache>
                  <c:ptCount val="30"/>
                  <c:pt idx="0">
                    <c:v>4</c:v>
                  </c:pt>
                  <c:pt idx="1">
                    <c:v>5</c:v>
                  </c:pt>
                  <c:pt idx="2">
                    <c:v>6</c:v>
                  </c:pt>
                  <c:pt idx="3">
                    <c:v>7</c:v>
                  </c:pt>
                  <c:pt idx="4">
                    <c:v>8</c:v>
                  </c:pt>
                  <c:pt idx="5">
                    <c:v>9</c:v>
                  </c:pt>
                  <c:pt idx="6">
                    <c:v>10</c:v>
                  </c:pt>
                  <c:pt idx="7">
                    <c:v>11</c:v>
                  </c:pt>
                  <c:pt idx="8">
                    <c:v>12</c:v>
                  </c:pt>
                  <c:pt idx="9">
                    <c:v>13</c:v>
                  </c:pt>
                  <c:pt idx="10">
                    <c:v>14</c:v>
                  </c:pt>
                  <c:pt idx="11">
                    <c:v>15</c:v>
                  </c:pt>
                  <c:pt idx="12">
                    <c:v>16</c:v>
                  </c:pt>
                  <c:pt idx="13">
                    <c:v>17</c:v>
                  </c:pt>
                  <c:pt idx="14">
                    <c:v>18</c:v>
                  </c:pt>
                  <c:pt idx="15">
                    <c:v>19</c:v>
                  </c:pt>
                  <c:pt idx="16">
                    <c:v>20</c:v>
                  </c:pt>
                  <c:pt idx="17">
                    <c:v>21</c:v>
                  </c:pt>
                  <c:pt idx="18">
                    <c:v>22</c:v>
                  </c:pt>
                  <c:pt idx="19">
                    <c:v>23</c:v>
                  </c:pt>
                  <c:pt idx="20">
                    <c:v>24</c:v>
                  </c:pt>
                  <c:pt idx="21">
                    <c:v>25</c:v>
                  </c:pt>
                  <c:pt idx="22">
                    <c:v>29</c:v>
                  </c:pt>
                  <c:pt idx="23">
                    <c:v>26</c:v>
                  </c:pt>
                  <c:pt idx="24">
                    <c:v>27</c:v>
                  </c:pt>
                  <c:pt idx="25">
                    <c:v>28</c:v>
                  </c:pt>
                  <c:pt idx="26">
                    <c:v>30</c:v>
                  </c:pt>
                  <c:pt idx="27">
                    <c:v>1</c:v>
                  </c:pt>
                  <c:pt idx="28">
                    <c:v>2</c:v>
                  </c:pt>
                  <c:pt idx="29">
                    <c:v>3</c:v>
                  </c:pt>
                </c15:dlblRangeCache>
              </c15:datalabelsRange>
            </c:ext>
            <c:ext xmlns:c16="http://schemas.microsoft.com/office/drawing/2014/chart" uri="{C3380CC4-5D6E-409C-BE32-E72D297353CC}">
              <c16:uniqueId val="{0000001F-29C8-432E-9F3E-4FB1B7E06283}"/>
            </c:ext>
          </c:extLst>
        </c:ser>
        <c:dLbls>
          <c:showLegendKey val="0"/>
          <c:showVal val="0"/>
          <c:showCatName val="0"/>
          <c:showSerName val="0"/>
          <c:showPercent val="0"/>
          <c:showBubbleSize val="0"/>
        </c:dLbls>
        <c:axId val="367640431"/>
        <c:axId val="367637103"/>
      </c:scatterChart>
      <c:valAx>
        <c:axId val="367640431"/>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US"/>
                  <a:t>MIDTERM GRADE</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367637103"/>
        <c:crosses val="autoZero"/>
        <c:crossBetween val="midCat"/>
      </c:valAx>
      <c:valAx>
        <c:axId val="367637103"/>
        <c:scaling>
          <c:orientation val="minMax"/>
        </c:scaling>
        <c:delete val="0"/>
        <c:axPos val="l"/>
        <c:majorGridlines>
          <c:spPr>
            <a:ln w="9525" cap="flat" cmpd="sng" algn="ctr">
              <a:solidFill>
                <a:schemeClr val="dk1">
                  <a:lumMod val="65000"/>
                  <a:lumOff val="35000"/>
                  <a:alpha val="7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US"/>
                  <a:t>Normal Dist.</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lt1">
                <a:lumMod val="50000"/>
              </a:schemeClr>
            </a:solid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367640431"/>
        <c:crosses val="autoZero"/>
        <c:crossBetween val="midCat"/>
      </c:valAx>
      <c:spPr>
        <a:noFill/>
        <a:ln>
          <a:noFill/>
        </a:ln>
        <a:effectLst>
          <a:glow rad="63500">
            <a:schemeClr val="accent1">
              <a:satMod val="175000"/>
              <a:alpha val="40000"/>
            </a:schemeClr>
          </a:glow>
        </a:effectLst>
      </c:spPr>
    </c:plotArea>
    <c:plotVisOnly val="1"/>
    <c:dispBlanksAs val="gap"/>
    <c:showDLblsOverMax val="0"/>
  </c:chart>
  <c:spPr>
    <a:solidFill>
      <a:schemeClr val="dk1">
        <a:lumMod val="75000"/>
        <a:lumOff val="25000"/>
      </a:schemeClr>
    </a:solidFill>
    <a:ln w="9525" cap="flat" cmpd="sng" algn="ctr">
      <a:solidFill>
        <a:schemeClr val="dk1">
          <a:lumMod val="15000"/>
          <a:lumOff val="85000"/>
        </a:schemeClr>
      </a:solidFill>
      <a:round/>
    </a:ln>
    <a:effectLst>
      <a:glow rad="127000">
        <a:schemeClr val="bg1"/>
      </a:glow>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tr-T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US"/>
              <a:t>CENG-XXX FINAL EXAM</a:t>
            </a:r>
            <a:r>
              <a:rPr lang="tr-TR"/>
              <a:t> CURVE</a:t>
            </a:r>
            <a:endParaRPr lang="en-US"/>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lotArea>
      <c:layout/>
      <c:scatterChart>
        <c:scatterStyle val="lineMarker"/>
        <c:varyColors val="0"/>
        <c:ser>
          <c:idx val="0"/>
          <c:order val="0"/>
          <c:spPr>
            <a:ln w="22225" cap="rnd">
              <a:solidFill>
                <a:schemeClr val="accent1"/>
              </a:solidFill>
            </a:ln>
            <a:effectLst>
              <a:glow rad="139700">
                <a:schemeClr val="accent1">
                  <a:satMod val="175000"/>
                  <a:alpha val="14000"/>
                </a:schemeClr>
              </a:glow>
            </a:effectLst>
          </c:spPr>
          <c:marker>
            <c:symbol val="circle"/>
            <c:size val="3"/>
            <c:spPr>
              <a:solidFill>
                <a:schemeClr val="accent1">
                  <a:lumMod val="60000"/>
                  <a:lumOff val="40000"/>
                </a:schemeClr>
              </a:solidFill>
              <a:ln>
                <a:noFill/>
              </a:ln>
              <a:effectLst>
                <a:glow rad="63500">
                  <a:schemeClr val="accent1">
                    <a:satMod val="175000"/>
                    <a:alpha val="25000"/>
                  </a:schemeClr>
                </a:glow>
              </a:effectLst>
            </c:spPr>
          </c:marker>
          <c:dLbls>
            <c:dLbl>
              <c:idx val="0"/>
              <c:tx>
                <c:rich>
                  <a:bodyPr/>
                  <a:lstStyle/>
                  <a:p>
                    <a:fld id="{F9F9AF98-04F0-421C-80F3-C0226B1CB5B6}"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0-0070-46E8-8876-91005D546E52}"/>
                </c:ext>
              </c:extLst>
            </c:dLbl>
            <c:dLbl>
              <c:idx val="1"/>
              <c:tx>
                <c:rich>
                  <a:bodyPr/>
                  <a:lstStyle/>
                  <a:p>
                    <a:fld id="{26DBEFFC-C3A8-47FA-93E2-D914865C0FE0}"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0070-46E8-8876-91005D546E52}"/>
                </c:ext>
              </c:extLst>
            </c:dLbl>
            <c:dLbl>
              <c:idx val="2"/>
              <c:tx>
                <c:rich>
                  <a:bodyPr/>
                  <a:lstStyle/>
                  <a:p>
                    <a:fld id="{87E4F026-926C-4DD6-A78C-9FD6BEE49B1A}"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0070-46E8-8876-91005D546E52}"/>
                </c:ext>
              </c:extLst>
            </c:dLbl>
            <c:dLbl>
              <c:idx val="3"/>
              <c:tx>
                <c:rich>
                  <a:bodyPr/>
                  <a:lstStyle/>
                  <a:p>
                    <a:fld id="{FB729233-F40A-424D-BD7E-3E81BA53E20C}"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0070-46E8-8876-91005D546E52}"/>
                </c:ext>
              </c:extLst>
            </c:dLbl>
            <c:dLbl>
              <c:idx val="4"/>
              <c:tx>
                <c:rich>
                  <a:bodyPr/>
                  <a:lstStyle/>
                  <a:p>
                    <a:fld id="{118EC3DC-8293-42FE-BBF0-9B29E193324A}"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0070-46E8-8876-91005D546E52}"/>
                </c:ext>
              </c:extLst>
            </c:dLbl>
            <c:dLbl>
              <c:idx val="5"/>
              <c:tx>
                <c:rich>
                  <a:bodyPr/>
                  <a:lstStyle/>
                  <a:p>
                    <a:fld id="{51764D63-7010-4C0A-B58F-3D8D9AE0C4FF}"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0070-46E8-8876-91005D546E52}"/>
                </c:ext>
              </c:extLst>
            </c:dLbl>
            <c:dLbl>
              <c:idx val="6"/>
              <c:tx>
                <c:rich>
                  <a:bodyPr/>
                  <a:lstStyle/>
                  <a:p>
                    <a:fld id="{D2EBC358-2CB9-4634-8355-2DA6B7DF518C}"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0070-46E8-8876-91005D546E52}"/>
                </c:ext>
              </c:extLst>
            </c:dLbl>
            <c:dLbl>
              <c:idx val="7"/>
              <c:tx>
                <c:rich>
                  <a:bodyPr/>
                  <a:lstStyle/>
                  <a:p>
                    <a:fld id="{AA899352-9475-4117-A735-0D663A8CA02A}"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0070-46E8-8876-91005D546E52}"/>
                </c:ext>
              </c:extLst>
            </c:dLbl>
            <c:dLbl>
              <c:idx val="8"/>
              <c:tx>
                <c:rich>
                  <a:bodyPr/>
                  <a:lstStyle/>
                  <a:p>
                    <a:fld id="{17061999-5409-44BE-92FE-4671CB0B22E3}"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0070-46E8-8876-91005D546E52}"/>
                </c:ext>
              </c:extLst>
            </c:dLbl>
            <c:dLbl>
              <c:idx val="9"/>
              <c:tx>
                <c:rich>
                  <a:bodyPr/>
                  <a:lstStyle/>
                  <a:p>
                    <a:fld id="{9E2A6104-2C6D-49A1-8F07-82B5A6172399}"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0070-46E8-8876-91005D546E52}"/>
                </c:ext>
              </c:extLst>
            </c:dLbl>
            <c:dLbl>
              <c:idx val="10"/>
              <c:tx>
                <c:rich>
                  <a:bodyPr/>
                  <a:lstStyle/>
                  <a:p>
                    <a:fld id="{E1286770-8E24-438E-8EE6-4E9005B18E78}"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0070-46E8-8876-91005D546E52}"/>
                </c:ext>
              </c:extLst>
            </c:dLbl>
            <c:dLbl>
              <c:idx val="11"/>
              <c:tx>
                <c:rich>
                  <a:bodyPr/>
                  <a:lstStyle/>
                  <a:p>
                    <a:fld id="{8E40D34C-BCD6-4A2E-9B29-FDC96E69981B}"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0070-46E8-8876-91005D546E52}"/>
                </c:ext>
              </c:extLst>
            </c:dLbl>
            <c:dLbl>
              <c:idx val="12"/>
              <c:tx>
                <c:rich>
                  <a:bodyPr/>
                  <a:lstStyle/>
                  <a:p>
                    <a:fld id="{9D44DD0A-C40F-4A38-AFEE-BD57B9C2E35D}"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C-0070-46E8-8876-91005D546E52}"/>
                </c:ext>
              </c:extLst>
            </c:dLbl>
            <c:dLbl>
              <c:idx val="13"/>
              <c:tx>
                <c:rich>
                  <a:bodyPr/>
                  <a:lstStyle/>
                  <a:p>
                    <a:fld id="{C89E27E3-0904-44B3-A59E-942399194179}"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D-0070-46E8-8876-91005D546E52}"/>
                </c:ext>
              </c:extLst>
            </c:dLbl>
            <c:dLbl>
              <c:idx val="14"/>
              <c:tx>
                <c:rich>
                  <a:bodyPr/>
                  <a:lstStyle/>
                  <a:p>
                    <a:fld id="{F1C943A7-B2C5-473A-AAB4-7DBA476F7E5A}"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E-0070-46E8-8876-91005D546E52}"/>
                </c:ext>
              </c:extLst>
            </c:dLbl>
            <c:dLbl>
              <c:idx val="15"/>
              <c:tx>
                <c:rich>
                  <a:bodyPr/>
                  <a:lstStyle/>
                  <a:p>
                    <a:fld id="{8BCCD83D-CE1F-40FF-903E-DE792302BE51}"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F-0070-46E8-8876-91005D546E52}"/>
                </c:ext>
              </c:extLst>
            </c:dLbl>
            <c:dLbl>
              <c:idx val="16"/>
              <c:tx>
                <c:rich>
                  <a:bodyPr/>
                  <a:lstStyle/>
                  <a:p>
                    <a:fld id="{77316050-A2D7-4FC2-967A-F9E64A5CB12E}"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0-0070-46E8-8876-91005D546E52}"/>
                </c:ext>
              </c:extLst>
            </c:dLbl>
            <c:dLbl>
              <c:idx val="17"/>
              <c:tx>
                <c:rich>
                  <a:bodyPr/>
                  <a:lstStyle/>
                  <a:p>
                    <a:fld id="{46CE0564-D7A2-4FF1-87C7-4DD51472387E}"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1-0070-46E8-8876-91005D546E52}"/>
                </c:ext>
              </c:extLst>
            </c:dLbl>
            <c:dLbl>
              <c:idx val="18"/>
              <c:tx>
                <c:rich>
                  <a:bodyPr/>
                  <a:lstStyle/>
                  <a:p>
                    <a:fld id="{B251E9EA-8296-4211-8371-54985FE8CBE9}"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2-0070-46E8-8876-91005D546E52}"/>
                </c:ext>
              </c:extLst>
            </c:dLbl>
            <c:dLbl>
              <c:idx val="19"/>
              <c:tx>
                <c:rich>
                  <a:bodyPr/>
                  <a:lstStyle/>
                  <a:p>
                    <a:fld id="{25E9D931-CCB3-4D54-98E9-3DE1CE20DDEC}"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3-0070-46E8-8876-91005D546E52}"/>
                </c:ext>
              </c:extLst>
            </c:dLbl>
            <c:dLbl>
              <c:idx val="20"/>
              <c:tx>
                <c:rich>
                  <a:bodyPr/>
                  <a:lstStyle/>
                  <a:p>
                    <a:fld id="{CB09349B-BD42-41B4-9533-EF8494041B76}"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4-0070-46E8-8876-91005D546E52}"/>
                </c:ext>
              </c:extLst>
            </c:dLbl>
            <c:dLbl>
              <c:idx val="21"/>
              <c:tx>
                <c:rich>
                  <a:bodyPr/>
                  <a:lstStyle/>
                  <a:p>
                    <a:fld id="{81047D19-8B7E-4799-B2E7-A01921AA4477}"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5-0070-46E8-8876-91005D546E52}"/>
                </c:ext>
              </c:extLst>
            </c:dLbl>
            <c:dLbl>
              <c:idx val="22"/>
              <c:tx>
                <c:rich>
                  <a:bodyPr/>
                  <a:lstStyle/>
                  <a:p>
                    <a:fld id="{AF42C80A-F413-4EE4-A960-1B41D27965F0}"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6-0070-46E8-8876-91005D546E52}"/>
                </c:ext>
              </c:extLst>
            </c:dLbl>
            <c:dLbl>
              <c:idx val="23"/>
              <c:tx>
                <c:rich>
                  <a:bodyPr/>
                  <a:lstStyle/>
                  <a:p>
                    <a:fld id="{2C122CC3-00FC-4EB3-9844-C3D0E53793F5}"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7-0070-46E8-8876-91005D546E52}"/>
                </c:ext>
              </c:extLst>
            </c:dLbl>
            <c:dLbl>
              <c:idx val="24"/>
              <c:tx>
                <c:rich>
                  <a:bodyPr/>
                  <a:lstStyle/>
                  <a:p>
                    <a:fld id="{9897E8A8-E4FB-4D82-A9CF-14F138F39E97}"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8-0070-46E8-8876-91005D546E52}"/>
                </c:ext>
              </c:extLst>
            </c:dLbl>
            <c:dLbl>
              <c:idx val="25"/>
              <c:tx>
                <c:rich>
                  <a:bodyPr/>
                  <a:lstStyle/>
                  <a:p>
                    <a:fld id="{E8EF2A1E-8BB1-4876-AA2C-624881C96AAF}"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9-0070-46E8-8876-91005D546E52}"/>
                </c:ext>
              </c:extLst>
            </c:dLbl>
            <c:dLbl>
              <c:idx val="26"/>
              <c:tx>
                <c:rich>
                  <a:bodyPr/>
                  <a:lstStyle/>
                  <a:p>
                    <a:fld id="{8E6E2140-77CE-413F-A519-FA3391CD7CEC}"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A-0070-46E8-8876-91005D546E52}"/>
                </c:ext>
              </c:extLst>
            </c:dLbl>
            <c:dLbl>
              <c:idx val="27"/>
              <c:tx>
                <c:rich>
                  <a:bodyPr/>
                  <a:lstStyle/>
                  <a:p>
                    <a:fld id="{C84FC48B-F0E1-43BD-ADF9-48A85E7E1938}"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B-0070-46E8-8876-91005D546E52}"/>
                </c:ext>
              </c:extLst>
            </c:dLbl>
            <c:dLbl>
              <c:idx val="28"/>
              <c:tx>
                <c:rich>
                  <a:bodyPr/>
                  <a:lstStyle/>
                  <a:p>
                    <a:fld id="{005532C2-DE03-4DE2-8E91-428A2AE312F5}"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C-0070-46E8-8876-91005D546E52}"/>
                </c:ext>
              </c:extLst>
            </c:dLbl>
            <c:dLbl>
              <c:idx val="29"/>
              <c:tx>
                <c:rich>
                  <a:bodyPr/>
                  <a:lstStyle/>
                  <a:p>
                    <a:fld id="{9755D7CD-1934-4FE5-AF26-722BD7159E0A}"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D-0070-46E8-8876-91005D546E52}"/>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t"/>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a:solidFill>
                        <a:schemeClr val="lt1">
                          <a:lumMod val="50000"/>
                        </a:schemeClr>
                      </a:solidFill>
                      <a:round/>
                    </a:ln>
                    <a:effectLst/>
                  </c:spPr>
                </c15:leaderLines>
              </c:ext>
            </c:extLst>
          </c:dLbls>
          <c:xVal>
            <c:numRef>
              <c:f>FINAL!$M$5:$M$34</c:f>
              <c:numCache>
                <c:formatCode>General</c:formatCode>
                <c:ptCount val="30"/>
                <c:pt idx="0">
                  <c:v>0</c:v>
                </c:pt>
                <c:pt idx="1">
                  <c:v>0</c:v>
                </c:pt>
                <c:pt idx="2">
                  <c:v>0</c:v>
                </c:pt>
                <c:pt idx="3">
                  <c:v>17</c:v>
                </c:pt>
                <c:pt idx="4">
                  <c:v>22</c:v>
                </c:pt>
                <c:pt idx="5">
                  <c:v>24</c:v>
                </c:pt>
                <c:pt idx="6">
                  <c:v>25</c:v>
                </c:pt>
                <c:pt idx="7">
                  <c:v>26</c:v>
                </c:pt>
                <c:pt idx="8">
                  <c:v>28</c:v>
                </c:pt>
                <c:pt idx="9">
                  <c:v>35</c:v>
                </c:pt>
                <c:pt idx="10">
                  <c:v>36</c:v>
                </c:pt>
                <c:pt idx="11">
                  <c:v>36</c:v>
                </c:pt>
                <c:pt idx="12">
                  <c:v>37</c:v>
                </c:pt>
                <c:pt idx="13">
                  <c:v>40</c:v>
                </c:pt>
                <c:pt idx="14">
                  <c:v>40</c:v>
                </c:pt>
                <c:pt idx="15">
                  <c:v>42</c:v>
                </c:pt>
                <c:pt idx="16">
                  <c:v>42</c:v>
                </c:pt>
                <c:pt idx="17">
                  <c:v>46</c:v>
                </c:pt>
                <c:pt idx="18">
                  <c:v>50</c:v>
                </c:pt>
                <c:pt idx="19">
                  <c:v>50</c:v>
                </c:pt>
                <c:pt idx="20">
                  <c:v>53</c:v>
                </c:pt>
                <c:pt idx="21">
                  <c:v>54</c:v>
                </c:pt>
                <c:pt idx="22">
                  <c:v>54</c:v>
                </c:pt>
                <c:pt idx="23">
                  <c:v>55</c:v>
                </c:pt>
                <c:pt idx="24">
                  <c:v>57</c:v>
                </c:pt>
                <c:pt idx="25">
                  <c:v>58</c:v>
                </c:pt>
                <c:pt idx="26">
                  <c:v>60</c:v>
                </c:pt>
                <c:pt idx="27">
                  <c:v>62</c:v>
                </c:pt>
                <c:pt idx="28">
                  <c:v>67</c:v>
                </c:pt>
                <c:pt idx="29">
                  <c:v>71</c:v>
                </c:pt>
              </c:numCache>
            </c:numRef>
          </c:xVal>
          <c:yVal>
            <c:numRef>
              <c:f>FINAL!$Y$5:$Y$34</c:f>
              <c:numCache>
                <c:formatCode>General</c:formatCode>
                <c:ptCount val="30"/>
                <c:pt idx="0">
                  <c:v>2.3722787081170982E-3</c:v>
                </c:pt>
                <c:pt idx="1">
                  <c:v>2.3722787081170982E-3</c:v>
                </c:pt>
                <c:pt idx="2">
                  <c:v>2.3722787081170982E-3</c:v>
                </c:pt>
                <c:pt idx="3">
                  <c:v>1.0355565326126468E-2</c:v>
                </c:pt>
                <c:pt idx="4">
                  <c:v>1.3701269537213387E-2</c:v>
                </c:pt>
                <c:pt idx="5">
                  <c:v>1.5028401708274826E-2</c:v>
                </c:pt>
                <c:pt idx="6">
                  <c:v>1.5673682389006661E-2</c:v>
                </c:pt>
                <c:pt idx="7">
                  <c:v>1.6301120516516405E-2</c:v>
                </c:pt>
                <c:pt idx="8">
                  <c:v>1.7485368890746703E-2</c:v>
                </c:pt>
                <c:pt idx="9">
                  <c:v>2.0469292414811307E-2</c:v>
                </c:pt>
                <c:pt idx="10">
                  <c:v>2.0702888399279164E-2</c:v>
                </c:pt>
                <c:pt idx="11">
                  <c:v>2.0702888399279164E-2</c:v>
                </c:pt>
                <c:pt idx="12">
                  <c:v>2.0880804216649344E-2</c:v>
                </c:pt>
                <c:pt idx="13">
                  <c:v>2.1068085834592267E-2</c:v>
                </c:pt>
                <c:pt idx="14">
                  <c:v>2.1068085834592267E-2</c:v>
                </c:pt>
                <c:pt idx="15">
                  <c:v>2.0900234786402155E-2</c:v>
                </c:pt>
                <c:pt idx="16">
                  <c:v>2.0900234786402155E-2</c:v>
                </c:pt>
                <c:pt idx="17">
                  <c:v>1.9891217673100123E-2</c:v>
                </c:pt>
                <c:pt idx="18">
                  <c:v>1.8104322883186703E-2</c:v>
                </c:pt>
                <c:pt idx="19">
                  <c:v>1.8104322883186703E-2</c:v>
                </c:pt>
                <c:pt idx="20">
                  <c:v>1.6383200762380177E-2</c:v>
                </c:pt>
                <c:pt idx="21">
                  <c:v>1.5758465105004213E-2</c:v>
                </c:pt>
                <c:pt idx="22">
                  <c:v>1.5758465105004213E-2</c:v>
                </c:pt>
                <c:pt idx="23">
                  <c:v>1.5115316488831276E-2</c:v>
                </c:pt>
                <c:pt idx="24">
                  <c:v>1.3790766798585971E-2</c:v>
                </c:pt>
                <c:pt idx="25">
                  <c:v>1.3117656481621831E-2</c:v>
                </c:pt>
                <c:pt idx="26">
                  <c:v>1.1769457365993519E-2</c:v>
                </c:pt>
                <c:pt idx="27">
                  <c:v>1.0442615904824443E-2</c:v>
                </c:pt>
                <c:pt idx="28">
                  <c:v>7.3745314229198946E-3</c:v>
                </c:pt>
                <c:pt idx="29">
                  <c:v>5.30959727522071E-3</c:v>
                </c:pt>
              </c:numCache>
            </c:numRef>
          </c:yVal>
          <c:smooth val="0"/>
          <c:extLst>
            <c:ext xmlns:c15="http://schemas.microsoft.com/office/drawing/2012/chart" uri="{02D57815-91ED-43cb-92C2-25804820EDAC}">
              <c15:datalabelsRange>
                <c15:f>FINAL!$C$5:$C$34</c15:f>
                <c15:dlblRangeCache>
                  <c:ptCount val="30"/>
                  <c:pt idx="0">
                    <c:v>1</c:v>
                  </c:pt>
                  <c:pt idx="1">
                    <c:v>2</c:v>
                  </c:pt>
                  <c:pt idx="2">
                    <c:v>3</c:v>
                  </c:pt>
                  <c:pt idx="3">
                    <c:v>30</c:v>
                  </c:pt>
                  <c:pt idx="4">
                    <c:v>28</c:v>
                  </c:pt>
                  <c:pt idx="5">
                    <c:v>27</c:v>
                  </c:pt>
                  <c:pt idx="6">
                    <c:v>26</c:v>
                  </c:pt>
                  <c:pt idx="7">
                    <c:v>29</c:v>
                  </c:pt>
                  <c:pt idx="8">
                    <c:v>25</c:v>
                  </c:pt>
                  <c:pt idx="9">
                    <c:v>24</c:v>
                  </c:pt>
                  <c:pt idx="10">
                    <c:v>22</c:v>
                  </c:pt>
                  <c:pt idx="11">
                    <c:v>23</c:v>
                  </c:pt>
                  <c:pt idx="12">
                    <c:v>21</c:v>
                  </c:pt>
                  <c:pt idx="13">
                    <c:v>19</c:v>
                  </c:pt>
                  <c:pt idx="14">
                    <c:v>20</c:v>
                  </c:pt>
                  <c:pt idx="15">
                    <c:v>17</c:v>
                  </c:pt>
                  <c:pt idx="16">
                    <c:v>18</c:v>
                  </c:pt>
                  <c:pt idx="17">
                    <c:v>15</c:v>
                  </c:pt>
                  <c:pt idx="18">
                    <c:v>10</c:v>
                  </c:pt>
                  <c:pt idx="19">
                    <c:v>11</c:v>
                  </c:pt>
                  <c:pt idx="20">
                    <c:v>9</c:v>
                  </c:pt>
                  <c:pt idx="21">
                    <c:v>13</c:v>
                  </c:pt>
                  <c:pt idx="22">
                    <c:v>14</c:v>
                  </c:pt>
                  <c:pt idx="23">
                    <c:v>8</c:v>
                  </c:pt>
                  <c:pt idx="24">
                    <c:v>7</c:v>
                  </c:pt>
                  <c:pt idx="25">
                    <c:v>12</c:v>
                  </c:pt>
                  <c:pt idx="26">
                    <c:v>16</c:v>
                  </c:pt>
                  <c:pt idx="27">
                    <c:v>6</c:v>
                  </c:pt>
                  <c:pt idx="28">
                    <c:v>5</c:v>
                  </c:pt>
                  <c:pt idx="29">
                    <c:v>4</c:v>
                  </c:pt>
                </c15:dlblRangeCache>
              </c15:datalabelsRange>
            </c:ext>
            <c:ext xmlns:c16="http://schemas.microsoft.com/office/drawing/2014/chart" uri="{C3380CC4-5D6E-409C-BE32-E72D297353CC}">
              <c16:uniqueId val="{0000001E-0070-46E8-8876-91005D546E52}"/>
            </c:ext>
          </c:extLst>
        </c:ser>
        <c:dLbls>
          <c:dLblPos val="t"/>
          <c:showLegendKey val="0"/>
          <c:showVal val="1"/>
          <c:showCatName val="0"/>
          <c:showSerName val="0"/>
          <c:showPercent val="0"/>
          <c:showBubbleSize val="0"/>
        </c:dLbls>
        <c:axId val="1687522207"/>
        <c:axId val="1687522623"/>
      </c:scatterChart>
      <c:valAx>
        <c:axId val="1687522207"/>
        <c:scaling>
          <c:orientation val="minMax"/>
        </c:scaling>
        <c:delete val="0"/>
        <c:axPos val="b"/>
        <c:majorGridlines>
          <c:spPr>
            <a:ln w="9525" cap="flat" cmpd="sng" algn="ctr">
              <a:solidFill>
                <a:schemeClr val="dk1">
                  <a:lumMod val="65000"/>
                  <a:lumOff val="35000"/>
                  <a:alpha val="75000"/>
                </a:schemeClr>
              </a:solidFill>
              <a:round/>
            </a:ln>
            <a:effectLst/>
          </c:spPr>
        </c:majorGridlines>
        <c:title>
          <c:tx>
            <c:rich>
              <a:bodyPr rot="0" spcFirstLastPara="1" vertOverflow="ellipsis" vert="horz" wrap="square" anchor="ctr" anchorCtr="1"/>
              <a:lstStyle/>
              <a:p>
                <a:pPr>
                  <a:defRPr sz="1100" b="1" i="0" u="none" strike="noStrike" kern="1200" baseline="0">
                    <a:solidFill>
                      <a:schemeClr val="lt1">
                        <a:lumMod val="75000"/>
                      </a:schemeClr>
                    </a:solidFill>
                    <a:latin typeface="+mn-lt"/>
                    <a:ea typeface="+mn-ea"/>
                    <a:cs typeface="+mn-cs"/>
                  </a:defRPr>
                </a:pPr>
                <a:r>
                  <a:rPr lang="en-US" sz="1100"/>
                  <a:t> </a:t>
                </a:r>
                <a:r>
                  <a:rPr lang="tr-TR" sz="1100"/>
                  <a:t>Grades</a:t>
                </a:r>
                <a:endParaRPr lang="en-US" sz="1100"/>
              </a:p>
            </c:rich>
          </c:tx>
          <c:overlay val="0"/>
          <c:spPr>
            <a:noFill/>
            <a:ln>
              <a:noFill/>
            </a:ln>
            <a:effectLst/>
          </c:spPr>
          <c:txPr>
            <a:bodyPr rot="0" spcFirstLastPara="1" vertOverflow="ellipsis" vert="horz" wrap="square" anchor="ctr" anchorCtr="1"/>
            <a:lstStyle/>
            <a:p>
              <a:pPr>
                <a:defRPr sz="1100" b="1" i="0" u="none" strike="noStrike" kern="1200"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687522623"/>
        <c:crosses val="autoZero"/>
        <c:crossBetween val="midCat"/>
      </c:valAx>
      <c:valAx>
        <c:axId val="1687522623"/>
        <c:scaling>
          <c:orientation val="minMax"/>
        </c:scaling>
        <c:delete val="0"/>
        <c:axPos val="l"/>
        <c:majorGridlines>
          <c:spPr>
            <a:ln w="9525" cap="flat" cmpd="sng" algn="ctr">
              <a:solidFill>
                <a:schemeClr val="dk1">
                  <a:lumMod val="65000"/>
                  <a:lumOff val="35000"/>
                  <a:alpha val="75000"/>
                </a:schemeClr>
              </a:solidFill>
              <a:round/>
            </a:ln>
            <a:effectLst/>
          </c:spPr>
        </c:majorGridlines>
        <c:title>
          <c:tx>
            <c:rich>
              <a:bodyPr rot="-5400000" spcFirstLastPara="1" vertOverflow="ellipsis" vert="horz" wrap="square" anchor="ctr" anchorCtr="1"/>
              <a:lstStyle/>
              <a:p>
                <a:pPr>
                  <a:defRPr sz="1200" b="1" i="0" u="none" strike="noStrike" kern="1200" baseline="0">
                    <a:solidFill>
                      <a:schemeClr val="lt1">
                        <a:lumMod val="75000"/>
                      </a:schemeClr>
                    </a:solidFill>
                    <a:latin typeface="+mn-lt"/>
                    <a:ea typeface="+mn-ea"/>
                    <a:cs typeface="+mn-cs"/>
                  </a:defRPr>
                </a:pPr>
                <a:r>
                  <a:rPr lang="tr-TR" sz="1200"/>
                  <a:t>Normal</a:t>
                </a:r>
                <a:r>
                  <a:rPr lang="tr-TR" sz="1200" baseline="0"/>
                  <a:t> Dist.</a:t>
                </a:r>
                <a:endParaRPr lang="en-US" sz="1200"/>
              </a:p>
            </c:rich>
          </c:tx>
          <c:overlay val="0"/>
          <c:spPr>
            <a:noFill/>
            <a:ln>
              <a:noFill/>
            </a:ln>
            <a:effectLst/>
          </c:spPr>
          <c:txPr>
            <a:bodyPr rot="-5400000" spcFirstLastPara="1" vertOverflow="ellipsis" vert="horz" wrap="square" anchor="ctr" anchorCtr="1"/>
            <a:lstStyle/>
            <a:p>
              <a:pPr>
                <a:defRPr sz="1200" b="1" i="0" u="none" strike="noStrike" kern="1200"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lt1">
                <a:lumMod val="50000"/>
              </a:schemeClr>
            </a:solid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687522207"/>
        <c:crosses val="autoZero"/>
        <c:crossBetween val="midCat"/>
      </c:valAx>
      <c:spPr>
        <a:noFill/>
        <a:ln>
          <a:noFill/>
        </a:ln>
        <a:effectLst/>
      </c:spPr>
    </c:plotArea>
    <c:plotVisOnly val="1"/>
    <c:dispBlanksAs val="gap"/>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tr-T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tr-TR" sz="1800" b="1" i="0" baseline="0">
                <a:effectLst/>
              </a:rPr>
              <a:t>CENG-XXX HOMEWORK CURVE</a:t>
            </a:r>
            <a:endParaRPr lang="en-US">
              <a:effectLst/>
            </a:endParaRP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lotArea>
      <c:layout/>
      <c:scatterChart>
        <c:scatterStyle val="lineMarker"/>
        <c:varyColors val="0"/>
        <c:ser>
          <c:idx val="0"/>
          <c:order val="0"/>
          <c:spPr>
            <a:ln w="22225" cap="rnd">
              <a:solidFill>
                <a:schemeClr val="accent1"/>
              </a:solidFill>
            </a:ln>
            <a:effectLst>
              <a:glow rad="139700">
                <a:schemeClr val="accent1">
                  <a:satMod val="175000"/>
                  <a:alpha val="14000"/>
                </a:schemeClr>
              </a:glow>
            </a:effectLst>
          </c:spPr>
          <c:marker>
            <c:symbol val="circle"/>
            <c:size val="3"/>
            <c:spPr>
              <a:solidFill>
                <a:schemeClr val="accent1">
                  <a:lumMod val="60000"/>
                  <a:lumOff val="40000"/>
                </a:schemeClr>
              </a:solidFill>
              <a:ln>
                <a:noFill/>
              </a:ln>
              <a:effectLst>
                <a:glow rad="63500">
                  <a:schemeClr val="accent1">
                    <a:satMod val="175000"/>
                    <a:alpha val="25000"/>
                  </a:schemeClr>
                </a:glow>
              </a:effectLst>
            </c:spPr>
          </c:marker>
          <c:dLbls>
            <c:dLbl>
              <c:idx val="0"/>
              <c:tx>
                <c:rich>
                  <a:bodyPr/>
                  <a:lstStyle/>
                  <a:p>
                    <a:fld id="{651CF5B1-5841-48B3-B236-DE477DB92BFD}"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0-3814-4344-96B3-8C5A4B4C14FA}"/>
                </c:ext>
              </c:extLst>
            </c:dLbl>
            <c:dLbl>
              <c:idx val="1"/>
              <c:tx>
                <c:rich>
                  <a:bodyPr/>
                  <a:lstStyle/>
                  <a:p>
                    <a:fld id="{B7B16838-302E-47BA-BDB1-21F61F9C0984}"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3814-4344-96B3-8C5A4B4C14FA}"/>
                </c:ext>
              </c:extLst>
            </c:dLbl>
            <c:dLbl>
              <c:idx val="2"/>
              <c:tx>
                <c:rich>
                  <a:bodyPr/>
                  <a:lstStyle/>
                  <a:p>
                    <a:fld id="{93ADD82B-1E29-40F9-AEBC-153020633222}"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3814-4344-96B3-8C5A4B4C14FA}"/>
                </c:ext>
              </c:extLst>
            </c:dLbl>
            <c:dLbl>
              <c:idx val="3"/>
              <c:tx>
                <c:rich>
                  <a:bodyPr/>
                  <a:lstStyle/>
                  <a:p>
                    <a:fld id="{45491B03-E773-4E0C-84B7-F9638CC0CACE}"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3814-4344-96B3-8C5A4B4C14FA}"/>
                </c:ext>
              </c:extLst>
            </c:dLbl>
            <c:dLbl>
              <c:idx val="4"/>
              <c:tx>
                <c:rich>
                  <a:bodyPr/>
                  <a:lstStyle/>
                  <a:p>
                    <a:fld id="{692B7D59-EFE3-46EE-9BCD-A1EE11EB931A}"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3814-4344-96B3-8C5A4B4C14FA}"/>
                </c:ext>
              </c:extLst>
            </c:dLbl>
            <c:dLbl>
              <c:idx val="5"/>
              <c:tx>
                <c:rich>
                  <a:bodyPr/>
                  <a:lstStyle/>
                  <a:p>
                    <a:fld id="{01D869F8-2C30-4EF0-A682-F5C74AD05B9B}"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3814-4344-96B3-8C5A4B4C14FA}"/>
                </c:ext>
              </c:extLst>
            </c:dLbl>
            <c:dLbl>
              <c:idx val="6"/>
              <c:tx>
                <c:rich>
                  <a:bodyPr/>
                  <a:lstStyle/>
                  <a:p>
                    <a:fld id="{2C7433F8-B102-443A-B7E4-ACE298D42738}"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3814-4344-96B3-8C5A4B4C14FA}"/>
                </c:ext>
              </c:extLst>
            </c:dLbl>
            <c:dLbl>
              <c:idx val="7"/>
              <c:tx>
                <c:rich>
                  <a:bodyPr/>
                  <a:lstStyle/>
                  <a:p>
                    <a:fld id="{42F1C626-43AE-4B7A-B082-C8E83CEB7379}"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3814-4344-96B3-8C5A4B4C14FA}"/>
                </c:ext>
              </c:extLst>
            </c:dLbl>
            <c:dLbl>
              <c:idx val="8"/>
              <c:tx>
                <c:rich>
                  <a:bodyPr/>
                  <a:lstStyle/>
                  <a:p>
                    <a:fld id="{8CB27CA0-8C93-4C61-8FE8-4D24453911FB}"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3814-4344-96B3-8C5A4B4C14FA}"/>
                </c:ext>
              </c:extLst>
            </c:dLbl>
            <c:dLbl>
              <c:idx val="9"/>
              <c:tx>
                <c:rich>
                  <a:bodyPr/>
                  <a:lstStyle/>
                  <a:p>
                    <a:fld id="{2552BBEA-5C1E-40CF-BF1D-A61B8FA10140}"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3814-4344-96B3-8C5A4B4C14FA}"/>
                </c:ext>
              </c:extLst>
            </c:dLbl>
            <c:dLbl>
              <c:idx val="10"/>
              <c:tx>
                <c:rich>
                  <a:bodyPr/>
                  <a:lstStyle/>
                  <a:p>
                    <a:fld id="{8BD6DE26-5958-4213-9A12-CF78706E3552}"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3814-4344-96B3-8C5A4B4C14FA}"/>
                </c:ext>
              </c:extLst>
            </c:dLbl>
            <c:dLbl>
              <c:idx val="11"/>
              <c:tx>
                <c:rich>
                  <a:bodyPr/>
                  <a:lstStyle/>
                  <a:p>
                    <a:fld id="{221D4CC9-FFC6-4AFC-AC93-B32D01C88501}"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3814-4344-96B3-8C5A4B4C14FA}"/>
                </c:ext>
              </c:extLst>
            </c:dLbl>
            <c:dLbl>
              <c:idx val="12"/>
              <c:tx>
                <c:rich>
                  <a:bodyPr/>
                  <a:lstStyle/>
                  <a:p>
                    <a:fld id="{06E5A3CA-CE18-40B9-AF82-63AF334FE2D2}"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C-3814-4344-96B3-8C5A4B4C14FA}"/>
                </c:ext>
              </c:extLst>
            </c:dLbl>
            <c:dLbl>
              <c:idx val="13"/>
              <c:tx>
                <c:rich>
                  <a:bodyPr/>
                  <a:lstStyle/>
                  <a:p>
                    <a:fld id="{29B1ED06-79C9-474D-972E-116D244EA9A4}"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D-3814-4344-96B3-8C5A4B4C14FA}"/>
                </c:ext>
              </c:extLst>
            </c:dLbl>
            <c:dLbl>
              <c:idx val="14"/>
              <c:tx>
                <c:rich>
                  <a:bodyPr/>
                  <a:lstStyle/>
                  <a:p>
                    <a:fld id="{E7B4A875-CA3E-4495-B4F4-7A19B75A8752}"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E-3814-4344-96B3-8C5A4B4C14FA}"/>
                </c:ext>
              </c:extLst>
            </c:dLbl>
            <c:dLbl>
              <c:idx val="15"/>
              <c:tx>
                <c:rich>
                  <a:bodyPr/>
                  <a:lstStyle/>
                  <a:p>
                    <a:fld id="{932BFC8A-7FDB-41AB-ADDF-4F51118EA4AE}"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F-3814-4344-96B3-8C5A4B4C14FA}"/>
                </c:ext>
              </c:extLst>
            </c:dLbl>
            <c:dLbl>
              <c:idx val="16"/>
              <c:tx>
                <c:rich>
                  <a:bodyPr/>
                  <a:lstStyle/>
                  <a:p>
                    <a:fld id="{9AA3E6AB-2B12-44A6-86BC-A73CD626ABD9}"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0-3814-4344-96B3-8C5A4B4C14FA}"/>
                </c:ext>
              </c:extLst>
            </c:dLbl>
            <c:dLbl>
              <c:idx val="17"/>
              <c:tx>
                <c:rich>
                  <a:bodyPr/>
                  <a:lstStyle/>
                  <a:p>
                    <a:fld id="{3583AD38-0A62-4861-AEB2-801347874C46}"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1-3814-4344-96B3-8C5A4B4C14FA}"/>
                </c:ext>
              </c:extLst>
            </c:dLbl>
            <c:dLbl>
              <c:idx val="18"/>
              <c:tx>
                <c:rich>
                  <a:bodyPr/>
                  <a:lstStyle/>
                  <a:p>
                    <a:fld id="{2DBD7B6F-4DB0-4E6F-A473-00BD71C1B7F5}"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2-3814-4344-96B3-8C5A4B4C14FA}"/>
                </c:ext>
              </c:extLst>
            </c:dLbl>
            <c:dLbl>
              <c:idx val="19"/>
              <c:tx>
                <c:rich>
                  <a:bodyPr/>
                  <a:lstStyle/>
                  <a:p>
                    <a:fld id="{F597ABB4-5314-450E-A5EA-8493B3B6BBEF}"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3-3814-4344-96B3-8C5A4B4C14FA}"/>
                </c:ext>
              </c:extLst>
            </c:dLbl>
            <c:dLbl>
              <c:idx val="20"/>
              <c:tx>
                <c:rich>
                  <a:bodyPr/>
                  <a:lstStyle/>
                  <a:p>
                    <a:fld id="{D1B632FE-0E30-4707-B8B4-0716E7D7DC7F}"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4-3814-4344-96B3-8C5A4B4C14FA}"/>
                </c:ext>
              </c:extLst>
            </c:dLbl>
            <c:dLbl>
              <c:idx val="21"/>
              <c:tx>
                <c:rich>
                  <a:bodyPr/>
                  <a:lstStyle/>
                  <a:p>
                    <a:fld id="{4E0DF756-8A12-48B0-8D02-CDD08D87D467}"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5-3814-4344-96B3-8C5A4B4C14FA}"/>
                </c:ext>
              </c:extLst>
            </c:dLbl>
            <c:dLbl>
              <c:idx val="22"/>
              <c:tx>
                <c:rich>
                  <a:bodyPr/>
                  <a:lstStyle/>
                  <a:p>
                    <a:fld id="{10B94CC3-0184-4569-A087-C95BFABFC48B}"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6-3814-4344-96B3-8C5A4B4C14FA}"/>
                </c:ext>
              </c:extLst>
            </c:dLbl>
            <c:dLbl>
              <c:idx val="23"/>
              <c:tx>
                <c:rich>
                  <a:bodyPr/>
                  <a:lstStyle/>
                  <a:p>
                    <a:fld id="{BE418202-708C-4672-9C70-5783BC41D854}"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7-3814-4344-96B3-8C5A4B4C14FA}"/>
                </c:ext>
              </c:extLst>
            </c:dLbl>
            <c:dLbl>
              <c:idx val="24"/>
              <c:tx>
                <c:rich>
                  <a:bodyPr/>
                  <a:lstStyle/>
                  <a:p>
                    <a:fld id="{223FA33E-53C7-4899-AD1A-B757798964DB}"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8-3814-4344-96B3-8C5A4B4C14FA}"/>
                </c:ext>
              </c:extLst>
            </c:dLbl>
            <c:dLbl>
              <c:idx val="25"/>
              <c:tx>
                <c:rich>
                  <a:bodyPr/>
                  <a:lstStyle/>
                  <a:p>
                    <a:fld id="{84083B63-EEC5-4972-9831-3D9FD99F422B}"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9-3814-4344-96B3-8C5A4B4C14FA}"/>
                </c:ext>
              </c:extLst>
            </c:dLbl>
            <c:dLbl>
              <c:idx val="26"/>
              <c:tx>
                <c:rich>
                  <a:bodyPr/>
                  <a:lstStyle/>
                  <a:p>
                    <a:fld id="{72383CF9-8467-45DB-A5EA-E1ABF65D3397}"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A-3814-4344-96B3-8C5A4B4C14FA}"/>
                </c:ext>
              </c:extLst>
            </c:dLbl>
            <c:dLbl>
              <c:idx val="27"/>
              <c:tx>
                <c:rich>
                  <a:bodyPr/>
                  <a:lstStyle/>
                  <a:p>
                    <a:fld id="{F9617D9C-832B-47B0-8D1C-5FC49C8915EB}"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B-3814-4344-96B3-8C5A4B4C14FA}"/>
                </c:ext>
              </c:extLst>
            </c:dLbl>
            <c:dLbl>
              <c:idx val="28"/>
              <c:tx>
                <c:rich>
                  <a:bodyPr/>
                  <a:lstStyle/>
                  <a:p>
                    <a:fld id="{17A879AD-0239-42F5-852E-258C7FAA60BD}"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C-3814-4344-96B3-8C5A4B4C14FA}"/>
                </c:ext>
              </c:extLst>
            </c:dLbl>
            <c:dLbl>
              <c:idx val="29"/>
              <c:tx>
                <c:rich>
                  <a:bodyPr/>
                  <a:lstStyle/>
                  <a:p>
                    <a:fld id="{A13F96A0-6081-4DAE-81B6-58B1658F53D1}"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D-3814-4344-96B3-8C5A4B4C14FA}"/>
                </c:ext>
              </c:extLst>
            </c:dLbl>
            <c:spPr>
              <a:solidFill>
                <a:sysClr val="windowText" lastClr="000000">
                  <a:lumMod val="65000"/>
                  <a:lumOff val="35000"/>
                </a:sysClr>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lt1">
                        <a:lumMod val="15000"/>
                        <a:lumOff val="85000"/>
                      </a:schemeClr>
                    </a:solidFill>
                    <a:latin typeface="+mn-lt"/>
                    <a:ea typeface="+mn-ea"/>
                    <a:cs typeface="+mn-cs"/>
                  </a:defRPr>
                </a:pPr>
                <a:endParaRPr lang="en-US"/>
              </a:p>
            </c:txPr>
            <c:dLblPos val="t"/>
            <c:showLegendKey val="0"/>
            <c:showVal val="0"/>
            <c:showCatName val="0"/>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DataLabelsRange val="1"/>
                <c15:showLeaderLines val="0"/>
              </c:ext>
            </c:extLst>
          </c:dLbls>
          <c:xVal>
            <c:numRef>
              <c:f>HOMEWORK!$K$5:$K$34</c:f>
              <c:numCache>
                <c:formatCode>General</c:formatCode>
                <c:ptCount val="30"/>
                <c:pt idx="0">
                  <c:v>10</c:v>
                </c:pt>
                <c:pt idx="1">
                  <c:v>6.7</c:v>
                </c:pt>
                <c:pt idx="2">
                  <c:v>6.2</c:v>
                </c:pt>
                <c:pt idx="3">
                  <c:v>6</c:v>
                </c:pt>
                <c:pt idx="4">
                  <c:v>6</c:v>
                </c:pt>
                <c:pt idx="5">
                  <c:v>5.8</c:v>
                </c:pt>
                <c:pt idx="6">
                  <c:v>5.8</c:v>
                </c:pt>
                <c:pt idx="7">
                  <c:v>5.6</c:v>
                </c:pt>
                <c:pt idx="8">
                  <c:v>5.6</c:v>
                </c:pt>
                <c:pt idx="9">
                  <c:v>5.4</c:v>
                </c:pt>
                <c:pt idx="10">
                  <c:v>5.4</c:v>
                </c:pt>
                <c:pt idx="11">
                  <c:v>5.2</c:v>
                </c:pt>
                <c:pt idx="12">
                  <c:v>5</c:v>
                </c:pt>
                <c:pt idx="13">
                  <c:v>5</c:v>
                </c:pt>
                <c:pt idx="14">
                  <c:v>5</c:v>
                </c:pt>
                <c:pt idx="15">
                  <c:v>5</c:v>
                </c:pt>
                <c:pt idx="16">
                  <c:v>5</c:v>
                </c:pt>
                <c:pt idx="17">
                  <c:v>4.8</c:v>
                </c:pt>
                <c:pt idx="18">
                  <c:v>4.8</c:v>
                </c:pt>
                <c:pt idx="19">
                  <c:v>4.4000000000000004</c:v>
                </c:pt>
                <c:pt idx="20">
                  <c:v>4.4000000000000004</c:v>
                </c:pt>
                <c:pt idx="21">
                  <c:v>4.2</c:v>
                </c:pt>
                <c:pt idx="22">
                  <c:v>4.2</c:v>
                </c:pt>
                <c:pt idx="23">
                  <c:v>4</c:v>
                </c:pt>
                <c:pt idx="24">
                  <c:v>4</c:v>
                </c:pt>
                <c:pt idx="25">
                  <c:v>3.4</c:v>
                </c:pt>
                <c:pt idx="26">
                  <c:v>2.8</c:v>
                </c:pt>
                <c:pt idx="27">
                  <c:v>2.2000000000000002</c:v>
                </c:pt>
                <c:pt idx="28">
                  <c:v>0</c:v>
                </c:pt>
                <c:pt idx="29">
                  <c:v>0</c:v>
                </c:pt>
              </c:numCache>
            </c:numRef>
          </c:xVal>
          <c:yVal>
            <c:numRef>
              <c:f>HOMEWORK!$W$5:$W$34</c:f>
              <c:numCache>
                <c:formatCode>General</c:formatCode>
                <c:ptCount val="30"/>
                <c:pt idx="0">
                  <c:v>3.4931466957325874E-3</c:v>
                </c:pt>
                <c:pt idx="1">
                  <c:v>0.12216212399088243</c:v>
                </c:pt>
                <c:pt idx="2">
                  <c:v>0.15778652946488611</c:v>
                </c:pt>
                <c:pt idx="3">
                  <c:v>0.17118965857390353</c:v>
                </c:pt>
                <c:pt idx="4">
                  <c:v>0.17118965857390353</c:v>
                </c:pt>
                <c:pt idx="5">
                  <c:v>0.18353383297655085</c:v>
                </c:pt>
                <c:pt idx="6">
                  <c:v>0.18353383297655085</c:v>
                </c:pt>
                <c:pt idx="7">
                  <c:v>0.19444006184996038</c:v>
                </c:pt>
                <c:pt idx="8">
                  <c:v>0.19444006184996038</c:v>
                </c:pt>
                <c:pt idx="9">
                  <c:v>0.20355715552652953</c:v>
                </c:pt>
                <c:pt idx="10">
                  <c:v>0.20355715552652953</c:v>
                </c:pt>
                <c:pt idx="11">
                  <c:v>0.21058042771243266</c:v>
                </c:pt>
                <c:pt idx="12">
                  <c:v>0.21526857722768813</c:v>
                </c:pt>
                <c:pt idx="13">
                  <c:v>0.21526857722768813</c:v>
                </c:pt>
                <c:pt idx="14">
                  <c:v>0.21526857722768813</c:v>
                </c:pt>
                <c:pt idx="15">
                  <c:v>0.21526857722768813</c:v>
                </c:pt>
                <c:pt idx="16">
                  <c:v>0.21526857722768813</c:v>
                </c:pt>
                <c:pt idx="17">
                  <c:v>0.21745744673130762</c:v>
                </c:pt>
                <c:pt idx="18">
                  <c:v>0.21745744673130762</c:v>
                </c:pt>
                <c:pt idx="19">
                  <c:v>0.21411869786350599</c:v>
                </c:pt>
                <c:pt idx="20">
                  <c:v>0.21411869786350599</c:v>
                </c:pt>
                <c:pt idx="21">
                  <c:v>0.20870903916793651</c:v>
                </c:pt>
                <c:pt idx="22">
                  <c:v>0.20870903916793651</c:v>
                </c:pt>
                <c:pt idx="23">
                  <c:v>0.20102910116975697</c:v>
                </c:pt>
                <c:pt idx="24">
                  <c:v>0.20102910116975697</c:v>
                </c:pt>
                <c:pt idx="25">
                  <c:v>0.1672622711371497</c:v>
                </c:pt>
                <c:pt idx="26">
                  <c:v>0.12503054128395824</c:v>
                </c:pt>
                <c:pt idx="27">
                  <c:v>8.3967900900453391E-2</c:v>
                </c:pt>
                <c:pt idx="28">
                  <c:v>7.8005253017830751E-3</c:v>
                </c:pt>
                <c:pt idx="29">
                  <c:v>7.8005253017830751E-3</c:v>
                </c:pt>
              </c:numCache>
            </c:numRef>
          </c:yVal>
          <c:smooth val="0"/>
          <c:extLst>
            <c:ext xmlns:c15="http://schemas.microsoft.com/office/drawing/2012/chart" uri="{02D57815-91ED-43cb-92C2-25804820EDAC}">
              <c15:datalabelsRange>
                <c15:f>HOMEWORK!$C$5:$C$34</c15:f>
                <c15:dlblRangeCache>
                  <c:ptCount val="30"/>
                  <c:pt idx="0">
                    <c:v>16</c:v>
                  </c:pt>
                  <c:pt idx="1">
                    <c:v>15</c:v>
                  </c:pt>
                  <c:pt idx="2">
                    <c:v>23</c:v>
                  </c:pt>
                  <c:pt idx="3">
                    <c:v>2</c:v>
                  </c:pt>
                  <c:pt idx="4">
                    <c:v>21</c:v>
                  </c:pt>
                  <c:pt idx="5">
                    <c:v>10</c:v>
                  </c:pt>
                  <c:pt idx="6">
                    <c:v>30</c:v>
                  </c:pt>
                  <c:pt idx="7">
                    <c:v>1</c:v>
                  </c:pt>
                  <c:pt idx="8">
                    <c:v>24</c:v>
                  </c:pt>
                  <c:pt idx="9">
                    <c:v>7</c:v>
                  </c:pt>
                  <c:pt idx="10">
                    <c:v>8</c:v>
                  </c:pt>
                  <c:pt idx="11">
                    <c:v>26</c:v>
                  </c:pt>
                  <c:pt idx="12">
                    <c:v>4</c:v>
                  </c:pt>
                  <c:pt idx="13">
                    <c:v>12</c:v>
                  </c:pt>
                  <c:pt idx="14">
                    <c:v>17</c:v>
                  </c:pt>
                  <c:pt idx="15">
                    <c:v>19</c:v>
                  </c:pt>
                  <c:pt idx="16">
                    <c:v>28</c:v>
                  </c:pt>
                  <c:pt idx="17">
                    <c:v>20</c:v>
                  </c:pt>
                  <c:pt idx="18">
                    <c:v>11</c:v>
                  </c:pt>
                  <c:pt idx="19">
                    <c:v>13</c:v>
                  </c:pt>
                  <c:pt idx="20">
                    <c:v>22</c:v>
                  </c:pt>
                  <c:pt idx="21">
                    <c:v>3</c:v>
                  </c:pt>
                  <c:pt idx="22">
                    <c:v>29</c:v>
                  </c:pt>
                  <c:pt idx="23">
                    <c:v>9</c:v>
                  </c:pt>
                  <c:pt idx="24">
                    <c:v>27</c:v>
                  </c:pt>
                  <c:pt idx="25">
                    <c:v>14</c:v>
                  </c:pt>
                  <c:pt idx="26">
                    <c:v>18</c:v>
                  </c:pt>
                  <c:pt idx="27">
                    <c:v>25</c:v>
                  </c:pt>
                  <c:pt idx="28">
                    <c:v>5</c:v>
                  </c:pt>
                  <c:pt idx="29">
                    <c:v>6</c:v>
                  </c:pt>
                </c15:dlblRangeCache>
              </c15:datalabelsRange>
            </c:ext>
            <c:ext xmlns:c16="http://schemas.microsoft.com/office/drawing/2014/chart" uri="{C3380CC4-5D6E-409C-BE32-E72D297353CC}">
              <c16:uniqueId val="{0000001E-3814-4344-96B3-8C5A4B4C14FA}"/>
            </c:ext>
          </c:extLst>
        </c:ser>
        <c:dLbls>
          <c:showLegendKey val="0"/>
          <c:showVal val="0"/>
          <c:showCatName val="0"/>
          <c:showSerName val="0"/>
          <c:showPercent val="0"/>
          <c:showBubbleSize val="0"/>
        </c:dLbls>
        <c:axId val="205927983"/>
        <c:axId val="205922159"/>
      </c:scatterChart>
      <c:valAx>
        <c:axId val="205927983"/>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US"/>
                  <a:t>Homework Grade</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205922159"/>
        <c:crosses val="autoZero"/>
        <c:crossBetween val="midCat"/>
      </c:valAx>
      <c:valAx>
        <c:axId val="205922159"/>
        <c:scaling>
          <c:orientation val="minMax"/>
        </c:scaling>
        <c:delete val="0"/>
        <c:axPos val="l"/>
        <c:majorGridlines>
          <c:spPr>
            <a:ln w="9525" cap="flat" cmpd="sng" algn="ctr">
              <a:solidFill>
                <a:schemeClr val="dk1">
                  <a:lumMod val="65000"/>
                  <a:lumOff val="35000"/>
                  <a:alpha val="7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US"/>
                  <a:t>Normal Dist.</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lt1">
                <a:lumMod val="50000"/>
              </a:schemeClr>
            </a:solid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205927983"/>
        <c:crosses val="autoZero"/>
        <c:crossBetween val="midCat"/>
      </c:valAx>
      <c:spPr>
        <a:noFill/>
        <a:ln>
          <a:noFill/>
        </a:ln>
        <a:effectLst/>
      </c:spPr>
    </c:plotArea>
    <c:plotVisOnly val="1"/>
    <c:dispBlanksAs val="gap"/>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tr-T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tr-TR"/>
              <a:t>CENG-XXX LABWORK CURVE</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lotArea>
      <c:layout/>
      <c:scatterChart>
        <c:scatterStyle val="lineMarker"/>
        <c:varyColors val="0"/>
        <c:ser>
          <c:idx val="0"/>
          <c:order val="0"/>
          <c:spPr>
            <a:ln w="22225" cap="rnd">
              <a:solidFill>
                <a:schemeClr val="accent1"/>
              </a:solidFill>
            </a:ln>
            <a:effectLst>
              <a:glow rad="139700">
                <a:schemeClr val="accent1">
                  <a:satMod val="175000"/>
                  <a:alpha val="14000"/>
                </a:schemeClr>
              </a:glow>
            </a:effectLst>
          </c:spPr>
          <c:marker>
            <c:symbol val="circle"/>
            <c:size val="3"/>
            <c:spPr>
              <a:solidFill>
                <a:schemeClr val="accent1">
                  <a:lumMod val="60000"/>
                  <a:lumOff val="40000"/>
                </a:schemeClr>
              </a:solidFill>
              <a:ln>
                <a:noFill/>
              </a:ln>
              <a:effectLst>
                <a:glow rad="63500">
                  <a:schemeClr val="accent1">
                    <a:satMod val="175000"/>
                    <a:alpha val="25000"/>
                  </a:schemeClr>
                </a:glow>
              </a:effectLst>
            </c:spPr>
          </c:marker>
          <c:dLbls>
            <c:dLbl>
              <c:idx val="0"/>
              <c:tx>
                <c:rich>
                  <a:bodyPr/>
                  <a:lstStyle/>
                  <a:p>
                    <a:fld id="{03465EEE-DE57-41E5-8F7E-617F6480D49B}"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0-3C3F-4207-BE40-A0B80C4B4D93}"/>
                </c:ext>
              </c:extLst>
            </c:dLbl>
            <c:dLbl>
              <c:idx val="1"/>
              <c:tx>
                <c:rich>
                  <a:bodyPr/>
                  <a:lstStyle/>
                  <a:p>
                    <a:fld id="{5CF46949-6EEA-40AC-9CFC-4F1242E990A3}"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3C3F-4207-BE40-A0B80C4B4D93}"/>
                </c:ext>
              </c:extLst>
            </c:dLbl>
            <c:dLbl>
              <c:idx val="2"/>
              <c:tx>
                <c:rich>
                  <a:bodyPr/>
                  <a:lstStyle/>
                  <a:p>
                    <a:fld id="{881CB642-315B-43AE-BC36-A052F0E60AE9}"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3C3F-4207-BE40-A0B80C4B4D93}"/>
                </c:ext>
              </c:extLst>
            </c:dLbl>
            <c:dLbl>
              <c:idx val="3"/>
              <c:tx>
                <c:rich>
                  <a:bodyPr/>
                  <a:lstStyle/>
                  <a:p>
                    <a:fld id="{947D0897-48C1-40F4-8FCF-94A9FFF0E984}"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3C3F-4207-BE40-A0B80C4B4D93}"/>
                </c:ext>
              </c:extLst>
            </c:dLbl>
            <c:dLbl>
              <c:idx val="4"/>
              <c:tx>
                <c:rich>
                  <a:bodyPr/>
                  <a:lstStyle/>
                  <a:p>
                    <a:fld id="{68AD5FAD-A7C5-4773-A6F8-EF33B05D731A}"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3C3F-4207-BE40-A0B80C4B4D93}"/>
                </c:ext>
              </c:extLst>
            </c:dLbl>
            <c:dLbl>
              <c:idx val="5"/>
              <c:tx>
                <c:rich>
                  <a:bodyPr/>
                  <a:lstStyle/>
                  <a:p>
                    <a:fld id="{9E9B5C67-8060-443E-A6E3-E4FFD718DAD2}"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3C3F-4207-BE40-A0B80C4B4D93}"/>
                </c:ext>
              </c:extLst>
            </c:dLbl>
            <c:dLbl>
              <c:idx val="6"/>
              <c:tx>
                <c:rich>
                  <a:bodyPr/>
                  <a:lstStyle/>
                  <a:p>
                    <a:fld id="{5E8B2FE4-DCE7-4967-886F-01CE85CEEA40}"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3C3F-4207-BE40-A0B80C4B4D93}"/>
                </c:ext>
              </c:extLst>
            </c:dLbl>
            <c:dLbl>
              <c:idx val="7"/>
              <c:tx>
                <c:rich>
                  <a:bodyPr/>
                  <a:lstStyle/>
                  <a:p>
                    <a:fld id="{39FD27D3-2948-4AD4-A053-7B5DDCFEF0D7}"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3C3F-4207-BE40-A0B80C4B4D93}"/>
                </c:ext>
              </c:extLst>
            </c:dLbl>
            <c:dLbl>
              <c:idx val="8"/>
              <c:tx>
                <c:rich>
                  <a:bodyPr/>
                  <a:lstStyle/>
                  <a:p>
                    <a:fld id="{7A38224E-224D-4B8A-9931-E0E799547C02}"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3C3F-4207-BE40-A0B80C4B4D93}"/>
                </c:ext>
              </c:extLst>
            </c:dLbl>
            <c:dLbl>
              <c:idx val="9"/>
              <c:tx>
                <c:rich>
                  <a:bodyPr/>
                  <a:lstStyle/>
                  <a:p>
                    <a:fld id="{AFD90B22-3FD7-4982-BDD5-94053720B3FB}"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3C3F-4207-BE40-A0B80C4B4D93}"/>
                </c:ext>
              </c:extLst>
            </c:dLbl>
            <c:dLbl>
              <c:idx val="10"/>
              <c:tx>
                <c:rich>
                  <a:bodyPr/>
                  <a:lstStyle/>
                  <a:p>
                    <a:fld id="{18445ACC-18C5-4C51-B54C-0AB72EA3F080}"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3C3F-4207-BE40-A0B80C4B4D93}"/>
                </c:ext>
              </c:extLst>
            </c:dLbl>
            <c:dLbl>
              <c:idx val="11"/>
              <c:tx>
                <c:rich>
                  <a:bodyPr/>
                  <a:lstStyle/>
                  <a:p>
                    <a:fld id="{067E0937-FE46-4ECA-A5D9-C2C743AD2882}"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3C3F-4207-BE40-A0B80C4B4D93}"/>
                </c:ext>
              </c:extLst>
            </c:dLbl>
            <c:dLbl>
              <c:idx val="12"/>
              <c:tx>
                <c:rich>
                  <a:bodyPr/>
                  <a:lstStyle/>
                  <a:p>
                    <a:fld id="{86347928-5C4B-403C-B6FF-184EE057F433}"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C-3C3F-4207-BE40-A0B80C4B4D93}"/>
                </c:ext>
              </c:extLst>
            </c:dLbl>
            <c:dLbl>
              <c:idx val="13"/>
              <c:tx>
                <c:rich>
                  <a:bodyPr/>
                  <a:lstStyle/>
                  <a:p>
                    <a:fld id="{5DAB4134-9A3D-406F-A0DD-F4EF687422EB}"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D-3C3F-4207-BE40-A0B80C4B4D93}"/>
                </c:ext>
              </c:extLst>
            </c:dLbl>
            <c:dLbl>
              <c:idx val="14"/>
              <c:tx>
                <c:rich>
                  <a:bodyPr/>
                  <a:lstStyle/>
                  <a:p>
                    <a:fld id="{168724E9-553E-4A86-B522-955AD304960D}"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E-3C3F-4207-BE40-A0B80C4B4D93}"/>
                </c:ext>
              </c:extLst>
            </c:dLbl>
            <c:dLbl>
              <c:idx val="15"/>
              <c:tx>
                <c:rich>
                  <a:bodyPr/>
                  <a:lstStyle/>
                  <a:p>
                    <a:fld id="{3D036A4F-ED0B-40E2-9DEE-7966A81DD90F}"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F-3C3F-4207-BE40-A0B80C4B4D93}"/>
                </c:ext>
              </c:extLst>
            </c:dLbl>
            <c:dLbl>
              <c:idx val="16"/>
              <c:tx>
                <c:rich>
                  <a:bodyPr/>
                  <a:lstStyle/>
                  <a:p>
                    <a:fld id="{1F42407F-9FD6-418C-8CBF-274BC6EE65F6}"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0-3C3F-4207-BE40-A0B80C4B4D93}"/>
                </c:ext>
              </c:extLst>
            </c:dLbl>
            <c:dLbl>
              <c:idx val="17"/>
              <c:tx>
                <c:rich>
                  <a:bodyPr/>
                  <a:lstStyle/>
                  <a:p>
                    <a:fld id="{8B4F271E-883F-4DC0-BB2F-E67FDEF807A7}"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1-3C3F-4207-BE40-A0B80C4B4D93}"/>
                </c:ext>
              </c:extLst>
            </c:dLbl>
            <c:dLbl>
              <c:idx val="18"/>
              <c:tx>
                <c:rich>
                  <a:bodyPr/>
                  <a:lstStyle/>
                  <a:p>
                    <a:fld id="{DA6BF81E-CDC9-424D-927E-DB8184CCFFA1}"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2-3C3F-4207-BE40-A0B80C4B4D93}"/>
                </c:ext>
              </c:extLst>
            </c:dLbl>
            <c:dLbl>
              <c:idx val="19"/>
              <c:tx>
                <c:rich>
                  <a:bodyPr/>
                  <a:lstStyle/>
                  <a:p>
                    <a:fld id="{5157F467-D859-4869-B949-FAAB46DBC030}"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3-3C3F-4207-BE40-A0B80C4B4D93}"/>
                </c:ext>
              </c:extLst>
            </c:dLbl>
            <c:dLbl>
              <c:idx val="20"/>
              <c:tx>
                <c:rich>
                  <a:bodyPr/>
                  <a:lstStyle/>
                  <a:p>
                    <a:fld id="{FA5CCBD4-BA81-4660-8A34-761BE65061DE}"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4-3C3F-4207-BE40-A0B80C4B4D93}"/>
                </c:ext>
              </c:extLst>
            </c:dLbl>
            <c:dLbl>
              <c:idx val="21"/>
              <c:tx>
                <c:rich>
                  <a:bodyPr/>
                  <a:lstStyle/>
                  <a:p>
                    <a:fld id="{CC5B03F5-3B5C-40D0-A878-A7732D83F46C}"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5-3C3F-4207-BE40-A0B80C4B4D93}"/>
                </c:ext>
              </c:extLst>
            </c:dLbl>
            <c:dLbl>
              <c:idx val="22"/>
              <c:tx>
                <c:rich>
                  <a:bodyPr/>
                  <a:lstStyle/>
                  <a:p>
                    <a:fld id="{AECBCCD0-4501-4347-8CCF-8B6444315D75}"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6-3C3F-4207-BE40-A0B80C4B4D93}"/>
                </c:ext>
              </c:extLst>
            </c:dLbl>
            <c:dLbl>
              <c:idx val="23"/>
              <c:tx>
                <c:rich>
                  <a:bodyPr/>
                  <a:lstStyle/>
                  <a:p>
                    <a:fld id="{A91F9A9B-4677-424F-AE3A-7DF6985F31A4}"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7-3C3F-4207-BE40-A0B80C4B4D93}"/>
                </c:ext>
              </c:extLst>
            </c:dLbl>
            <c:dLbl>
              <c:idx val="24"/>
              <c:tx>
                <c:rich>
                  <a:bodyPr/>
                  <a:lstStyle/>
                  <a:p>
                    <a:fld id="{ED36ADDE-367E-43DD-A73F-745AD01266FD}"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8-3C3F-4207-BE40-A0B80C4B4D93}"/>
                </c:ext>
              </c:extLst>
            </c:dLbl>
            <c:dLbl>
              <c:idx val="25"/>
              <c:tx>
                <c:rich>
                  <a:bodyPr/>
                  <a:lstStyle/>
                  <a:p>
                    <a:fld id="{92B082C7-3ED9-4813-BAAD-845DA3A93668}"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9-3C3F-4207-BE40-A0B80C4B4D93}"/>
                </c:ext>
              </c:extLst>
            </c:dLbl>
            <c:dLbl>
              <c:idx val="26"/>
              <c:tx>
                <c:rich>
                  <a:bodyPr/>
                  <a:lstStyle/>
                  <a:p>
                    <a:fld id="{28346496-EBE2-445A-9C41-A32672B9FD9A}"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A-3C3F-4207-BE40-A0B80C4B4D93}"/>
                </c:ext>
              </c:extLst>
            </c:dLbl>
            <c:dLbl>
              <c:idx val="27"/>
              <c:tx>
                <c:rich>
                  <a:bodyPr/>
                  <a:lstStyle/>
                  <a:p>
                    <a:fld id="{B916A9D0-8937-4F69-B4F1-6FA521D8E0BC}"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B-3C3F-4207-BE40-A0B80C4B4D93}"/>
                </c:ext>
              </c:extLst>
            </c:dLbl>
            <c:dLbl>
              <c:idx val="28"/>
              <c:tx>
                <c:rich>
                  <a:bodyPr/>
                  <a:lstStyle/>
                  <a:p>
                    <a:fld id="{E7B6BB40-E1E2-40B4-B634-7F773F5955E5}"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C-3C3F-4207-BE40-A0B80C4B4D93}"/>
                </c:ext>
              </c:extLst>
            </c:dLbl>
            <c:dLbl>
              <c:idx val="29"/>
              <c:tx>
                <c:rich>
                  <a:bodyPr/>
                  <a:lstStyle/>
                  <a:p>
                    <a:fld id="{C8AF7618-45A2-4FC1-B5F9-9DF6412C66CD}"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D-3C3F-4207-BE40-A0B80C4B4D93}"/>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t"/>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xVal>
            <c:numRef>
              <c:f>LAB!$T$5:$T$34</c:f>
              <c:numCache>
                <c:formatCode>General</c:formatCode>
                <c:ptCount val="30"/>
                <c:pt idx="0">
                  <c:v>74</c:v>
                </c:pt>
                <c:pt idx="1">
                  <c:v>69</c:v>
                </c:pt>
                <c:pt idx="2">
                  <c:v>66</c:v>
                </c:pt>
                <c:pt idx="3">
                  <c:v>64</c:v>
                </c:pt>
                <c:pt idx="4">
                  <c:v>62</c:v>
                </c:pt>
                <c:pt idx="5">
                  <c:v>62</c:v>
                </c:pt>
                <c:pt idx="6">
                  <c:v>62</c:v>
                </c:pt>
                <c:pt idx="7">
                  <c:v>61</c:v>
                </c:pt>
                <c:pt idx="8">
                  <c:v>61</c:v>
                </c:pt>
                <c:pt idx="9">
                  <c:v>59</c:v>
                </c:pt>
                <c:pt idx="10">
                  <c:v>58</c:v>
                </c:pt>
                <c:pt idx="11">
                  <c:v>57</c:v>
                </c:pt>
                <c:pt idx="12">
                  <c:v>56</c:v>
                </c:pt>
                <c:pt idx="13">
                  <c:v>56</c:v>
                </c:pt>
                <c:pt idx="14">
                  <c:v>55</c:v>
                </c:pt>
                <c:pt idx="15">
                  <c:v>54</c:v>
                </c:pt>
                <c:pt idx="16">
                  <c:v>54</c:v>
                </c:pt>
                <c:pt idx="17">
                  <c:v>53</c:v>
                </c:pt>
                <c:pt idx="18">
                  <c:v>49</c:v>
                </c:pt>
                <c:pt idx="19">
                  <c:v>49</c:v>
                </c:pt>
                <c:pt idx="20">
                  <c:v>49</c:v>
                </c:pt>
                <c:pt idx="21">
                  <c:v>47</c:v>
                </c:pt>
                <c:pt idx="22">
                  <c:v>45</c:v>
                </c:pt>
                <c:pt idx="23">
                  <c:v>43</c:v>
                </c:pt>
                <c:pt idx="24">
                  <c:v>42</c:v>
                </c:pt>
                <c:pt idx="25">
                  <c:v>41</c:v>
                </c:pt>
                <c:pt idx="26">
                  <c:v>40</c:v>
                </c:pt>
                <c:pt idx="27">
                  <c:v>39</c:v>
                </c:pt>
                <c:pt idx="28">
                  <c:v>35</c:v>
                </c:pt>
                <c:pt idx="29">
                  <c:v>33</c:v>
                </c:pt>
              </c:numCache>
            </c:numRef>
          </c:xVal>
          <c:yVal>
            <c:numRef>
              <c:f>LAB!$AF$5:$AF$34</c:f>
              <c:numCache>
                <c:formatCode>General</c:formatCode>
                <c:ptCount val="30"/>
                <c:pt idx="0">
                  <c:v>3.8302613644678328E-3</c:v>
                </c:pt>
                <c:pt idx="1">
                  <c:v>3.8641540994817261E-3</c:v>
                </c:pt>
                <c:pt idx="2">
                  <c:v>3.8801560501946115E-3</c:v>
                </c:pt>
                <c:pt idx="3">
                  <c:v>3.8889915807717133E-3</c:v>
                </c:pt>
                <c:pt idx="4">
                  <c:v>3.8963490863819831E-3</c:v>
                </c:pt>
                <c:pt idx="5">
                  <c:v>3.8963490863819831E-3</c:v>
                </c:pt>
                <c:pt idx="6">
                  <c:v>3.8963490863819831E-3</c:v>
                </c:pt>
                <c:pt idx="7">
                  <c:v>3.8994708706283757E-3</c:v>
                </c:pt>
                <c:pt idx="8">
                  <c:v>3.8994708706283757E-3</c:v>
                </c:pt>
                <c:pt idx="9">
                  <c:v>3.9045960123092736E-3</c:v>
                </c:pt>
                <c:pt idx="10">
                  <c:v>3.9065978943835077E-3</c:v>
                </c:pt>
                <c:pt idx="11">
                  <c:v>3.9082251792843577E-3</c:v>
                </c:pt>
                <c:pt idx="12">
                  <c:v>3.9094773981390536E-3</c:v>
                </c:pt>
                <c:pt idx="13">
                  <c:v>3.9094773981390536E-3</c:v>
                </c:pt>
                <c:pt idx="14">
                  <c:v>3.9103541900546721E-3</c:v>
                </c:pt>
                <c:pt idx="15">
                  <c:v>3.9108553022914804E-3</c:v>
                </c:pt>
                <c:pt idx="16">
                  <c:v>3.9108553022914804E-3</c:v>
                </c:pt>
                <c:pt idx="17">
                  <c:v>3.9109805903843583E-3</c:v>
                </c:pt>
                <c:pt idx="18">
                  <c:v>3.9077244040548577E-3</c:v>
                </c:pt>
                <c:pt idx="19">
                  <c:v>3.9077244040548577E-3</c:v>
                </c:pt>
                <c:pt idx="20">
                  <c:v>3.9077244040548577E-3</c:v>
                </c:pt>
                <c:pt idx="21">
                  <c:v>3.9038455710332233E-3</c:v>
                </c:pt>
                <c:pt idx="22">
                  <c:v>3.8984716276351796E-3</c:v>
                </c:pt>
                <c:pt idx="23">
                  <c:v>3.8916087601208751E-3</c:v>
                </c:pt>
                <c:pt idx="24">
                  <c:v>3.8876213798223814E-3</c:v>
                </c:pt>
                <c:pt idx="25">
                  <c:v>3.8832648604583985E-3</c:v>
                </c:pt>
                <c:pt idx="26">
                  <c:v>3.8785404525604494E-3</c:v>
                </c:pt>
                <c:pt idx="27">
                  <c:v>3.8734495112001141E-3</c:v>
                </c:pt>
                <c:pt idx="28">
                  <c:v>3.8494511338243317E-3</c:v>
                </c:pt>
                <c:pt idx="29">
                  <c:v>3.8352955429035865E-3</c:v>
                </c:pt>
              </c:numCache>
            </c:numRef>
          </c:yVal>
          <c:smooth val="0"/>
          <c:extLst>
            <c:ext xmlns:c15="http://schemas.microsoft.com/office/drawing/2012/chart" uri="{02D57815-91ED-43cb-92C2-25804820EDAC}">
              <c15:datalabelsRange>
                <c15:f>LAB!$C$5:$C$34</c15:f>
                <c15:dlblRangeCache>
                  <c:ptCount val="30"/>
                  <c:pt idx="0">
                    <c:v>8</c:v>
                  </c:pt>
                  <c:pt idx="1">
                    <c:v>23</c:v>
                  </c:pt>
                  <c:pt idx="2">
                    <c:v>19</c:v>
                  </c:pt>
                  <c:pt idx="3">
                    <c:v>4</c:v>
                  </c:pt>
                  <c:pt idx="4">
                    <c:v>7</c:v>
                  </c:pt>
                  <c:pt idx="5">
                    <c:v>14</c:v>
                  </c:pt>
                  <c:pt idx="6">
                    <c:v>15</c:v>
                  </c:pt>
                  <c:pt idx="7">
                    <c:v>13</c:v>
                  </c:pt>
                  <c:pt idx="8">
                    <c:v>20</c:v>
                  </c:pt>
                  <c:pt idx="9">
                    <c:v>26</c:v>
                  </c:pt>
                  <c:pt idx="10">
                    <c:v>28</c:v>
                  </c:pt>
                  <c:pt idx="11">
                    <c:v>24</c:v>
                  </c:pt>
                  <c:pt idx="12">
                    <c:v>16</c:v>
                  </c:pt>
                  <c:pt idx="13">
                    <c:v>25</c:v>
                  </c:pt>
                  <c:pt idx="14">
                    <c:v>27</c:v>
                  </c:pt>
                  <c:pt idx="15">
                    <c:v>5</c:v>
                  </c:pt>
                  <c:pt idx="16">
                    <c:v>10</c:v>
                  </c:pt>
                  <c:pt idx="17">
                    <c:v>21</c:v>
                  </c:pt>
                  <c:pt idx="18">
                    <c:v>6</c:v>
                  </c:pt>
                  <c:pt idx="19">
                    <c:v>9</c:v>
                  </c:pt>
                  <c:pt idx="20">
                    <c:v>18</c:v>
                  </c:pt>
                  <c:pt idx="21">
                    <c:v>29</c:v>
                  </c:pt>
                  <c:pt idx="22">
                    <c:v>30</c:v>
                  </c:pt>
                  <c:pt idx="23">
                    <c:v>11</c:v>
                  </c:pt>
                  <c:pt idx="24">
                    <c:v>22</c:v>
                  </c:pt>
                  <c:pt idx="25">
                    <c:v>12</c:v>
                  </c:pt>
                  <c:pt idx="26">
                    <c:v>3</c:v>
                  </c:pt>
                  <c:pt idx="27">
                    <c:v>1</c:v>
                  </c:pt>
                  <c:pt idx="28">
                    <c:v>2</c:v>
                  </c:pt>
                  <c:pt idx="29">
                    <c:v>17</c:v>
                  </c:pt>
                </c15:dlblRangeCache>
              </c15:datalabelsRange>
            </c:ext>
            <c:ext xmlns:c16="http://schemas.microsoft.com/office/drawing/2014/chart" uri="{C3380CC4-5D6E-409C-BE32-E72D297353CC}">
              <c16:uniqueId val="{0000001E-3C3F-4207-BE40-A0B80C4B4D93}"/>
            </c:ext>
          </c:extLst>
        </c:ser>
        <c:dLbls>
          <c:dLblPos val="t"/>
          <c:showLegendKey val="0"/>
          <c:showVal val="1"/>
          <c:showCatName val="0"/>
          <c:showSerName val="0"/>
          <c:showPercent val="0"/>
          <c:showBubbleSize val="0"/>
        </c:dLbls>
        <c:axId val="312124448"/>
        <c:axId val="312125280"/>
      </c:scatterChart>
      <c:valAx>
        <c:axId val="312124448"/>
        <c:scaling>
          <c:orientation val="minMax"/>
        </c:scaling>
        <c:delete val="0"/>
        <c:axPos val="b"/>
        <c:majorGridlines>
          <c:spPr>
            <a:ln w="9525" cap="flat" cmpd="sng" algn="ctr">
              <a:solidFill>
                <a:schemeClr val="dk1">
                  <a:lumMod val="65000"/>
                  <a:lumOff val="35000"/>
                  <a:alpha val="75000"/>
                </a:schemeClr>
              </a:solidFill>
              <a:round/>
            </a:ln>
            <a:effectLst/>
          </c:spPr>
        </c:majorGridlines>
        <c:title>
          <c:tx>
            <c:rich>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US"/>
                  <a:t>Labwork Grade</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312125280"/>
        <c:crosses val="autoZero"/>
        <c:crossBetween val="midCat"/>
      </c:valAx>
      <c:valAx>
        <c:axId val="312125280"/>
        <c:scaling>
          <c:orientation val="minMax"/>
        </c:scaling>
        <c:delete val="0"/>
        <c:axPos val="l"/>
        <c:majorGridlines>
          <c:spPr>
            <a:ln w="9525" cap="flat" cmpd="sng" algn="ctr">
              <a:solidFill>
                <a:schemeClr val="dk1">
                  <a:lumMod val="65000"/>
                  <a:lumOff val="35000"/>
                  <a:alpha val="7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US"/>
                  <a:t>Normal Dist.</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lt1">
                <a:lumMod val="50000"/>
              </a:schemeClr>
            </a:solid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312124448"/>
        <c:crosses val="autoZero"/>
        <c:crossBetween val="midCat"/>
      </c:valAx>
      <c:spPr>
        <a:noFill/>
        <a:ln>
          <a:noFill/>
        </a:ln>
        <a:effectLst/>
      </c:spPr>
    </c:plotArea>
    <c:plotVisOnly val="1"/>
    <c:dispBlanksAs val="gap"/>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5">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3"/>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tx1"/>
    </cs:fontRef>
    <cs:spPr>
      <a:ln w="9525" cap="flat" cmpd="sng" algn="ctr">
        <a:solidFill>
          <a:schemeClr val="dk1">
            <a:lumMod val="65000"/>
            <a:lumOff val="35000"/>
            <a:alpha val="75000"/>
          </a:schemeClr>
        </a:solidFill>
        <a:round/>
      </a:ln>
    </cs:spPr>
  </cs:gridlineMajor>
  <cs:gridlineMinor>
    <cs:lnRef idx="0"/>
    <cs:fillRef idx="0"/>
    <cs:effectRef idx="0"/>
    <cs:fontRef idx="minor">
      <a:schemeClr val="tx1"/>
    </cs:fontRef>
    <cs:spPr>
      <a:ln w="9525" cap="flat" cmpd="sng" algn="ctr">
        <a:solidFill>
          <a:schemeClr val="dk1">
            <a:lumMod val="65000"/>
            <a:lumOff val="35000"/>
            <a:alpha val="25000"/>
          </a:schemeClr>
        </a:soli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spPr>
      <a:ln w="9525" cap="flat" cmpd="sng" algn="ctr">
        <a:solidFill>
          <a:schemeClr val="lt1">
            <a:lumMod val="50000"/>
          </a:schemeClr>
        </a:solidFill>
        <a:round/>
      </a:ln>
    </cs:spPr>
    <cs:defRPr sz="900" kern="1200"/>
    <cs:bodyPr/>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45">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3"/>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tx1"/>
    </cs:fontRef>
    <cs:spPr>
      <a:ln w="9525" cap="flat" cmpd="sng" algn="ctr">
        <a:solidFill>
          <a:schemeClr val="dk1">
            <a:lumMod val="65000"/>
            <a:lumOff val="35000"/>
            <a:alpha val="75000"/>
          </a:schemeClr>
        </a:solidFill>
        <a:round/>
      </a:ln>
    </cs:spPr>
  </cs:gridlineMajor>
  <cs:gridlineMinor>
    <cs:lnRef idx="0"/>
    <cs:fillRef idx="0"/>
    <cs:effectRef idx="0"/>
    <cs:fontRef idx="minor">
      <a:schemeClr val="tx1"/>
    </cs:fontRef>
    <cs:spPr>
      <a:ln w="9525" cap="flat" cmpd="sng" algn="ctr">
        <a:solidFill>
          <a:schemeClr val="dk1">
            <a:lumMod val="65000"/>
            <a:lumOff val="35000"/>
            <a:alpha val="25000"/>
          </a:schemeClr>
        </a:soli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spPr>
      <a:ln w="9525" cap="flat" cmpd="sng" algn="ctr">
        <a:solidFill>
          <a:schemeClr val="lt1">
            <a:lumMod val="50000"/>
          </a:schemeClr>
        </a:solidFill>
        <a:round/>
      </a:ln>
    </cs:spPr>
    <cs:defRPr sz="900" kern="1200"/>
    <cs:bodyPr/>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45">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3"/>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tx1"/>
    </cs:fontRef>
    <cs:spPr>
      <a:ln w="9525" cap="flat" cmpd="sng" algn="ctr">
        <a:solidFill>
          <a:schemeClr val="dk1">
            <a:lumMod val="65000"/>
            <a:lumOff val="35000"/>
            <a:alpha val="75000"/>
          </a:schemeClr>
        </a:solidFill>
        <a:round/>
      </a:ln>
    </cs:spPr>
  </cs:gridlineMajor>
  <cs:gridlineMinor>
    <cs:lnRef idx="0"/>
    <cs:fillRef idx="0"/>
    <cs:effectRef idx="0"/>
    <cs:fontRef idx="minor">
      <a:schemeClr val="tx1"/>
    </cs:fontRef>
    <cs:spPr>
      <a:ln w="9525" cap="flat" cmpd="sng" algn="ctr">
        <a:solidFill>
          <a:schemeClr val="dk1">
            <a:lumMod val="65000"/>
            <a:lumOff val="35000"/>
            <a:alpha val="25000"/>
          </a:schemeClr>
        </a:soli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spPr>
      <a:ln w="9525" cap="flat" cmpd="sng" algn="ctr">
        <a:solidFill>
          <a:schemeClr val="lt1">
            <a:lumMod val="50000"/>
          </a:schemeClr>
        </a:solidFill>
        <a:round/>
      </a:ln>
    </cs:spPr>
    <cs:defRPr sz="900" kern="1200"/>
    <cs:bodyPr/>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45">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3"/>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tx1"/>
    </cs:fontRef>
    <cs:spPr>
      <a:ln w="9525" cap="flat" cmpd="sng" algn="ctr">
        <a:solidFill>
          <a:schemeClr val="dk1">
            <a:lumMod val="65000"/>
            <a:lumOff val="35000"/>
            <a:alpha val="75000"/>
          </a:schemeClr>
        </a:solidFill>
        <a:round/>
      </a:ln>
    </cs:spPr>
  </cs:gridlineMajor>
  <cs:gridlineMinor>
    <cs:lnRef idx="0"/>
    <cs:fillRef idx="0"/>
    <cs:effectRef idx="0"/>
    <cs:fontRef idx="minor">
      <a:schemeClr val="tx1"/>
    </cs:fontRef>
    <cs:spPr>
      <a:ln w="9525" cap="flat" cmpd="sng" algn="ctr">
        <a:solidFill>
          <a:schemeClr val="dk1">
            <a:lumMod val="65000"/>
            <a:lumOff val="35000"/>
            <a:alpha val="25000"/>
          </a:schemeClr>
        </a:soli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spPr>
      <a:ln w="9525" cap="flat" cmpd="sng" algn="ctr">
        <a:solidFill>
          <a:schemeClr val="lt1">
            <a:lumMod val="50000"/>
          </a:schemeClr>
        </a:solidFill>
        <a:round/>
      </a:ln>
    </cs:spPr>
    <cs:defRPr sz="900" kern="1200"/>
    <cs:bodyPr/>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45">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3"/>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tx1"/>
    </cs:fontRef>
    <cs:spPr>
      <a:ln w="9525" cap="flat" cmpd="sng" algn="ctr">
        <a:solidFill>
          <a:schemeClr val="dk1">
            <a:lumMod val="65000"/>
            <a:lumOff val="35000"/>
            <a:alpha val="75000"/>
          </a:schemeClr>
        </a:solidFill>
        <a:round/>
      </a:ln>
    </cs:spPr>
  </cs:gridlineMajor>
  <cs:gridlineMinor>
    <cs:lnRef idx="0"/>
    <cs:fillRef idx="0"/>
    <cs:effectRef idx="0"/>
    <cs:fontRef idx="minor">
      <a:schemeClr val="tx1"/>
    </cs:fontRef>
    <cs:spPr>
      <a:ln w="9525" cap="flat" cmpd="sng" algn="ctr">
        <a:solidFill>
          <a:schemeClr val="dk1">
            <a:lumMod val="65000"/>
            <a:lumOff val="35000"/>
            <a:alpha val="25000"/>
          </a:schemeClr>
        </a:soli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spPr>
      <a:ln w="9525" cap="flat" cmpd="sng" algn="ctr">
        <a:solidFill>
          <a:schemeClr val="lt1">
            <a:lumMod val="50000"/>
          </a:schemeClr>
        </a:solidFill>
        <a:round/>
      </a:ln>
    </cs:spPr>
    <cs:defRPr sz="900" kern="1200"/>
    <cs:bodyPr/>
  </cs:valueAxis>
  <cs:wall>
    <cs:lnRef idx="0"/>
    <cs:fillRef idx="0"/>
    <cs:effectRef idx="0"/>
    <cs:fontRef idx="minor">
      <a:schemeClr val="dk1"/>
    </cs:fontRef>
  </cs:wall>
</cs:chartStyle>
</file>

<file path=xl/ctrlProps/ctrlProp1.xml><?xml version="1.0" encoding="utf-8"?>
<formControlPr xmlns="http://schemas.microsoft.com/office/spreadsheetml/2009/9/main" objectType="CheckBox" fmlaLink="$C$69" lockText="1" noThreeD="1"/>
</file>

<file path=xl/ctrlProps/ctrlProp2.xml><?xml version="1.0" encoding="utf-8"?>
<formControlPr xmlns="http://schemas.microsoft.com/office/spreadsheetml/2009/9/main" objectType="CheckBox" checked="Checked" fmlaLink="$C$70" lockText="1" noThreeD="1"/>
</file>

<file path=xl/ctrlProps/ctrlProp3.xml><?xml version="1.0" encoding="utf-8"?>
<formControlPr xmlns="http://schemas.microsoft.com/office/spreadsheetml/2009/9/main" objectType="CheckBox" fmlaLink="$C$71" lockText="1" noThreeD="1"/>
</file>

<file path=xl/ctrlProps/ctrlProp4.xml><?xml version="1.0" encoding="utf-8"?>
<formControlPr xmlns="http://schemas.microsoft.com/office/spreadsheetml/2009/9/main" objectType="CheckBox" fmlaLink="$C$72" lockText="1" noThreeD="1"/>
</file>

<file path=xl/ctrlProps/ctrlProp5.xml><?xml version="1.0" encoding="utf-8"?>
<formControlPr xmlns="http://schemas.microsoft.com/office/spreadsheetml/2009/9/main" objectType="CheckBox" fmlaLink="$E$69" lockText="1" noThreeD="1"/>
</file>

<file path=xl/ctrlProps/ctrlProp6.xml><?xml version="1.0" encoding="utf-8"?>
<formControlPr xmlns="http://schemas.microsoft.com/office/spreadsheetml/2009/9/main" objectType="CheckBox" fmlaLink="$E$70" lockText="1" noThreeD="1"/>
</file>

<file path=xl/ctrlProps/ctrlProp7.xml><?xml version="1.0" encoding="utf-8"?>
<formControlPr xmlns="http://schemas.microsoft.com/office/spreadsheetml/2009/9/main" objectType="CheckBox" fmlaLink="$E$71" lockText="1" noThreeD="1"/>
</file>

<file path=xl/ctrlProps/ctrlProp8.xml><?xml version="1.0" encoding="utf-8"?>
<formControlPr xmlns="http://schemas.microsoft.com/office/spreadsheetml/2009/9/main" objectType="CheckBox" fmlaLink="$E$72" lockText="1" noThreeD="1"/>
</file>

<file path=xl/ctrlProps/ctrlProp9.xml><?xml version="1.0" encoding="utf-8"?>
<formControlPr xmlns="http://schemas.microsoft.com/office/spreadsheetml/2009/9/main" objectType="CheckBox" checked="Checked" fmlaLink="$G$69" lockText="1" noThreeD="1"/>
</file>

<file path=xl/ctrlProps/ctrlProp10.xml><?xml version="1.0" encoding="utf-8"?>
<formControlPr xmlns="http://schemas.microsoft.com/office/spreadsheetml/2009/9/main" objectType="CheckBox" checked="Checked" fmlaLink="$G$70" lockText="1" noThreeD="1"/>
</file>

<file path=xl/ctrlProps/ctrlProp11.xml><?xml version="1.0" encoding="utf-8"?>
<formControlPr xmlns="http://schemas.microsoft.com/office/spreadsheetml/2009/9/main" objectType="CheckBox" fmlaLink="$G$71" lockText="1" noThreeD="1"/>
</file>

<file path=xl/ctrlProps/ctrlProp12.xml><?xml version="1.0" encoding="utf-8"?>
<formControlPr xmlns="http://schemas.microsoft.com/office/spreadsheetml/2009/9/main" objectType="CheckBox" fmlaLink="$G$72" lockText="1" noThreeD="1"/>
</file>

<file path=xl/ctrlProps/ctrlProp13.xml><?xml version="1.0" encoding="utf-8"?>
<formControlPr xmlns="http://schemas.microsoft.com/office/spreadsheetml/2009/9/main" objectType="CheckBox" fmlaLink="$I$69" lockText="1" noThreeD="1"/>
</file>

<file path=xl/ctrlProps/ctrlProp14.xml><?xml version="1.0" encoding="utf-8"?>
<formControlPr xmlns="http://schemas.microsoft.com/office/spreadsheetml/2009/9/main" objectType="CheckBox" checked="Checked" fmlaLink="$I$70" lockText="1" noThreeD="1"/>
</file>

<file path=xl/ctrlProps/ctrlProp15.xml><?xml version="1.0" encoding="utf-8"?>
<formControlPr xmlns="http://schemas.microsoft.com/office/spreadsheetml/2009/9/main" objectType="CheckBox" fmlaLink="$I$71" lockText="1" noThreeD="1"/>
</file>

<file path=xl/ctrlProps/ctrlProp16.xml><?xml version="1.0" encoding="utf-8"?>
<formControlPr xmlns="http://schemas.microsoft.com/office/spreadsheetml/2009/9/main" objectType="CheckBox" fmlaLink="$I$72" lockText="1" noThreeD="1"/>
</file>

<file path=xl/ctrlProps/ctrlProp17.xml><?xml version="1.0" encoding="utf-8"?>
<formControlPr xmlns="http://schemas.microsoft.com/office/spreadsheetml/2009/9/main" objectType="CheckBox" fmlaLink="$K$69" lockText="1" noThreeD="1"/>
</file>

<file path=xl/ctrlProps/ctrlProp18.xml><?xml version="1.0" encoding="utf-8"?>
<formControlPr xmlns="http://schemas.microsoft.com/office/spreadsheetml/2009/9/main" objectType="CheckBox" fmlaLink="$K$70" lockText="1" noThreeD="1"/>
</file>

<file path=xl/ctrlProps/ctrlProp19.xml><?xml version="1.0" encoding="utf-8"?>
<formControlPr xmlns="http://schemas.microsoft.com/office/spreadsheetml/2009/9/main" objectType="CheckBox" fmlaLink="$K$71" lockText="1" noThreeD="1"/>
</file>

<file path=xl/ctrlProps/ctrlProp20.xml><?xml version="1.0" encoding="utf-8"?>
<formControlPr xmlns="http://schemas.microsoft.com/office/spreadsheetml/2009/9/main" objectType="CheckBox" fmlaLink="$K$72" lockText="1" noThreeD="1"/>
</file>

<file path=xl/ctrlProps/ctrlProp21.xml><?xml version="1.0" encoding="utf-8"?>
<formControlPr xmlns="http://schemas.microsoft.com/office/spreadsheetml/2009/9/main" objectType="CheckBox" fmlaLink="$M$69" lockText="1" noThreeD="1"/>
</file>

<file path=xl/ctrlProps/ctrlProp22.xml><?xml version="1.0" encoding="utf-8"?>
<formControlPr xmlns="http://schemas.microsoft.com/office/spreadsheetml/2009/9/main" objectType="CheckBox" fmlaLink="$M$70" lockText="1" noThreeD="1"/>
</file>

<file path=xl/ctrlProps/ctrlProp23.xml><?xml version="1.0" encoding="utf-8"?>
<formControlPr xmlns="http://schemas.microsoft.com/office/spreadsheetml/2009/9/main" objectType="CheckBox" fmlaLink="$M$71" lockText="1" noThreeD="1"/>
</file>

<file path=xl/ctrlProps/ctrlProp24.xml><?xml version="1.0" encoding="utf-8"?>
<formControlPr xmlns="http://schemas.microsoft.com/office/spreadsheetml/2009/9/main" objectType="CheckBox" fmlaLink="$M$72" lockText="1" noThreeD="1"/>
</file>

<file path=xl/ctrlProps/ctrlProp25.xml><?xml version="1.0" encoding="utf-8"?>
<formControlPr xmlns="http://schemas.microsoft.com/office/spreadsheetml/2009/9/main" objectType="CheckBox" fmlaLink="$O$69" lockText="1" noThreeD="1"/>
</file>

<file path=xl/ctrlProps/ctrlProp26.xml><?xml version="1.0" encoding="utf-8"?>
<formControlPr xmlns="http://schemas.microsoft.com/office/spreadsheetml/2009/9/main" objectType="CheckBox" fmlaLink="$O$70" lockText="1" noThreeD="1"/>
</file>

<file path=xl/ctrlProps/ctrlProp27.xml><?xml version="1.0" encoding="utf-8"?>
<formControlPr xmlns="http://schemas.microsoft.com/office/spreadsheetml/2009/9/main" objectType="CheckBox" fmlaLink="$O$71" lockText="1" noThreeD="1"/>
</file>

<file path=xl/ctrlProps/ctrlProp28.xml><?xml version="1.0" encoding="utf-8"?>
<formControlPr xmlns="http://schemas.microsoft.com/office/spreadsheetml/2009/9/main" objectType="CheckBox" fmlaLink="$O$72" lockText="1" noThreeD="1"/>
</file>

<file path=xl/ctrlProps/ctrlProp29.xml><?xml version="1.0" encoding="utf-8"?>
<formControlPr xmlns="http://schemas.microsoft.com/office/spreadsheetml/2009/9/main" objectType="CheckBox" fmlaLink="$Q$69" lockText="1" noThreeD="1"/>
</file>

<file path=xl/ctrlProps/ctrlProp30.xml><?xml version="1.0" encoding="utf-8"?>
<formControlPr xmlns="http://schemas.microsoft.com/office/spreadsheetml/2009/9/main" objectType="CheckBox" fmlaLink="$Q$70" lockText="1" noThreeD="1"/>
</file>

<file path=xl/ctrlProps/ctrlProp31.xml><?xml version="1.0" encoding="utf-8"?>
<formControlPr xmlns="http://schemas.microsoft.com/office/spreadsheetml/2009/9/main" objectType="CheckBox" fmlaLink="$Q$71" lockText="1" noThreeD="1"/>
</file>

<file path=xl/ctrlProps/ctrlProp32.xml><?xml version="1.0" encoding="utf-8"?>
<formControlPr xmlns="http://schemas.microsoft.com/office/spreadsheetml/2009/9/main" objectType="CheckBox" fmlaLink="$Q$72" lockText="1" noThreeD="1"/>
</file>

<file path=xl/ctrlProps/ctrlProp33.xml><?xml version="1.0" encoding="utf-8"?>
<formControlPr xmlns="http://schemas.microsoft.com/office/spreadsheetml/2009/9/main" objectType="CheckBox" fmlaLink="$S$69" lockText="1" noThreeD="1"/>
</file>

<file path=xl/ctrlProps/ctrlProp34.xml><?xml version="1.0" encoding="utf-8"?>
<formControlPr xmlns="http://schemas.microsoft.com/office/spreadsheetml/2009/9/main" objectType="CheckBox" fmlaLink="$S$70" lockText="1" noThreeD="1"/>
</file>

<file path=xl/ctrlProps/ctrlProp35.xml><?xml version="1.0" encoding="utf-8"?>
<formControlPr xmlns="http://schemas.microsoft.com/office/spreadsheetml/2009/9/main" objectType="CheckBox" fmlaLink="$S$71" lockText="1" noThreeD="1"/>
</file>

<file path=xl/ctrlProps/ctrlProp36.xml><?xml version="1.0" encoding="utf-8"?>
<formControlPr xmlns="http://schemas.microsoft.com/office/spreadsheetml/2009/9/main" objectType="CheckBox" fmlaLink="$S$72" lockText="1" noThreeD="1"/>
</file>

<file path=xl/ctrlProps/ctrlProp37.xml><?xml version="1.0" encoding="utf-8"?>
<formControlPr xmlns="http://schemas.microsoft.com/office/spreadsheetml/2009/9/main" objectType="CheckBox" fmlaLink="$U$69" lockText="1" noThreeD="1"/>
</file>

<file path=xl/ctrlProps/ctrlProp38.xml><?xml version="1.0" encoding="utf-8"?>
<formControlPr xmlns="http://schemas.microsoft.com/office/spreadsheetml/2009/9/main" objectType="CheckBox" fmlaLink="$U$70" lockText="1" noThreeD="1"/>
</file>

<file path=xl/ctrlProps/ctrlProp39.xml><?xml version="1.0" encoding="utf-8"?>
<formControlPr xmlns="http://schemas.microsoft.com/office/spreadsheetml/2009/9/main" objectType="CheckBox" fmlaLink="$U$71" lockText="1" noThreeD="1"/>
</file>

<file path=xl/ctrlProps/ctrlProp40.xml><?xml version="1.0" encoding="utf-8"?>
<formControlPr xmlns="http://schemas.microsoft.com/office/spreadsheetml/2009/9/main" objectType="CheckBox" fmlaLink="$U$72" lockText="1" noThreeD="1"/>
</file>

<file path=xl/ctrlProps/ctrlProp41.xml><?xml version="1.0" encoding="utf-8"?>
<formControlPr xmlns="http://schemas.microsoft.com/office/spreadsheetml/2009/9/main" objectType="CheckBox" fmlaLink="$W$69" lockText="1" noThreeD="1"/>
</file>

<file path=xl/ctrlProps/ctrlProp42.xml><?xml version="1.0" encoding="utf-8"?>
<formControlPr xmlns="http://schemas.microsoft.com/office/spreadsheetml/2009/9/main" objectType="CheckBox" fmlaLink="$W$70" lockText="1" noThreeD="1"/>
</file>

<file path=xl/ctrlProps/ctrlProp43.xml><?xml version="1.0" encoding="utf-8"?>
<formControlPr xmlns="http://schemas.microsoft.com/office/spreadsheetml/2009/9/main" objectType="CheckBox" fmlaLink="$W$71" lockText="1" noThreeD="1"/>
</file>

<file path=xl/ctrlProps/ctrlProp44.xml><?xml version="1.0" encoding="utf-8"?>
<formControlPr xmlns="http://schemas.microsoft.com/office/spreadsheetml/2009/9/main" objectType="CheckBox" fmlaLink="$W$72" lockText="1" noThreeD="1"/>
</file>

<file path=xl/ctrlProps/ctrlProp45.xml><?xml version="1.0" encoding="utf-8"?>
<formControlPr xmlns="http://schemas.microsoft.com/office/spreadsheetml/2009/9/main" objectType="CheckBox" fmlaLink="$Q$72" lockText="1" noThreeD="1"/>
</file>

<file path=xl/ctrlProps/ctrlProp46.xml><?xml version="1.0" encoding="utf-8"?>
<formControlPr xmlns="http://schemas.microsoft.com/office/spreadsheetml/2009/9/main" objectType="CheckBox" fmlaLink="$K$69" lockText="1" noThreeD="1"/>
</file>

<file path=xl/ctrlProps/ctrlProp47.xml><?xml version="1.0" encoding="utf-8"?>
<formControlPr xmlns="http://schemas.microsoft.com/office/spreadsheetml/2009/9/main" objectType="CheckBox" fmlaLink="$C$69" lockText="1" noThreeD="1"/>
</file>

<file path=xl/ctrlProps/ctrlProp48.xml><?xml version="1.0" encoding="utf-8"?>
<formControlPr xmlns="http://schemas.microsoft.com/office/spreadsheetml/2009/9/main" objectType="CheckBox" checked="Checked" fmlaLink="$C$70" lockText="1" noThreeD="1"/>
</file>

<file path=xl/ctrlProps/ctrlProp49.xml><?xml version="1.0" encoding="utf-8"?>
<formControlPr xmlns="http://schemas.microsoft.com/office/spreadsheetml/2009/9/main" objectType="CheckBox" fmlaLink="$C$71" lockText="1" noThreeD="1"/>
</file>

<file path=xl/ctrlProps/ctrlProp50.xml><?xml version="1.0" encoding="utf-8"?>
<formControlPr xmlns="http://schemas.microsoft.com/office/spreadsheetml/2009/9/main" objectType="CheckBox" fmlaLink="$C$72" lockText="1" noThreeD="1"/>
</file>

<file path=xl/ctrlProps/ctrlProp51.xml><?xml version="1.0" encoding="utf-8"?>
<formControlPr xmlns="http://schemas.microsoft.com/office/spreadsheetml/2009/9/main" objectType="CheckBox" fmlaLink="$C$69" lockText="1" noThreeD="1"/>
</file>

<file path=xl/ctrlProps/ctrlProp52.xml><?xml version="1.0" encoding="utf-8"?>
<formControlPr xmlns="http://schemas.microsoft.com/office/spreadsheetml/2009/9/main" objectType="CheckBox" checked="Checked" fmlaLink="$C$70" lockText="1" noThreeD="1"/>
</file>

<file path=xl/ctrlProps/ctrlProp53.xml><?xml version="1.0" encoding="utf-8"?>
<formControlPr xmlns="http://schemas.microsoft.com/office/spreadsheetml/2009/9/main" objectType="CheckBox" fmlaLink="$C$71" lockText="1" noThreeD="1"/>
</file>

<file path=xl/ctrlProps/ctrlProp54.xml><?xml version="1.0" encoding="utf-8"?>
<formControlPr xmlns="http://schemas.microsoft.com/office/spreadsheetml/2009/9/main" objectType="CheckBox" fmlaLink="$C$72" lockText="1" noThreeD="1"/>
</file>

<file path=xl/ctrlProps/ctrlProp55.xml><?xml version="1.0" encoding="utf-8"?>
<formControlPr xmlns="http://schemas.microsoft.com/office/spreadsheetml/2009/9/main" objectType="CheckBox" fmlaLink="$C$69" lockText="1" noThreeD="1"/>
</file>

<file path=xl/ctrlProps/ctrlProp56.xml><?xml version="1.0" encoding="utf-8"?>
<formControlPr xmlns="http://schemas.microsoft.com/office/spreadsheetml/2009/9/main" objectType="CheckBox" checked="Checked" fmlaLink="$C$70" lockText="1" noThreeD="1"/>
</file>

<file path=xl/ctrlProps/ctrlProp57.xml><?xml version="1.0" encoding="utf-8"?>
<formControlPr xmlns="http://schemas.microsoft.com/office/spreadsheetml/2009/9/main" objectType="CheckBox" fmlaLink="$C$71" lockText="1" noThreeD="1"/>
</file>

<file path=xl/ctrlProps/ctrlProp58.xml><?xml version="1.0" encoding="utf-8"?>
<formControlPr xmlns="http://schemas.microsoft.com/office/spreadsheetml/2009/9/main" objectType="CheckBox" fmlaLink="$C$72" lockText="1" noThreeD="1"/>
</file>

<file path=xl/ctrlProps/ctrlProp59.xml><?xml version="1.0" encoding="utf-8"?>
<formControlPr xmlns="http://schemas.microsoft.com/office/spreadsheetml/2009/9/main" objectType="CheckBox" fmlaLink="$C$69" lockText="1" noThreeD="1"/>
</file>

<file path=xl/ctrlProps/ctrlProp60.xml><?xml version="1.0" encoding="utf-8"?>
<formControlPr xmlns="http://schemas.microsoft.com/office/spreadsheetml/2009/9/main" objectType="CheckBox" checked="Checked" fmlaLink="$C$70" lockText="1" noThreeD="1"/>
</file>

<file path=xl/ctrlProps/ctrlProp61.xml><?xml version="1.0" encoding="utf-8"?>
<formControlPr xmlns="http://schemas.microsoft.com/office/spreadsheetml/2009/9/main" objectType="CheckBox" fmlaLink="$C$71" lockText="1" noThreeD="1"/>
</file>

<file path=xl/ctrlProps/ctrlProp62.xml><?xml version="1.0" encoding="utf-8"?>
<formControlPr xmlns="http://schemas.microsoft.com/office/spreadsheetml/2009/9/main" objectType="CheckBox" fmlaLink="$C$72" lockText="1" noThreeD="1"/>
</file>

<file path=xl/ctrlProps/ctrlProp63.xml><?xml version="1.0" encoding="utf-8"?>
<formControlPr xmlns="http://schemas.microsoft.com/office/spreadsheetml/2009/9/main" objectType="CheckBox" fmlaLink="$C$69" lockText="1" noThreeD="1"/>
</file>

<file path=xl/ctrlProps/ctrlProp64.xml><?xml version="1.0" encoding="utf-8"?>
<formControlPr xmlns="http://schemas.microsoft.com/office/spreadsheetml/2009/9/main" objectType="CheckBox" checked="Checked" fmlaLink="$C$70" lockText="1" noThreeD="1"/>
</file>

<file path=xl/ctrlProps/ctrlProp65.xml><?xml version="1.0" encoding="utf-8"?>
<formControlPr xmlns="http://schemas.microsoft.com/office/spreadsheetml/2009/9/main" objectType="CheckBox" fmlaLink="$C$71" lockText="1" noThreeD="1"/>
</file>

<file path=xl/ctrlProps/ctrlProp66.xml><?xml version="1.0" encoding="utf-8"?>
<formControlPr xmlns="http://schemas.microsoft.com/office/spreadsheetml/2009/9/main" objectType="CheckBox" fmlaLink="$C$72" lockText="1" noThreeD="1"/>
</file>

<file path=xl/ctrlProps/ctrlProp67.xml><?xml version="1.0" encoding="utf-8"?>
<formControlPr xmlns="http://schemas.microsoft.com/office/spreadsheetml/2009/9/main" objectType="CheckBox" fmlaLink="$C$69" lockText="1" noThreeD="1"/>
</file>

<file path=xl/ctrlProps/ctrlProp68.xml><?xml version="1.0" encoding="utf-8"?>
<formControlPr xmlns="http://schemas.microsoft.com/office/spreadsheetml/2009/9/main" objectType="CheckBox" checked="Checked" fmlaLink="$C$70" lockText="1" noThreeD="1"/>
</file>

<file path=xl/ctrlProps/ctrlProp69.xml><?xml version="1.0" encoding="utf-8"?>
<formControlPr xmlns="http://schemas.microsoft.com/office/spreadsheetml/2009/9/main" objectType="CheckBox" fmlaLink="$C$71" lockText="1" noThreeD="1"/>
</file>

<file path=xl/ctrlProps/ctrlProp70.xml><?xml version="1.0" encoding="utf-8"?>
<formControlPr xmlns="http://schemas.microsoft.com/office/spreadsheetml/2009/9/main" objectType="CheckBox" fmlaLink="$C$72" lockText="1" noThreeD="1"/>
</file>

<file path=xl/ctrlProps/ctrlProp71.xml><?xml version="1.0" encoding="utf-8"?>
<formControlPr xmlns="http://schemas.microsoft.com/office/spreadsheetml/2009/9/main" objectType="CheckBox" fmlaLink="$C$69" lockText="1" noThreeD="1"/>
</file>

<file path=xl/ctrlProps/ctrlProp72.xml><?xml version="1.0" encoding="utf-8"?>
<formControlPr xmlns="http://schemas.microsoft.com/office/spreadsheetml/2009/9/main" objectType="CheckBox" checked="Checked" fmlaLink="$C$70" lockText="1" noThreeD="1"/>
</file>

<file path=xl/ctrlProps/ctrlProp73.xml><?xml version="1.0" encoding="utf-8"?>
<formControlPr xmlns="http://schemas.microsoft.com/office/spreadsheetml/2009/9/main" objectType="CheckBox" fmlaLink="$C$71" lockText="1" noThreeD="1"/>
</file>

<file path=xl/ctrlProps/ctrlProp74.xml><?xml version="1.0" encoding="utf-8"?>
<formControlPr xmlns="http://schemas.microsoft.com/office/spreadsheetml/2009/9/main" objectType="CheckBox" fmlaLink="$C$72" lockText="1" noThreeD="1"/>
</file>

<file path=xl/ctrlProps/ctrlProp75.xml><?xml version="1.0" encoding="utf-8"?>
<formControlPr xmlns="http://schemas.microsoft.com/office/spreadsheetml/2009/9/main" objectType="CheckBox" fmlaLink="$C$69" lockText="1" noThreeD="1"/>
</file>

<file path=xl/ctrlProps/ctrlProp76.xml><?xml version="1.0" encoding="utf-8"?>
<formControlPr xmlns="http://schemas.microsoft.com/office/spreadsheetml/2009/9/main" objectType="CheckBox" checked="Checked" fmlaLink="$C$70" lockText="1" noThreeD="1"/>
</file>

<file path=xl/ctrlProps/ctrlProp77.xml><?xml version="1.0" encoding="utf-8"?>
<formControlPr xmlns="http://schemas.microsoft.com/office/spreadsheetml/2009/9/main" objectType="CheckBox" fmlaLink="$C$71" lockText="1" noThreeD="1"/>
</file>

<file path=xl/ctrlProps/ctrlProp78.xml><?xml version="1.0" encoding="utf-8"?>
<formControlPr xmlns="http://schemas.microsoft.com/office/spreadsheetml/2009/9/main" objectType="CheckBox" fmlaLink="$C$72" lockText="1" noThreeD="1"/>
</file>

<file path=xl/ctrlProps/ctrlProp79.xml><?xml version="1.0" encoding="utf-8"?>
<formControlPr xmlns="http://schemas.microsoft.com/office/spreadsheetml/2009/9/main" objectType="CheckBox" fmlaLink="$C$69" lockText="1" noThreeD="1"/>
</file>

<file path=xl/ctrlProps/ctrlProp80.xml><?xml version="1.0" encoding="utf-8"?>
<formControlPr xmlns="http://schemas.microsoft.com/office/spreadsheetml/2009/9/main" objectType="CheckBox" checked="Checked" fmlaLink="$C$70" lockText="1" noThreeD="1"/>
</file>

<file path=xl/ctrlProps/ctrlProp81.xml><?xml version="1.0" encoding="utf-8"?>
<formControlPr xmlns="http://schemas.microsoft.com/office/spreadsheetml/2009/9/main" objectType="CheckBox" fmlaLink="$C$71" lockText="1" noThreeD="1"/>
</file>

<file path=xl/ctrlProps/ctrlProp82.xml><?xml version="1.0" encoding="utf-8"?>
<formControlPr xmlns="http://schemas.microsoft.com/office/spreadsheetml/2009/9/main" objectType="CheckBox" fmlaLink="$C$72" lockText="1" noThreeD="1"/>
</file>

<file path=xl/ctrlProps/ctrlProp83.xml><?xml version="1.0" encoding="utf-8"?>
<formControlPr xmlns="http://schemas.microsoft.com/office/spreadsheetml/2009/9/main" objectType="CheckBox" fmlaLink="$C$69" lockText="1" noThreeD="1"/>
</file>

<file path=xl/ctrlProps/ctrlProp84.xml><?xml version="1.0" encoding="utf-8"?>
<formControlPr xmlns="http://schemas.microsoft.com/office/spreadsheetml/2009/9/main" objectType="CheckBox" checked="Checked" fmlaLink="$C$70" lockText="1" noThreeD="1"/>
</file>

<file path=xl/ctrlProps/ctrlProp85.xml><?xml version="1.0" encoding="utf-8"?>
<formControlPr xmlns="http://schemas.microsoft.com/office/spreadsheetml/2009/9/main" objectType="CheckBox" fmlaLink="$C$71" lockText="1" noThreeD="1"/>
</file>

<file path=xl/ctrlProps/ctrlProp86.xml><?xml version="1.0" encoding="utf-8"?>
<formControlPr xmlns="http://schemas.microsoft.com/office/spreadsheetml/2009/9/main" objectType="CheckBox" fmlaLink="$C$72" lockText="1" noThreeD="1"/>
</file>

<file path=xl/ctrlProps/ctrlProp87.xml><?xml version="1.0" encoding="utf-8"?>
<formControlPr xmlns="http://schemas.microsoft.com/office/spreadsheetml/2009/9/main" objectType="CheckBox" fmlaLink="$C$70" lockText="1" noThreeD="1"/>
</file>

<file path=xl/ctrlProps/ctrlProp88.xml><?xml version="1.0" encoding="utf-8"?>
<formControlPr xmlns="http://schemas.microsoft.com/office/spreadsheetml/2009/9/main" objectType="CheckBox" fmlaLink="$C$71" lockText="1" noThreeD="1"/>
</file>

<file path=xl/ctrlProps/ctrlProp89.xml><?xml version="1.0" encoding="utf-8"?>
<formControlPr xmlns="http://schemas.microsoft.com/office/spreadsheetml/2009/9/main" objectType="CheckBox" fmlaLink="$C$72" lockText="1" noThreeD="1"/>
</file>

<file path=xl/ctrlProps/ctrlProp90.xml><?xml version="1.0" encoding="utf-8"?>
<formControlPr xmlns="http://schemas.microsoft.com/office/spreadsheetml/2009/9/main" objectType="CheckBox" fmlaLink="$C$73" lockText="1" noThreeD="1"/>
</file>

<file path=xl/ctrlProps/ctrlProp91.xml><?xml version="1.0" encoding="utf-8"?>
<formControlPr xmlns="http://schemas.microsoft.com/office/spreadsheetml/2009/9/main" objectType="CheckBox" fmlaLink="$E$70" lockText="1" noThreeD="1"/>
</file>

<file path=xl/ctrlProps/ctrlProp92.xml><?xml version="1.0" encoding="utf-8"?>
<formControlPr xmlns="http://schemas.microsoft.com/office/spreadsheetml/2009/9/main" objectType="CheckBox" fmlaLink="$E$71" lockText="1" noThreeD="1"/>
</file>

<file path=xl/ctrlProps/ctrlProp93.xml><?xml version="1.0" encoding="utf-8"?>
<formControlPr xmlns="http://schemas.microsoft.com/office/spreadsheetml/2009/9/main" objectType="CheckBox" fmlaLink="$E$72" lockText="1" noThreeD="1"/>
</file>

<file path=xl/ctrlProps/ctrlProp94.xml><?xml version="1.0" encoding="utf-8"?>
<formControlPr xmlns="http://schemas.microsoft.com/office/spreadsheetml/2009/9/main" objectType="CheckBox" fmlaLink="$E$73" lockText="1" noThreeD="1"/>
</file>

<file path=xl/ctrlProps/ctrlProp95.xml><?xml version="1.0" encoding="utf-8"?>
<formControlPr xmlns="http://schemas.microsoft.com/office/spreadsheetml/2009/9/main" objectType="CheckBox" fmlaLink="$G$70" lockText="1" noThreeD="1"/>
</file>

<file path=xl/ctrlProps/ctrlProp96.xml><?xml version="1.0" encoding="utf-8"?>
<formControlPr xmlns="http://schemas.microsoft.com/office/spreadsheetml/2009/9/main" objectType="CheckBox" fmlaLink="$G$71" lockText="1" noThreeD="1"/>
</file>

<file path=xl/ctrlProps/ctrlProp97.xml><?xml version="1.0" encoding="utf-8"?>
<formControlPr xmlns="http://schemas.microsoft.com/office/spreadsheetml/2009/9/main" objectType="CheckBox" fmlaLink="$G$72" lockText="1" noThreeD="1"/>
</file>

<file path=xl/ctrlProps/ctrlProp98.xml><?xml version="1.0" encoding="utf-8"?>
<formControlPr xmlns="http://schemas.microsoft.com/office/spreadsheetml/2009/9/main" objectType="CheckBox" fmlaLink="$G$73" lockText="1" noThreeD="1"/>
</file>

<file path=xl/ctrlProps/ctrlProp99.xml><?xml version="1.0" encoding="utf-8"?>
<formControlPr xmlns="http://schemas.microsoft.com/office/spreadsheetml/2009/9/main" objectType="CheckBox" fmlaLink="$I$70" lockText="1" noThreeD="1"/>
</file>

<file path=xl/ctrlProps/ctrlProp100.xml><?xml version="1.0" encoding="utf-8"?>
<formControlPr xmlns="http://schemas.microsoft.com/office/spreadsheetml/2009/9/main" objectType="CheckBox" fmlaLink="$I$71" lockText="1" noThreeD="1"/>
</file>

<file path=xl/ctrlProps/ctrlProp101.xml><?xml version="1.0" encoding="utf-8"?>
<formControlPr xmlns="http://schemas.microsoft.com/office/spreadsheetml/2009/9/main" objectType="CheckBox" fmlaLink="$I$72" lockText="1" noThreeD="1"/>
</file>

<file path=xl/ctrlProps/ctrlProp102.xml><?xml version="1.0" encoding="utf-8"?>
<formControlPr xmlns="http://schemas.microsoft.com/office/spreadsheetml/2009/9/main" objectType="CheckBox" fmlaLink="$I$73" lockText="1" noThreeD="1"/>
</file>

<file path=xl/ctrlProps/ctrlProp103.xml><?xml version="1.0" encoding="utf-8"?>
<formControlPr xmlns="http://schemas.microsoft.com/office/spreadsheetml/2009/9/main" objectType="CheckBox" fmlaLink="$K$70" lockText="1" noThreeD="1"/>
</file>

<file path=xl/ctrlProps/ctrlProp104.xml><?xml version="1.0" encoding="utf-8"?>
<formControlPr xmlns="http://schemas.microsoft.com/office/spreadsheetml/2009/9/main" objectType="CheckBox" fmlaLink="$K$71" lockText="1" noThreeD="1"/>
</file>

<file path=xl/ctrlProps/ctrlProp105.xml><?xml version="1.0" encoding="utf-8"?>
<formControlPr xmlns="http://schemas.microsoft.com/office/spreadsheetml/2009/9/main" objectType="CheckBox" fmlaLink="$K$72" lockText="1" noThreeD="1"/>
</file>

<file path=xl/ctrlProps/ctrlProp106.xml><?xml version="1.0" encoding="utf-8"?>
<formControlPr xmlns="http://schemas.microsoft.com/office/spreadsheetml/2009/9/main" objectType="CheckBox" fmlaLink="$K$73" lockText="1" noThreeD="1"/>
</file>

<file path=xl/ctrlProps/ctrlProp107.xml><?xml version="1.0" encoding="utf-8"?>
<formControlPr xmlns="http://schemas.microsoft.com/office/spreadsheetml/2009/9/main" objectType="CheckBox" fmlaLink="$M$70" lockText="1" noThreeD="1"/>
</file>

<file path=xl/ctrlProps/ctrlProp108.xml><?xml version="1.0" encoding="utf-8"?>
<formControlPr xmlns="http://schemas.microsoft.com/office/spreadsheetml/2009/9/main" objectType="CheckBox" fmlaLink="$M$71" lockText="1" noThreeD="1"/>
</file>

<file path=xl/ctrlProps/ctrlProp109.xml><?xml version="1.0" encoding="utf-8"?>
<formControlPr xmlns="http://schemas.microsoft.com/office/spreadsheetml/2009/9/main" objectType="CheckBox" fmlaLink="$M$72" lockText="1" noThreeD="1"/>
</file>

<file path=xl/ctrlProps/ctrlProp110.xml><?xml version="1.0" encoding="utf-8"?>
<formControlPr xmlns="http://schemas.microsoft.com/office/spreadsheetml/2009/9/main" objectType="CheckBox" fmlaLink="$M$73" lockText="1" noThreeD="1"/>
</file>

<file path=xl/ctrlProps/ctrlProp111.xml><?xml version="1.0" encoding="utf-8"?>
<formControlPr xmlns="http://schemas.microsoft.com/office/spreadsheetml/2009/9/main" objectType="CheckBox" fmlaLink="$O$70" lockText="1" noThreeD="1"/>
</file>

<file path=xl/ctrlProps/ctrlProp112.xml><?xml version="1.0" encoding="utf-8"?>
<formControlPr xmlns="http://schemas.microsoft.com/office/spreadsheetml/2009/9/main" objectType="CheckBox" fmlaLink="$O$71" lockText="1" noThreeD="1"/>
</file>

<file path=xl/ctrlProps/ctrlProp113.xml><?xml version="1.0" encoding="utf-8"?>
<formControlPr xmlns="http://schemas.microsoft.com/office/spreadsheetml/2009/9/main" objectType="CheckBox" fmlaLink="$O$72" lockText="1" noThreeD="1"/>
</file>

<file path=xl/ctrlProps/ctrlProp114.xml><?xml version="1.0" encoding="utf-8"?>
<formControlPr xmlns="http://schemas.microsoft.com/office/spreadsheetml/2009/9/main" objectType="CheckBox" fmlaLink="$O$73" lockText="1" noThreeD="1"/>
</file>

<file path=xl/ctrlProps/ctrlProp115.xml><?xml version="1.0" encoding="utf-8"?>
<formControlPr xmlns="http://schemas.microsoft.com/office/spreadsheetml/2009/9/main" objectType="CheckBox" fmlaLink="$Q$70" lockText="1" noThreeD="1"/>
</file>

<file path=xl/ctrlProps/ctrlProp116.xml><?xml version="1.0" encoding="utf-8"?>
<formControlPr xmlns="http://schemas.microsoft.com/office/spreadsheetml/2009/9/main" objectType="CheckBox" fmlaLink="$Q$71" lockText="1" noThreeD="1"/>
</file>

<file path=xl/ctrlProps/ctrlProp117.xml><?xml version="1.0" encoding="utf-8"?>
<formControlPr xmlns="http://schemas.microsoft.com/office/spreadsheetml/2009/9/main" objectType="CheckBox" fmlaLink="$Q$72" lockText="1" noThreeD="1"/>
</file>

<file path=xl/ctrlProps/ctrlProp118.xml><?xml version="1.0" encoding="utf-8"?>
<formControlPr xmlns="http://schemas.microsoft.com/office/spreadsheetml/2009/9/main" objectType="CheckBox" fmlaLink="$Q$73" lockText="1" noThreeD="1"/>
</file>

<file path=xl/ctrlProps/ctrlProp119.xml><?xml version="1.0" encoding="utf-8"?>
<formControlPr xmlns="http://schemas.microsoft.com/office/spreadsheetml/2009/9/main" objectType="CheckBox" fmlaLink="$S$70" lockText="1" noThreeD="1"/>
</file>

<file path=xl/ctrlProps/ctrlProp120.xml><?xml version="1.0" encoding="utf-8"?>
<formControlPr xmlns="http://schemas.microsoft.com/office/spreadsheetml/2009/9/main" objectType="CheckBox" fmlaLink="$S$71" lockText="1" noThreeD="1"/>
</file>

<file path=xl/ctrlProps/ctrlProp121.xml><?xml version="1.0" encoding="utf-8"?>
<formControlPr xmlns="http://schemas.microsoft.com/office/spreadsheetml/2009/9/main" objectType="CheckBox" fmlaLink="$S$72" lockText="1" noThreeD="1"/>
</file>

<file path=xl/ctrlProps/ctrlProp122.xml><?xml version="1.0" encoding="utf-8"?>
<formControlPr xmlns="http://schemas.microsoft.com/office/spreadsheetml/2009/9/main" objectType="CheckBox" fmlaLink="$S$73" lockText="1" noThreeD="1"/>
</file>

<file path=xl/ctrlProps/ctrlProp123.xml><?xml version="1.0" encoding="utf-8"?>
<formControlPr xmlns="http://schemas.microsoft.com/office/spreadsheetml/2009/9/main" objectType="CheckBox" fmlaLink="$U$70" lockText="1" noThreeD="1"/>
</file>

<file path=xl/ctrlProps/ctrlProp124.xml><?xml version="1.0" encoding="utf-8"?>
<formControlPr xmlns="http://schemas.microsoft.com/office/spreadsheetml/2009/9/main" objectType="CheckBox" fmlaLink="$U$71" lockText="1" noThreeD="1"/>
</file>

<file path=xl/ctrlProps/ctrlProp125.xml><?xml version="1.0" encoding="utf-8"?>
<formControlPr xmlns="http://schemas.microsoft.com/office/spreadsheetml/2009/9/main" objectType="CheckBox" fmlaLink="$U$72" lockText="1" noThreeD="1"/>
</file>

<file path=xl/ctrlProps/ctrlProp126.xml><?xml version="1.0" encoding="utf-8"?>
<formControlPr xmlns="http://schemas.microsoft.com/office/spreadsheetml/2009/9/main" objectType="CheckBox" fmlaLink="$U$73" lockText="1" noThreeD="1"/>
</file>

<file path=xl/ctrlProps/ctrlProp127.xml><?xml version="1.0" encoding="utf-8"?>
<formControlPr xmlns="http://schemas.microsoft.com/office/spreadsheetml/2009/9/main" objectType="CheckBox" fmlaLink="$W$70" lockText="1" noThreeD="1"/>
</file>

<file path=xl/ctrlProps/ctrlProp128.xml><?xml version="1.0" encoding="utf-8"?>
<formControlPr xmlns="http://schemas.microsoft.com/office/spreadsheetml/2009/9/main" objectType="CheckBox" fmlaLink="$W$71" lockText="1" noThreeD="1"/>
</file>

<file path=xl/ctrlProps/ctrlProp129.xml><?xml version="1.0" encoding="utf-8"?>
<formControlPr xmlns="http://schemas.microsoft.com/office/spreadsheetml/2009/9/main" objectType="CheckBox" fmlaLink="$W$72" lockText="1" noThreeD="1"/>
</file>

<file path=xl/ctrlProps/ctrlProp130.xml><?xml version="1.0" encoding="utf-8"?>
<formControlPr xmlns="http://schemas.microsoft.com/office/spreadsheetml/2009/9/main" objectType="CheckBox" fmlaLink="$W$73" lockText="1" noThreeD="1"/>
</file>

<file path=xl/ctrlProps/ctrlProp131.xml><?xml version="1.0" encoding="utf-8"?>
<formControlPr xmlns="http://schemas.microsoft.com/office/spreadsheetml/2009/9/main" objectType="CheckBox" fmlaLink="$Q$73" lockText="1" noThreeD="1"/>
</file>

<file path=xl/ctrlProps/ctrlProp132.xml><?xml version="1.0" encoding="utf-8"?>
<formControlPr xmlns="http://schemas.microsoft.com/office/spreadsheetml/2009/9/main" objectType="CheckBox" fmlaLink="$C$74" lockText="1" noThreeD="1"/>
</file>

<file path=xl/ctrlProps/ctrlProp133.xml><?xml version="1.0" encoding="utf-8"?>
<formControlPr xmlns="http://schemas.microsoft.com/office/spreadsheetml/2009/9/main" objectType="CheckBox" fmlaLink="$C$75" lockText="1" noThreeD="1"/>
</file>

<file path=xl/ctrlProps/ctrlProp134.xml><?xml version="1.0" encoding="utf-8"?>
<formControlPr xmlns="http://schemas.microsoft.com/office/spreadsheetml/2009/9/main" objectType="CheckBox" fmlaLink="$C$76" lockText="1" noThreeD="1"/>
</file>

<file path=xl/ctrlProps/ctrlProp135.xml><?xml version="1.0" encoding="utf-8"?>
<formControlPr xmlns="http://schemas.microsoft.com/office/spreadsheetml/2009/9/main" objectType="CheckBox" fmlaLink="$C$73" lockText="1" noThreeD="1"/>
</file>

<file path=xl/ctrlProps/ctrlProp136.xml><?xml version="1.0" encoding="utf-8"?>
<formControlPr xmlns="http://schemas.microsoft.com/office/spreadsheetml/2009/9/main" objectType="CheckBox" fmlaLink="$E$74" lockText="1" noThreeD="1"/>
</file>

<file path=xl/ctrlProps/ctrlProp137.xml><?xml version="1.0" encoding="utf-8"?>
<formControlPr xmlns="http://schemas.microsoft.com/office/spreadsheetml/2009/9/main" objectType="CheckBox" fmlaLink="$E$75" lockText="1" noThreeD="1"/>
</file>

<file path=xl/ctrlProps/ctrlProp138.xml><?xml version="1.0" encoding="utf-8"?>
<formControlPr xmlns="http://schemas.microsoft.com/office/spreadsheetml/2009/9/main" objectType="CheckBox" fmlaLink="$E$76" lockText="1" noThreeD="1"/>
</file>

<file path=xl/ctrlProps/ctrlProp139.xml><?xml version="1.0" encoding="utf-8"?>
<formControlPr xmlns="http://schemas.microsoft.com/office/spreadsheetml/2009/9/main" objectType="CheckBox" fmlaLink="$E$73" lockText="1" noThreeD="1"/>
</file>

<file path=xl/ctrlProps/ctrlProp140.xml><?xml version="1.0" encoding="utf-8"?>
<formControlPr xmlns="http://schemas.microsoft.com/office/spreadsheetml/2009/9/main" objectType="CheckBox" fmlaLink="$G$74" lockText="1" noThreeD="1"/>
</file>

<file path=xl/ctrlProps/ctrlProp141.xml><?xml version="1.0" encoding="utf-8"?>
<formControlPr xmlns="http://schemas.microsoft.com/office/spreadsheetml/2009/9/main" objectType="CheckBox" fmlaLink="$G$75" lockText="1" noThreeD="1"/>
</file>

<file path=xl/ctrlProps/ctrlProp142.xml><?xml version="1.0" encoding="utf-8"?>
<formControlPr xmlns="http://schemas.microsoft.com/office/spreadsheetml/2009/9/main" objectType="CheckBox" fmlaLink="$G$76" lockText="1" noThreeD="1"/>
</file>

<file path=xl/ctrlProps/ctrlProp143.xml><?xml version="1.0" encoding="utf-8"?>
<formControlPr xmlns="http://schemas.microsoft.com/office/spreadsheetml/2009/9/main" objectType="CheckBox" fmlaLink="$G$73" lockText="1" noThreeD="1"/>
</file>

<file path=xl/ctrlProps/ctrlProp144.xml><?xml version="1.0" encoding="utf-8"?>
<formControlPr xmlns="http://schemas.microsoft.com/office/spreadsheetml/2009/9/main" objectType="CheckBox" fmlaLink="$I$74" lockText="1" noThreeD="1"/>
</file>

<file path=xl/ctrlProps/ctrlProp145.xml><?xml version="1.0" encoding="utf-8"?>
<formControlPr xmlns="http://schemas.microsoft.com/office/spreadsheetml/2009/9/main" objectType="CheckBox" fmlaLink="$I$75" lockText="1" noThreeD="1"/>
</file>

<file path=xl/ctrlProps/ctrlProp146.xml><?xml version="1.0" encoding="utf-8"?>
<formControlPr xmlns="http://schemas.microsoft.com/office/spreadsheetml/2009/9/main" objectType="CheckBox" fmlaLink="$I$76" lockText="1" noThreeD="1"/>
</file>

<file path=xl/ctrlProps/ctrlProp147.xml><?xml version="1.0" encoding="utf-8"?>
<formControlPr xmlns="http://schemas.microsoft.com/office/spreadsheetml/2009/9/main" objectType="CheckBox" fmlaLink="$I$73" lockText="1" noThreeD="1"/>
</file>

<file path=xl/ctrlProps/ctrlProp148.xml><?xml version="1.0" encoding="utf-8"?>
<formControlPr xmlns="http://schemas.microsoft.com/office/spreadsheetml/2009/9/main" objectType="CheckBox" fmlaLink="$K$74" lockText="1" noThreeD="1"/>
</file>

<file path=xl/ctrlProps/ctrlProp149.xml><?xml version="1.0" encoding="utf-8"?>
<formControlPr xmlns="http://schemas.microsoft.com/office/spreadsheetml/2009/9/main" objectType="CheckBox" fmlaLink="$K$75" lockText="1" noThreeD="1"/>
</file>

<file path=xl/ctrlProps/ctrlProp150.xml><?xml version="1.0" encoding="utf-8"?>
<formControlPr xmlns="http://schemas.microsoft.com/office/spreadsheetml/2009/9/main" objectType="CheckBox" fmlaLink="$K$76" lockText="1" noThreeD="1"/>
</file>

<file path=xl/ctrlProps/ctrlProp151.xml><?xml version="1.0" encoding="utf-8"?>
<formControlPr xmlns="http://schemas.microsoft.com/office/spreadsheetml/2009/9/main" objectType="CheckBox" fmlaLink="$K$73" lockText="1" noThreeD="1"/>
</file>

<file path=xl/ctrlProps/ctrlProp152.xml><?xml version="1.0" encoding="utf-8"?>
<formControlPr xmlns="http://schemas.microsoft.com/office/spreadsheetml/2009/9/main" objectType="CheckBox" fmlaLink="$M$74" lockText="1" noThreeD="1"/>
</file>

<file path=xl/ctrlProps/ctrlProp153.xml><?xml version="1.0" encoding="utf-8"?>
<formControlPr xmlns="http://schemas.microsoft.com/office/spreadsheetml/2009/9/main" objectType="CheckBox" fmlaLink="$M$75" lockText="1" noThreeD="1"/>
</file>

<file path=xl/ctrlProps/ctrlProp154.xml><?xml version="1.0" encoding="utf-8"?>
<formControlPr xmlns="http://schemas.microsoft.com/office/spreadsheetml/2009/9/main" objectType="CheckBox" fmlaLink="$M$76" lockText="1" noThreeD="1"/>
</file>

<file path=xl/ctrlProps/ctrlProp155.xml><?xml version="1.0" encoding="utf-8"?>
<formControlPr xmlns="http://schemas.microsoft.com/office/spreadsheetml/2009/9/main" objectType="CheckBox" fmlaLink="$M$73" lockText="1" noThreeD="1"/>
</file>

<file path=xl/ctrlProps/ctrlProp156.xml><?xml version="1.0" encoding="utf-8"?>
<formControlPr xmlns="http://schemas.microsoft.com/office/spreadsheetml/2009/9/main" objectType="CheckBox" fmlaLink="$O$74" lockText="1" noThreeD="1"/>
</file>

<file path=xl/ctrlProps/ctrlProp157.xml><?xml version="1.0" encoding="utf-8"?>
<formControlPr xmlns="http://schemas.microsoft.com/office/spreadsheetml/2009/9/main" objectType="CheckBox" fmlaLink="$O$75" lockText="1" noThreeD="1"/>
</file>

<file path=xl/ctrlProps/ctrlProp158.xml><?xml version="1.0" encoding="utf-8"?>
<formControlPr xmlns="http://schemas.microsoft.com/office/spreadsheetml/2009/9/main" objectType="CheckBox" fmlaLink="$O$76" lockText="1" noThreeD="1"/>
</file>

<file path=xl/ctrlProps/ctrlProp159.xml><?xml version="1.0" encoding="utf-8"?>
<formControlPr xmlns="http://schemas.microsoft.com/office/spreadsheetml/2009/9/main" objectType="CheckBox" fmlaLink="$O$73" lockText="1" noThreeD="1"/>
</file>

<file path=xl/ctrlProps/ctrlProp160.xml><?xml version="1.0" encoding="utf-8"?>
<formControlPr xmlns="http://schemas.microsoft.com/office/spreadsheetml/2009/9/main" objectType="CheckBox" fmlaLink="$Q$74" lockText="1" noThreeD="1"/>
</file>

<file path=xl/ctrlProps/ctrlProp161.xml><?xml version="1.0" encoding="utf-8"?>
<formControlPr xmlns="http://schemas.microsoft.com/office/spreadsheetml/2009/9/main" objectType="CheckBox" fmlaLink="$Q$75" lockText="1" noThreeD="1"/>
</file>

<file path=xl/ctrlProps/ctrlProp162.xml><?xml version="1.0" encoding="utf-8"?>
<formControlPr xmlns="http://schemas.microsoft.com/office/spreadsheetml/2009/9/main" objectType="CheckBox" fmlaLink="$Q$76" lockText="1" noThreeD="1"/>
</file>

<file path=xl/ctrlProps/ctrlProp163.xml><?xml version="1.0" encoding="utf-8"?>
<formControlPr xmlns="http://schemas.microsoft.com/office/spreadsheetml/2009/9/main" objectType="CheckBox" fmlaLink="$Q$73" lockText="1" noThreeD="1"/>
</file>

<file path=xl/ctrlProps/ctrlProp164.xml><?xml version="1.0" encoding="utf-8"?>
<formControlPr xmlns="http://schemas.microsoft.com/office/spreadsheetml/2009/9/main" objectType="CheckBox" fmlaLink="$S$74" lockText="1" noThreeD="1"/>
</file>

<file path=xl/ctrlProps/ctrlProp165.xml><?xml version="1.0" encoding="utf-8"?>
<formControlPr xmlns="http://schemas.microsoft.com/office/spreadsheetml/2009/9/main" objectType="CheckBox" fmlaLink="$S$75" lockText="1" noThreeD="1"/>
</file>

<file path=xl/ctrlProps/ctrlProp166.xml><?xml version="1.0" encoding="utf-8"?>
<formControlPr xmlns="http://schemas.microsoft.com/office/spreadsheetml/2009/9/main" objectType="CheckBox" fmlaLink="$S$76" lockText="1" noThreeD="1"/>
</file>

<file path=xl/ctrlProps/ctrlProp167.xml><?xml version="1.0" encoding="utf-8"?>
<formControlPr xmlns="http://schemas.microsoft.com/office/spreadsheetml/2009/9/main" objectType="CheckBox" fmlaLink="$S$73" lockText="1" noThreeD="1"/>
</file>

<file path=xl/ctrlProps/ctrlProp168.xml><?xml version="1.0" encoding="utf-8"?>
<formControlPr xmlns="http://schemas.microsoft.com/office/spreadsheetml/2009/9/main" objectType="CheckBox" fmlaLink="$U$74" lockText="1" noThreeD="1"/>
</file>

<file path=xl/ctrlProps/ctrlProp169.xml><?xml version="1.0" encoding="utf-8"?>
<formControlPr xmlns="http://schemas.microsoft.com/office/spreadsheetml/2009/9/main" objectType="CheckBox" fmlaLink="$U$75" lockText="1" noThreeD="1"/>
</file>

<file path=xl/ctrlProps/ctrlProp170.xml><?xml version="1.0" encoding="utf-8"?>
<formControlPr xmlns="http://schemas.microsoft.com/office/spreadsheetml/2009/9/main" objectType="CheckBox" fmlaLink="$U$76" lockText="1" noThreeD="1"/>
</file>

<file path=xl/ctrlProps/ctrlProp171.xml><?xml version="1.0" encoding="utf-8"?>
<formControlPr xmlns="http://schemas.microsoft.com/office/spreadsheetml/2009/9/main" objectType="CheckBox" fmlaLink="$U$73" lockText="1" noThreeD="1"/>
</file>

<file path=xl/ctrlProps/ctrlProp172.xml><?xml version="1.0" encoding="utf-8"?>
<formControlPr xmlns="http://schemas.microsoft.com/office/spreadsheetml/2009/9/main" objectType="CheckBox" fmlaLink="$W$74" lockText="1" noThreeD="1"/>
</file>

<file path=xl/ctrlProps/ctrlProp173.xml><?xml version="1.0" encoding="utf-8"?>
<formControlPr xmlns="http://schemas.microsoft.com/office/spreadsheetml/2009/9/main" objectType="CheckBox" fmlaLink="$W$75" lockText="1" noThreeD="1"/>
</file>

<file path=xl/ctrlProps/ctrlProp174.xml><?xml version="1.0" encoding="utf-8"?>
<formControlPr xmlns="http://schemas.microsoft.com/office/spreadsheetml/2009/9/main" objectType="CheckBox" fmlaLink="$W$76" lockText="1" noThreeD="1"/>
</file>

<file path=xl/ctrlProps/ctrlProp175.xml><?xml version="1.0" encoding="utf-8"?>
<formControlPr xmlns="http://schemas.microsoft.com/office/spreadsheetml/2009/9/main" objectType="CheckBox" fmlaLink="$W$73" lockText="1" noThreeD="1"/>
</file>

<file path=xl/ctrlProps/ctrlProp176.xml><?xml version="1.0" encoding="utf-8"?>
<formControlPr xmlns="http://schemas.microsoft.com/office/spreadsheetml/2009/9/main" objectType="CheckBox" fmlaLink="$Q$73" lockText="1" noThreeD="1"/>
</file>

<file path=xl/ctrlProps/ctrlProp177.xml><?xml version="1.0" encoding="utf-8"?>
<formControlPr xmlns="http://schemas.microsoft.com/office/spreadsheetml/2009/9/main" objectType="CheckBox" fmlaLink="$C$77" lockText="1" noThreeD="1"/>
</file>

<file path=xl/ctrlProps/ctrlProp178.xml><?xml version="1.0" encoding="utf-8"?>
<formControlPr xmlns="http://schemas.microsoft.com/office/spreadsheetml/2009/9/main" objectType="CheckBox" fmlaLink="$C$78" lockText="1" noThreeD="1"/>
</file>

<file path=xl/ctrlProps/ctrlProp179.xml><?xml version="1.0" encoding="utf-8"?>
<formControlPr xmlns="http://schemas.microsoft.com/office/spreadsheetml/2009/9/main" objectType="CheckBox" fmlaLink="$C$79" lockText="1" noThreeD="1"/>
</file>

<file path=xl/ctrlProps/ctrlProp180.xml><?xml version="1.0" encoding="utf-8"?>
<formControlPr xmlns="http://schemas.microsoft.com/office/spreadsheetml/2009/9/main" objectType="CheckBox" fmlaLink="$E$77" lockText="1" noThreeD="1"/>
</file>

<file path=xl/ctrlProps/ctrlProp181.xml><?xml version="1.0" encoding="utf-8"?>
<formControlPr xmlns="http://schemas.microsoft.com/office/spreadsheetml/2009/9/main" objectType="CheckBox" fmlaLink="$E$78" lockText="1" noThreeD="1"/>
</file>

<file path=xl/ctrlProps/ctrlProp182.xml><?xml version="1.0" encoding="utf-8"?>
<formControlPr xmlns="http://schemas.microsoft.com/office/spreadsheetml/2009/9/main" objectType="CheckBox" fmlaLink="$E$79" lockText="1" noThreeD="1"/>
</file>

<file path=xl/ctrlProps/ctrlProp183.xml><?xml version="1.0" encoding="utf-8"?>
<formControlPr xmlns="http://schemas.microsoft.com/office/spreadsheetml/2009/9/main" objectType="CheckBox" fmlaLink="$G$77" lockText="1" noThreeD="1"/>
</file>

<file path=xl/ctrlProps/ctrlProp184.xml><?xml version="1.0" encoding="utf-8"?>
<formControlPr xmlns="http://schemas.microsoft.com/office/spreadsheetml/2009/9/main" objectType="CheckBox" fmlaLink="$G$78" lockText="1" noThreeD="1"/>
</file>

<file path=xl/ctrlProps/ctrlProp185.xml><?xml version="1.0" encoding="utf-8"?>
<formControlPr xmlns="http://schemas.microsoft.com/office/spreadsheetml/2009/9/main" objectType="CheckBox" fmlaLink="$G$79" lockText="1" noThreeD="1"/>
</file>

<file path=xl/ctrlProps/ctrlProp186.xml><?xml version="1.0" encoding="utf-8"?>
<formControlPr xmlns="http://schemas.microsoft.com/office/spreadsheetml/2009/9/main" objectType="CheckBox" fmlaLink="$I$77" lockText="1" noThreeD="1"/>
</file>

<file path=xl/ctrlProps/ctrlProp187.xml><?xml version="1.0" encoding="utf-8"?>
<formControlPr xmlns="http://schemas.microsoft.com/office/spreadsheetml/2009/9/main" objectType="CheckBox" fmlaLink="$I$78" lockText="1" noThreeD="1"/>
</file>

<file path=xl/ctrlProps/ctrlProp188.xml><?xml version="1.0" encoding="utf-8"?>
<formControlPr xmlns="http://schemas.microsoft.com/office/spreadsheetml/2009/9/main" objectType="CheckBox" fmlaLink="$I$79" lockText="1" noThreeD="1"/>
</file>

<file path=xl/ctrlProps/ctrlProp189.xml><?xml version="1.0" encoding="utf-8"?>
<formControlPr xmlns="http://schemas.microsoft.com/office/spreadsheetml/2009/9/main" objectType="CheckBox" fmlaLink="$K$77" lockText="1" noThreeD="1"/>
</file>

<file path=xl/ctrlProps/ctrlProp190.xml><?xml version="1.0" encoding="utf-8"?>
<formControlPr xmlns="http://schemas.microsoft.com/office/spreadsheetml/2009/9/main" objectType="CheckBox" fmlaLink="$K$78" lockText="1" noThreeD="1"/>
</file>

<file path=xl/ctrlProps/ctrlProp191.xml><?xml version="1.0" encoding="utf-8"?>
<formControlPr xmlns="http://schemas.microsoft.com/office/spreadsheetml/2009/9/main" objectType="CheckBox" fmlaLink="$K$79" lockText="1" noThreeD="1"/>
</file>

<file path=xl/ctrlProps/ctrlProp192.xml><?xml version="1.0" encoding="utf-8"?>
<formControlPr xmlns="http://schemas.microsoft.com/office/spreadsheetml/2009/9/main" objectType="CheckBox" fmlaLink="$M$77" lockText="1" noThreeD="1"/>
</file>

<file path=xl/ctrlProps/ctrlProp193.xml><?xml version="1.0" encoding="utf-8"?>
<formControlPr xmlns="http://schemas.microsoft.com/office/spreadsheetml/2009/9/main" objectType="CheckBox" fmlaLink="$M$78" lockText="1" noThreeD="1"/>
</file>

<file path=xl/ctrlProps/ctrlProp194.xml><?xml version="1.0" encoding="utf-8"?>
<formControlPr xmlns="http://schemas.microsoft.com/office/spreadsheetml/2009/9/main" objectType="CheckBox" fmlaLink="$M$79" lockText="1" noThreeD="1"/>
</file>

<file path=xl/ctrlProps/ctrlProp195.xml><?xml version="1.0" encoding="utf-8"?>
<formControlPr xmlns="http://schemas.microsoft.com/office/spreadsheetml/2009/9/main" objectType="CheckBox" fmlaLink="$O$77" lockText="1" noThreeD="1"/>
</file>

<file path=xl/ctrlProps/ctrlProp196.xml><?xml version="1.0" encoding="utf-8"?>
<formControlPr xmlns="http://schemas.microsoft.com/office/spreadsheetml/2009/9/main" objectType="CheckBox" fmlaLink="$O$78" lockText="1" noThreeD="1"/>
</file>

<file path=xl/ctrlProps/ctrlProp197.xml><?xml version="1.0" encoding="utf-8"?>
<formControlPr xmlns="http://schemas.microsoft.com/office/spreadsheetml/2009/9/main" objectType="CheckBox" fmlaLink="$O$79" lockText="1" noThreeD="1"/>
</file>

<file path=xl/ctrlProps/ctrlProp198.xml><?xml version="1.0" encoding="utf-8"?>
<formControlPr xmlns="http://schemas.microsoft.com/office/spreadsheetml/2009/9/main" objectType="CheckBox" fmlaLink="$Q$77" lockText="1" noThreeD="1"/>
</file>

<file path=xl/ctrlProps/ctrlProp199.xml><?xml version="1.0" encoding="utf-8"?>
<formControlPr xmlns="http://schemas.microsoft.com/office/spreadsheetml/2009/9/main" objectType="CheckBox" fmlaLink="$Q$78" lockText="1" noThreeD="1"/>
</file>

<file path=xl/ctrlProps/ctrlProp200.xml><?xml version="1.0" encoding="utf-8"?>
<formControlPr xmlns="http://schemas.microsoft.com/office/spreadsheetml/2009/9/main" objectType="CheckBox" fmlaLink="$Q$73" lockText="1" noThreeD="1"/>
</file>

<file path=xl/ctrlProps/ctrlProp201.xml><?xml version="1.0" encoding="utf-8"?>
<formControlPr xmlns="http://schemas.microsoft.com/office/spreadsheetml/2009/9/main" objectType="CheckBox" fmlaLink="$S$77" lockText="1" noThreeD="1"/>
</file>

<file path=xl/ctrlProps/ctrlProp202.xml><?xml version="1.0" encoding="utf-8"?>
<formControlPr xmlns="http://schemas.microsoft.com/office/spreadsheetml/2009/9/main" objectType="CheckBox" fmlaLink="$S$78" lockText="1" noThreeD="1"/>
</file>

<file path=xl/ctrlProps/ctrlProp203.xml><?xml version="1.0" encoding="utf-8"?>
<formControlPr xmlns="http://schemas.microsoft.com/office/spreadsheetml/2009/9/main" objectType="CheckBox" fmlaLink="$S$79" lockText="1" noThreeD="1"/>
</file>

<file path=xl/ctrlProps/ctrlProp204.xml><?xml version="1.0" encoding="utf-8"?>
<formControlPr xmlns="http://schemas.microsoft.com/office/spreadsheetml/2009/9/main" objectType="CheckBox" fmlaLink="$U$77" lockText="1" noThreeD="1"/>
</file>

<file path=xl/ctrlProps/ctrlProp205.xml><?xml version="1.0" encoding="utf-8"?>
<formControlPr xmlns="http://schemas.microsoft.com/office/spreadsheetml/2009/9/main" objectType="CheckBox" fmlaLink="$U$78" lockText="1" noThreeD="1"/>
</file>

<file path=xl/ctrlProps/ctrlProp206.xml><?xml version="1.0" encoding="utf-8"?>
<formControlPr xmlns="http://schemas.microsoft.com/office/spreadsheetml/2009/9/main" objectType="CheckBox" fmlaLink="$U$79" lockText="1" noThreeD="1"/>
</file>

<file path=xl/ctrlProps/ctrlProp207.xml><?xml version="1.0" encoding="utf-8"?>
<formControlPr xmlns="http://schemas.microsoft.com/office/spreadsheetml/2009/9/main" objectType="CheckBox" fmlaLink="$W$77" lockText="1" noThreeD="1"/>
</file>

<file path=xl/ctrlProps/ctrlProp208.xml><?xml version="1.0" encoding="utf-8"?>
<formControlPr xmlns="http://schemas.microsoft.com/office/spreadsheetml/2009/9/main" objectType="CheckBox" fmlaLink="$W$78" lockText="1" noThreeD="1"/>
</file>

<file path=xl/ctrlProps/ctrlProp209.xml><?xml version="1.0" encoding="utf-8"?>
<formControlPr xmlns="http://schemas.microsoft.com/office/spreadsheetml/2009/9/main" objectType="CheckBox" fmlaLink="$W$79" lockText="1" noThreeD="1"/>
</file>

<file path=xl/ctrlProps/ctrlProp210.xml><?xml version="1.0" encoding="utf-8"?>
<formControlPr xmlns="http://schemas.microsoft.com/office/spreadsheetml/2009/9/main" objectType="CheckBox" fmlaLink="$Q$79" lockText="1" noThreeD="1"/>
</file>

<file path=xl/ctrlProps/ctrlProp211.xml><?xml version="1.0" encoding="utf-8"?>
<formControlPr xmlns="http://schemas.microsoft.com/office/spreadsheetml/2009/9/main" objectType="CheckBox" fmlaLink="$C$71" lockText="1" noThreeD="1"/>
</file>

<file path=xl/ctrlProps/ctrlProp212.xml><?xml version="1.0" encoding="utf-8"?>
<formControlPr xmlns="http://schemas.microsoft.com/office/spreadsheetml/2009/9/main" objectType="CheckBox" fmlaLink="$C$72" lockText="1" noThreeD="1"/>
</file>

<file path=xl/ctrlProps/ctrlProp213.xml><?xml version="1.0" encoding="utf-8"?>
<formControlPr xmlns="http://schemas.microsoft.com/office/spreadsheetml/2009/9/main" objectType="CheckBox" fmlaLink="$C$73" lockText="1" noThreeD="1"/>
</file>

<file path=xl/ctrlProps/ctrlProp214.xml><?xml version="1.0" encoding="utf-8"?>
<formControlPr xmlns="http://schemas.microsoft.com/office/spreadsheetml/2009/9/main" objectType="CheckBox" fmlaLink="$C$74" lockText="1" noThreeD="1"/>
</file>

<file path=xl/ctrlProps/ctrlProp215.xml><?xml version="1.0" encoding="utf-8"?>
<formControlPr xmlns="http://schemas.microsoft.com/office/spreadsheetml/2009/9/main" objectType="CheckBox" fmlaLink="$C$75" lockText="1" noThreeD="1"/>
</file>

<file path=xl/ctrlProps/ctrlProp216.xml><?xml version="1.0" encoding="utf-8"?>
<formControlPr xmlns="http://schemas.microsoft.com/office/spreadsheetml/2009/9/main" objectType="CheckBox" fmlaLink="$C$76" lockText="1" noThreeD="1"/>
</file>

<file path=xl/ctrlProps/ctrlProp217.xml><?xml version="1.0" encoding="utf-8"?>
<formControlPr xmlns="http://schemas.microsoft.com/office/spreadsheetml/2009/9/main" objectType="CheckBox" fmlaLink="$C$77" lockText="1" noThreeD="1"/>
</file>

<file path=xl/ctrlProps/ctrlProp218.xml><?xml version="1.0" encoding="utf-8"?>
<formControlPr xmlns="http://schemas.microsoft.com/office/spreadsheetml/2009/9/main" objectType="CheckBox" fmlaLink="$C$78" lockText="1" noThreeD="1"/>
</file>

<file path=xl/ctrlProps/ctrlProp219.xml><?xml version="1.0" encoding="utf-8"?>
<formControlPr xmlns="http://schemas.microsoft.com/office/spreadsheetml/2009/9/main" objectType="CheckBox" fmlaLink="$C$79" lockText="1" noThreeD="1"/>
</file>

<file path=xl/ctrlProps/ctrlProp220.xml><?xml version="1.0" encoding="utf-8"?>
<formControlPr xmlns="http://schemas.microsoft.com/office/spreadsheetml/2009/9/main" objectType="CheckBox" fmlaLink="$M$71" lockText="1" noThreeD="1"/>
</file>

<file path=xl/ctrlProps/ctrlProp221.xml><?xml version="1.0" encoding="utf-8"?>
<formControlPr xmlns="http://schemas.microsoft.com/office/spreadsheetml/2009/9/main" objectType="CheckBox" fmlaLink="$M$72" lockText="1" noThreeD="1"/>
</file>

<file path=xl/ctrlProps/ctrlProp222.xml><?xml version="1.0" encoding="utf-8"?>
<formControlPr xmlns="http://schemas.microsoft.com/office/spreadsheetml/2009/9/main" objectType="CheckBox" fmlaLink="$M$73" lockText="1" noThreeD="1"/>
</file>

<file path=xl/ctrlProps/ctrlProp223.xml><?xml version="1.0" encoding="utf-8"?>
<formControlPr xmlns="http://schemas.microsoft.com/office/spreadsheetml/2009/9/main" objectType="CheckBox" fmlaLink="$M$74" lockText="1" noThreeD="1"/>
</file>

<file path=xl/ctrlProps/ctrlProp224.xml><?xml version="1.0" encoding="utf-8"?>
<formControlPr xmlns="http://schemas.microsoft.com/office/spreadsheetml/2009/9/main" objectType="CheckBox" fmlaLink="$M$75" lockText="1" noThreeD="1"/>
</file>

<file path=xl/ctrlProps/ctrlProp225.xml><?xml version="1.0" encoding="utf-8"?>
<formControlPr xmlns="http://schemas.microsoft.com/office/spreadsheetml/2009/9/main" objectType="CheckBox" fmlaLink="$M$76" lockText="1" noThreeD="1"/>
</file>

<file path=xl/ctrlProps/ctrlProp226.xml><?xml version="1.0" encoding="utf-8"?>
<formControlPr xmlns="http://schemas.microsoft.com/office/spreadsheetml/2009/9/main" objectType="CheckBox" fmlaLink="$M$77" lockText="1" noThreeD="1"/>
</file>

<file path=xl/ctrlProps/ctrlProp227.xml><?xml version="1.0" encoding="utf-8"?>
<formControlPr xmlns="http://schemas.microsoft.com/office/spreadsheetml/2009/9/main" objectType="CheckBox" fmlaLink="$M$78" lockText="1" noThreeD="1"/>
</file>

<file path=xl/ctrlProps/ctrlProp228.xml><?xml version="1.0" encoding="utf-8"?>
<formControlPr xmlns="http://schemas.microsoft.com/office/spreadsheetml/2009/9/main" objectType="CheckBox" fmlaLink="$M$79" lockText="1" noThreeD="1"/>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chart" Target="../charts/chart1.xml"/><Relationship Id="rId2" Type="http://schemas.openxmlformats.org/officeDocument/2006/relationships/image" Target="../media/image3.png"/><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2.png"/><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image" Target="../media/image2.png"/><Relationship Id="rId1" Type="http://schemas.openxmlformats.org/officeDocument/2006/relationships/image" Target="../media/image4.png"/></Relationships>
</file>

<file path=xl/drawings/_rels/drawing5.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image" Target="../media/image4.png"/><Relationship Id="rId1" Type="http://schemas.openxmlformats.org/officeDocument/2006/relationships/image" Target="../media/image2.png"/></Relationships>
</file>

<file path=xl/drawings/_rels/drawing6.xml.rels><?xml version="1.0" encoding="UTF-8" standalone="yes"?>
<Relationships xmlns="http://schemas.openxmlformats.org/package/2006/relationships"><Relationship Id="rId3" Type="http://schemas.openxmlformats.org/officeDocument/2006/relationships/chart" Target="../charts/chart5.xml"/><Relationship Id="rId2" Type="http://schemas.openxmlformats.org/officeDocument/2006/relationships/image" Target="../media/image4.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4</xdr:col>
      <xdr:colOff>251460</xdr:colOff>
      <xdr:row>31</xdr:row>
      <xdr:rowOff>91440</xdr:rowOff>
    </xdr:from>
    <xdr:to>
      <xdr:col>7</xdr:col>
      <xdr:colOff>708660</xdr:colOff>
      <xdr:row>33</xdr:row>
      <xdr:rowOff>106680</xdr:rowOff>
    </xdr:to>
    <xdr:cxnSp macro="">
      <xdr:nvCxnSpPr>
        <xdr:cNvPr id="2" name="Düz Ok Bağlayıcısı 1">
          <a:extLst>
            <a:ext uri="{FF2B5EF4-FFF2-40B4-BE49-F238E27FC236}">
              <a16:creationId xmlns:a16="http://schemas.microsoft.com/office/drawing/2014/main" id="{00000000-0008-0000-0000-000002000000}"/>
            </a:ext>
          </a:extLst>
        </xdr:cNvPr>
        <xdr:cNvCxnSpPr/>
      </xdr:nvCxnSpPr>
      <xdr:spPr>
        <a:xfrm>
          <a:off x="5204460" y="5913120"/>
          <a:ext cx="3528060" cy="381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114300</xdr:colOff>
      <xdr:row>33</xdr:row>
      <xdr:rowOff>152400</xdr:rowOff>
    </xdr:from>
    <xdr:to>
      <xdr:col>7</xdr:col>
      <xdr:colOff>716280</xdr:colOff>
      <xdr:row>41</xdr:row>
      <xdr:rowOff>160020</xdr:rowOff>
    </xdr:to>
    <xdr:cxnSp macro="">
      <xdr:nvCxnSpPr>
        <xdr:cNvPr id="3" name="Düz Ok Bağlayıcısı 2">
          <a:extLst>
            <a:ext uri="{FF2B5EF4-FFF2-40B4-BE49-F238E27FC236}">
              <a16:creationId xmlns:a16="http://schemas.microsoft.com/office/drawing/2014/main" id="{00000000-0008-0000-0000-000003000000}"/>
            </a:ext>
          </a:extLst>
        </xdr:cNvPr>
        <xdr:cNvCxnSpPr/>
      </xdr:nvCxnSpPr>
      <xdr:spPr>
        <a:xfrm flipV="1">
          <a:off x="5067300" y="6339840"/>
          <a:ext cx="3672840" cy="149352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15240</xdr:colOff>
      <xdr:row>25</xdr:row>
      <xdr:rowOff>22860</xdr:rowOff>
    </xdr:from>
    <xdr:to>
      <xdr:col>4</xdr:col>
      <xdr:colOff>284415</xdr:colOff>
      <xdr:row>37</xdr:row>
      <xdr:rowOff>2380</xdr:rowOff>
    </xdr:to>
    <xdr:sp macro="" textlink="">
      <xdr:nvSpPr>
        <xdr:cNvPr id="4" name="Serbest Form: Şekil 3">
          <a:extLst>
            <a:ext uri="{FF2B5EF4-FFF2-40B4-BE49-F238E27FC236}">
              <a16:creationId xmlns:a16="http://schemas.microsoft.com/office/drawing/2014/main" id="{00000000-0008-0000-0000-000004000000}"/>
            </a:ext>
          </a:extLst>
        </xdr:cNvPr>
        <xdr:cNvSpPr/>
      </xdr:nvSpPr>
      <xdr:spPr>
        <a:xfrm>
          <a:off x="4968240" y="4747260"/>
          <a:ext cx="269175" cy="2174080"/>
        </a:xfrm>
        <a:custGeom>
          <a:avLst/>
          <a:gdLst>
            <a:gd name="connsiteX0" fmla="*/ 0 w 269175"/>
            <a:gd name="connsiteY0" fmla="*/ 0 h 2174080"/>
            <a:gd name="connsiteX1" fmla="*/ 106680 w 269175"/>
            <a:gd name="connsiteY1" fmla="*/ 7620 h 2174080"/>
            <a:gd name="connsiteX2" fmla="*/ 236220 w 269175"/>
            <a:gd name="connsiteY2" fmla="*/ 137160 h 2174080"/>
            <a:gd name="connsiteX3" fmla="*/ 236220 w 269175"/>
            <a:gd name="connsiteY3" fmla="*/ 556260 h 2174080"/>
            <a:gd name="connsiteX4" fmla="*/ 198120 w 269175"/>
            <a:gd name="connsiteY4" fmla="*/ 769620 h 2174080"/>
            <a:gd name="connsiteX5" fmla="*/ 190500 w 269175"/>
            <a:gd name="connsiteY5" fmla="*/ 822960 h 2174080"/>
            <a:gd name="connsiteX6" fmla="*/ 160020 w 269175"/>
            <a:gd name="connsiteY6" fmla="*/ 937260 h 2174080"/>
            <a:gd name="connsiteX7" fmla="*/ 198120 w 269175"/>
            <a:gd name="connsiteY7" fmla="*/ 1135380 h 2174080"/>
            <a:gd name="connsiteX8" fmla="*/ 243840 w 269175"/>
            <a:gd name="connsiteY8" fmla="*/ 1150620 h 2174080"/>
            <a:gd name="connsiteX9" fmla="*/ 213360 w 269175"/>
            <a:gd name="connsiteY9" fmla="*/ 1211580 h 2174080"/>
            <a:gd name="connsiteX10" fmla="*/ 198120 w 269175"/>
            <a:gd name="connsiteY10" fmla="*/ 1249680 h 2174080"/>
            <a:gd name="connsiteX11" fmla="*/ 175260 w 269175"/>
            <a:gd name="connsiteY11" fmla="*/ 1287780 h 2174080"/>
            <a:gd name="connsiteX12" fmla="*/ 167640 w 269175"/>
            <a:gd name="connsiteY12" fmla="*/ 1325880 h 2174080"/>
            <a:gd name="connsiteX13" fmla="*/ 160020 w 269175"/>
            <a:gd name="connsiteY13" fmla="*/ 1356360 h 2174080"/>
            <a:gd name="connsiteX14" fmla="*/ 182880 w 269175"/>
            <a:gd name="connsiteY14" fmla="*/ 1775460 h 2174080"/>
            <a:gd name="connsiteX15" fmla="*/ 198120 w 269175"/>
            <a:gd name="connsiteY15" fmla="*/ 1882140 h 2174080"/>
            <a:gd name="connsiteX16" fmla="*/ 190500 w 269175"/>
            <a:gd name="connsiteY16" fmla="*/ 2080260 h 2174080"/>
            <a:gd name="connsiteX17" fmla="*/ 160020 w 269175"/>
            <a:gd name="connsiteY17" fmla="*/ 2095500 h 2174080"/>
            <a:gd name="connsiteX18" fmla="*/ 99060 w 269175"/>
            <a:gd name="connsiteY18" fmla="*/ 2133600 h 2174080"/>
            <a:gd name="connsiteX19" fmla="*/ 83820 w 269175"/>
            <a:gd name="connsiteY19" fmla="*/ 2156460 h 2174080"/>
            <a:gd name="connsiteX20" fmla="*/ 0 w 269175"/>
            <a:gd name="connsiteY20" fmla="*/ 2171700 h 217408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Lst>
          <a:rect l="l" t="t" r="r" b="b"/>
          <a:pathLst>
            <a:path w="269175" h="2174080">
              <a:moveTo>
                <a:pt x="0" y="0"/>
              </a:moveTo>
              <a:cubicBezTo>
                <a:pt x="35560" y="2540"/>
                <a:pt x="72708" y="-3189"/>
                <a:pt x="106680" y="7620"/>
              </a:cubicBezTo>
              <a:cubicBezTo>
                <a:pt x="153608" y="22552"/>
                <a:pt x="212546" y="108225"/>
                <a:pt x="236220" y="137160"/>
              </a:cubicBezTo>
              <a:cubicBezTo>
                <a:pt x="298027" y="291678"/>
                <a:pt x="257927" y="176393"/>
                <a:pt x="236220" y="556260"/>
              </a:cubicBezTo>
              <a:cubicBezTo>
                <a:pt x="227618" y="706794"/>
                <a:pt x="235166" y="670830"/>
                <a:pt x="198120" y="769620"/>
              </a:cubicBezTo>
              <a:cubicBezTo>
                <a:pt x="195580" y="787400"/>
                <a:pt x="194856" y="805536"/>
                <a:pt x="190500" y="822960"/>
              </a:cubicBezTo>
              <a:cubicBezTo>
                <a:pt x="148881" y="989435"/>
                <a:pt x="180496" y="814401"/>
                <a:pt x="160020" y="937260"/>
              </a:cubicBezTo>
              <a:cubicBezTo>
                <a:pt x="162735" y="994267"/>
                <a:pt x="136011" y="1091903"/>
                <a:pt x="198120" y="1135380"/>
              </a:cubicBezTo>
              <a:cubicBezTo>
                <a:pt x="211280" y="1144592"/>
                <a:pt x="228600" y="1145540"/>
                <a:pt x="243840" y="1150620"/>
              </a:cubicBezTo>
              <a:cubicBezTo>
                <a:pt x="233680" y="1170940"/>
                <a:pt x="221797" y="1190486"/>
                <a:pt x="213360" y="1211580"/>
              </a:cubicBezTo>
              <a:cubicBezTo>
                <a:pt x="208280" y="1224280"/>
                <a:pt x="204237" y="1237446"/>
                <a:pt x="198120" y="1249680"/>
              </a:cubicBezTo>
              <a:cubicBezTo>
                <a:pt x="191496" y="1262927"/>
                <a:pt x="182880" y="1275080"/>
                <a:pt x="175260" y="1287780"/>
              </a:cubicBezTo>
              <a:cubicBezTo>
                <a:pt x="172720" y="1300480"/>
                <a:pt x="170450" y="1313237"/>
                <a:pt x="167640" y="1325880"/>
              </a:cubicBezTo>
              <a:cubicBezTo>
                <a:pt x="165368" y="1336103"/>
                <a:pt x="159819" y="1345889"/>
                <a:pt x="160020" y="1356360"/>
              </a:cubicBezTo>
              <a:cubicBezTo>
                <a:pt x="169675" y="1858421"/>
                <a:pt x="158935" y="1583900"/>
                <a:pt x="182880" y="1775460"/>
              </a:cubicBezTo>
              <a:cubicBezTo>
                <a:pt x="194947" y="1871996"/>
                <a:pt x="184290" y="1812992"/>
                <a:pt x="198120" y="1882140"/>
              </a:cubicBezTo>
              <a:cubicBezTo>
                <a:pt x="202476" y="1943130"/>
                <a:pt x="216338" y="2019972"/>
                <a:pt x="190500" y="2080260"/>
              </a:cubicBezTo>
              <a:cubicBezTo>
                <a:pt x="186025" y="2090701"/>
                <a:pt x="169653" y="2089480"/>
                <a:pt x="160020" y="2095500"/>
              </a:cubicBezTo>
              <a:cubicBezTo>
                <a:pt x="80885" y="2144959"/>
                <a:pt x="176289" y="2094985"/>
                <a:pt x="99060" y="2133600"/>
              </a:cubicBezTo>
              <a:cubicBezTo>
                <a:pt x="93980" y="2141220"/>
                <a:pt x="90296" y="2149984"/>
                <a:pt x="83820" y="2156460"/>
              </a:cubicBezTo>
              <a:cubicBezTo>
                <a:pt x="57308" y="2182972"/>
                <a:pt x="40706" y="2171700"/>
                <a:pt x="0" y="2171700"/>
              </a:cubicBezTo>
            </a:path>
          </a:pathLst>
        </a:cu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US" sz="1100"/>
        </a:p>
      </xdr:txBody>
    </xdr:sp>
    <xdr:clientData/>
  </xdr:twoCellAnchor>
  <xdr:twoCellAnchor>
    <xdr:from>
      <xdr:col>3</xdr:col>
      <xdr:colOff>1604682</xdr:colOff>
      <xdr:row>38</xdr:row>
      <xdr:rowOff>30480</xdr:rowOff>
    </xdr:from>
    <xdr:to>
      <xdr:col>4</xdr:col>
      <xdr:colOff>188259</xdr:colOff>
      <xdr:row>44</xdr:row>
      <xdr:rowOff>137160</xdr:rowOff>
    </xdr:to>
    <xdr:sp macro="" textlink="">
      <xdr:nvSpPr>
        <xdr:cNvPr id="5" name="Serbest Form: Şekil 4">
          <a:extLst>
            <a:ext uri="{FF2B5EF4-FFF2-40B4-BE49-F238E27FC236}">
              <a16:creationId xmlns:a16="http://schemas.microsoft.com/office/drawing/2014/main" id="{00000000-0008-0000-0000-000005000000}"/>
            </a:ext>
          </a:extLst>
        </xdr:cNvPr>
        <xdr:cNvSpPr/>
      </xdr:nvSpPr>
      <xdr:spPr>
        <a:xfrm>
          <a:off x="4637442" y="7132320"/>
          <a:ext cx="503817" cy="1272540"/>
        </a:xfrm>
        <a:custGeom>
          <a:avLst/>
          <a:gdLst>
            <a:gd name="connsiteX0" fmla="*/ 0 w 220980"/>
            <a:gd name="connsiteY0" fmla="*/ 0 h 1203960"/>
            <a:gd name="connsiteX1" fmla="*/ 160020 w 220980"/>
            <a:gd name="connsiteY1" fmla="*/ 129540 h 1203960"/>
            <a:gd name="connsiteX2" fmla="*/ 198120 w 220980"/>
            <a:gd name="connsiteY2" fmla="*/ 281940 h 1203960"/>
            <a:gd name="connsiteX3" fmla="*/ 152400 w 220980"/>
            <a:gd name="connsiteY3" fmla="*/ 701040 h 1203960"/>
            <a:gd name="connsiteX4" fmla="*/ 175260 w 220980"/>
            <a:gd name="connsiteY4" fmla="*/ 762000 h 1203960"/>
            <a:gd name="connsiteX5" fmla="*/ 198120 w 220980"/>
            <a:gd name="connsiteY5" fmla="*/ 800100 h 1203960"/>
            <a:gd name="connsiteX6" fmla="*/ 220980 w 220980"/>
            <a:gd name="connsiteY6" fmla="*/ 861060 h 1203960"/>
            <a:gd name="connsiteX7" fmla="*/ 213360 w 220980"/>
            <a:gd name="connsiteY7" fmla="*/ 1021080 h 1203960"/>
            <a:gd name="connsiteX8" fmla="*/ 167640 w 220980"/>
            <a:gd name="connsiteY8" fmla="*/ 1104900 h 1203960"/>
            <a:gd name="connsiteX9" fmla="*/ 137160 w 220980"/>
            <a:gd name="connsiteY9" fmla="*/ 1127760 h 1203960"/>
            <a:gd name="connsiteX10" fmla="*/ 106680 w 220980"/>
            <a:gd name="connsiteY10" fmla="*/ 1158240 h 1203960"/>
            <a:gd name="connsiteX11" fmla="*/ 91440 w 220980"/>
            <a:gd name="connsiteY11" fmla="*/ 1181100 h 1203960"/>
            <a:gd name="connsiteX12" fmla="*/ 76200 w 220980"/>
            <a:gd name="connsiteY12" fmla="*/ 1203960 h 120396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Lst>
          <a:rect l="l" t="t" r="r" b="b"/>
          <a:pathLst>
            <a:path w="220980" h="1203960">
              <a:moveTo>
                <a:pt x="0" y="0"/>
              </a:moveTo>
              <a:cubicBezTo>
                <a:pt x="133251" y="51250"/>
                <a:pt x="79436" y="8664"/>
                <a:pt x="160020" y="129540"/>
              </a:cubicBezTo>
              <a:cubicBezTo>
                <a:pt x="172720" y="180340"/>
                <a:pt x="197315" y="229583"/>
                <a:pt x="198120" y="281940"/>
              </a:cubicBezTo>
              <a:cubicBezTo>
                <a:pt x="201046" y="472143"/>
                <a:pt x="182086" y="552611"/>
                <a:pt x="152400" y="701040"/>
              </a:cubicBezTo>
              <a:cubicBezTo>
                <a:pt x="160020" y="721360"/>
                <a:pt x="166166" y="742296"/>
                <a:pt x="175260" y="762000"/>
              </a:cubicBezTo>
              <a:cubicBezTo>
                <a:pt x="181467" y="775447"/>
                <a:pt x="191913" y="786653"/>
                <a:pt x="198120" y="800100"/>
              </a:cubicBezTo>
              <a:cubicBezTo>
                <a:pt x="207214" y="819804"/>
                <a:pt x="213360" y="840740"/>
                <a:pt x="220980" y="861060"/>
              </a:cubicBezTo>
              <a:cubicBezTo>
                <a:pt x="218440" y="914400"/>
                <a:pt x="221186" y="968256"/>
                <a:pt x="213360" y="1021080"/>
              </a:cubicBezTo>
              <a:cubicBezTo>
                <a:pt x="212252" y="1028559"/>
                <a:pt x="174602" y="1096944"/>
                <a:pt x="167640" y="1104900"/>
              </a:cubicBezTo>
              <a:cubicBezTo>
                <a:pt x="159277" y="1114458"/>
                <a:pt x="146718" y="1119397"/>
                <a:pt x="137160" y="1127760"/>
              </a:cubicBezTo>
              <a:cubicBezTo>
                <a:pt x="126347" y="1137222"/>
                <a:pt x="116031" y="1147331"/>
                <a:pt x="106680" y="1158240"/>
              </a:cubicBezTo>
              <a:cubicBezTo>
                <a:pt x="100720" y="1165193"/>
                <a:pt x="96520" y="1173480"/>
                <a:pt x="91440" y="1181100"/>
              </a:cubicBezTo>
              <a:lnTo>
                <a:pt x="76200" y="1203960"/>
              </a:lnTo>
            </a:path>
          </a:pathLst>
        </a:cu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US" sz="1100"/>
        </a:p>
      </xdr:txBody>
    </xdr:sp>
    <xdr:clientData/>
  </xdr:twoCellAnchor>
  <mc:AlternateContent xmlns:mc="http://schemas.openxmlformats.org/markup-compatibility/2006">
    <mc:Choice xmlns:a14="http://schemas.microsoft.com/office/drawing/2010/main" Requires="a14">
      <xdr:twoCellAnchor editAs="oneCell">
        <xdr:from>
          <xdr:col>2</xdr:col>
          <xdr:colOff>7620</xdr:colOff>
          <xdr:row>48</xdr:row>
          <xdr:rowOff>7620</xdr:rowOff>
        </xdr:from>
        <xdr:to>
          <xdr:col>2</xdr:col>
          <xdr:colOff>1135380</xdr:colOff>
          <xdr:row>49</xdr:row>
          <xdr:rowOff>30480</xdr:rowOff>
        </xdr:to>
        <xdr:sp macro="" textlink="">
          <xdr:nvSpPr>
            <xdr:cNvPr id="1025" name="Check Box 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7620</xdr:colOff>
          <xdr:row>49</xdr:row>
          <xdr:rowOff>7620</xdr:rowOff>
        </xdr:from>
        <xdr:to>
          <xdr:col>2</xdr:col>
          <xdr:colOff>1135380</xdr:colOff>
          <xdr:row>50</xdr:row>
          <xdr:rowOff>30480</xdr:rowOff>
        </xdr:to>
        <xdr:sp macro="" textlink="">
          <xdr:nvSpPr>
            <xdr:cNvPr id="1026" name="Check Box 2" hidden="1">
              <a:extLst>
                <a:ext uri="{63B3BB69-23CF-44E3-9099-C40C66FF867C}">
                  <a14:compatExt spid="_x0000_s1026"/>
                </a:ext>
                <a:ext uri="{FF2B5EF4-FFF2-40B4-BE49-F238E27FC236}">
                  <a16:creationId xmlns:a16="http://schemas.microsoft.com/office/drawing/2014/main" id="{00000000-0008-0000-0000-00000204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7620</xdr:colOff>
          <xdr:row>50</xdr:row>
          <xdr:rowOff>7620</xdr:rowOff>
        </xdr:from>
        <xdr:to>
          <xdr:col>2</xdr:col>
          <xdr:colOff>1135380</xdr:colOff>
          <xdr:row>51</xdr:row>
          <xdr:rowOff>30480</xdr:rowOff>
        </xdr:to>
        <xdr:sp macro="" textlink="">
          <xdr:nvSpPr>
            <xdr:cNvPr id="1027" name="Check Box 3" hidden="1">
              <a:extLst>
                <a:ext uri="{63B3BB69-23CF-44E3-9099-C40C66FF867C}">
                  <a14:compatExt spid="_x0000_s1027"/>
                </a:ext>
                <a:ext uri="{FF2B5EF4-FFF2-40B4-BE49-F238E27FC236}">
                  <a16:creationId xmlns:a16="http://schemas.microsoft.com/office/drawing/2014/main" id="{00000000-0008-0000-0000-00000304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7620</xdr:colOff>
          <xdr:row>51</xdr:row>
          <xdr:rowOff>7620</xdr:rowOff>
        </xdr:from>
        <xdr:to>
          <xdr:col>2</xdr:col>
          <xdr:colOff>1135380</xdr:colOff>
          <xdr:row>52</xdr:row>
          <xdr:rowOff>30480</xdr:rowOff>
        </xdr:to>
        <xdr:sp macro="" textlink="">
          <xdr:nvSpPr>
            <xdr:cNvPr id="1028" name="Check Box 4" hidden="1">
              <a:extLst>
                <a:ext uri="{63B3BB69-23CF-44E3-9099-C40C66FF867C}">
                  <a14:compatExt spid="_x0000_s1028"/>
                </a:ext>
                <a:ext uri="{FF2B5EF4-FFF2-40B4-BE49-F238E27FC236}">
                  <a16:creationId xmlns:a16="http://schemas.microsoft.com/office/drawing/2014/main" id="{00000000-0008-0000-0000-00000404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7620</xdr:colOff>
          <xdr:row>48</xdr:row>
          <xdr:rowOff>7620</xdr:rowOff>
        </xdr:from>
        <xdr:to>
          <xdr:col>4</xdr:col>
          <xdr:colOff>1264920</xdr:colOff>
          <xdr:row>49</xdr:row>
          <xdr:rowOff>30480</xdr:rowOff>
        </xdr:to>
        <xdr:sp macro="" textlink="">
          <xdr:nvSpPr>
            <xdr:cNvPr id="1029" name="Check Box 5" hidden="1">
              <a:extLst>
                <a:ext uri="{63B3BB69-23CF-44E3-9099-C40C66FF867C}">
                  <a14:compatExt spid="_x0000_s1029"/>
                </a:ext>
                <a:ext uri="{FF2B5EF4-FFF2-40B4-BE49-F238E27FC236}">
                  <a16:creationId xmlns:a16="http://schemas.microsoft.com/office/drawing/2014/main" id="{00000000-0008-0000-0000-00000504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7620</xdr:colOff>
          <xdr:row>49</xdr:row>
          <xdr:rowOff>7620</xdr:rowOff>
        </xdr:from>
        <xdr:to>
          <xdr:col>4</xdr:col>
          <xdr:colOff>1264920</xdr:colOff>
          <xdr:row>50</xdr:row>
          <xdr:rowOff>30480</xdr:rowOff>
        </xdr:to>
        <xdr:sp macro="" textlink="">
          <xdr:nvSpPr>
            <xdr:cNvPr id="1030" name="Check Box 6" hidden="1">
              <a:extLst>
                <a:ext uri="{63B3BB69-23CF-44E3-9099-C40C66FF867C}">
                  <a14:compatExt spid="_x0000_s1030"/>
                </a:ext>
                <a:ext uri="{FF2B5EF4-FFF2-40B4-BE49-F238E27FC236}">
                  <a16:creationId xmlns:a16="http://schemas.microsoft.com/office/drawing/2014/main" id="{00000000-0008-0000-0000-00000604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7620</xdr:colOff>
          <xdr:row>50</xdr:row>
          <xdr:rowOff>7620</xdr:rowOff>
        </xdr:from>
        <xdr:to>
          <xdr:col>4</xdr:col>
          <xdr:colOff>1264920</xdr:colOff>
          <xdr:row>51</xdr:row>
          <xdr:rowOff>30480</xdr:rowOff>
        </xdr:to>
        <xdr:sp macro="" textlink="">
          <xdr:nvSpPr>
            <xdr:cNvPr id="1031" name="Check Box 7" hidden="1">
              <a:extLst>
                <a:ext uri="{63B3BB69-23CF-44E3-9099-C40C66FF867C}">
                  <a14:compatExt spid="_x0000_s1031"/>
                </a:ext>
                <a:ext uri="{FF2B5EF4-FFF2-40B4-BE49-F238E27FC236}">
                  <a16:creationId xmlns:a16="http://schemas.microsoft.com/office/drawing/2014/main" id="{00000000-0008-0000-0000-00000704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7620</xdr:colOff>
          <xdr:row>51</xdr:row>
          <xdr:rowOff>7620</xdr:rowOff>
        </xdr:from>
        <xdr:to>
          <xdr:col>4</xdr:col>
          <xdr:colOff>1264920</xdr:colOff>
          <xdr:row>52</xdr:row>
          <xdr:rowOff>30480</xdr:rowOff>
        </xdr:to>
        <xdr:sp macro="" textlink="">
          <xdr:nvSpPr>
            <xdr:cNvPr id="1032" name="Check Box 8" hidden="1">
              <a:extLst>
                <a:ext uri="{63B3BB69-23CF-44E3-9099-C40C66FF867C}">
                  <a14:compatExt spid="_x0000_s1032"/>
                </a:ext>
                <a:ext uri="{FF2B5EF4-FFF2-40B4-BE49-F238E27FC236}">
                  <a16:creationId xmlns:a16="http://schemas.microsoft.com/office/drawing/2014/main" id="{00000000-0008-0000-0000-00000804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7620</xdr:colOff>
          <xdr:row>48</xdr:row>
          <xdr:rowOff>7620</xdr:rowOff>
        </xdr:from>
        <xdr:to>
          <xdr:col>7</xdr:col>
          <xdr:colOff>68580</xdr:colOff>
          <xdr:row>49</xdr:row>
          <xdr:rowOff>30480</xdr:rowOff>
        </xdr:to>
        <xdr:sp macro="" textlink="">
          <xdr:nvSpPr>
            <xdr:cNvPr id="1033" name="Check Box 9" hidden="1">
              <a:extLst>
                <a:ext uri="{63B3BB69-23CF-44E3-9099-C40C66FF867C}">
                  <a14:compatExt spid="_x0000_s1033"/>
                </a:ext>
                <a:ext uri="{FF2B5EF4-FFF2-40B4-BE49-F238E27FC236}">
                  <a16:creationId xmlns:a16="http://schemas.microsoft.com/office/drawing/2014/main" id="{00000000-0008-0000-0000-00000904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7620</xdr:colOff>
          <xdr:row>49</xdr:row>
          <xdr:rowOff>7620</xdr:rowOff>
        </xdr:from>
        <xdr:to>
          <xdr:col>7</xdr:col>
          <xdr:colOff>68580</xdr:colOff>
          <xdr:row>50</xdr:row>
          <xdr:rowOff>30480</xdr:rowOff>
        </xdr:to>
        <xdr:sp macro="" textlink="">
          <xdr:nvSpPr>
            <xdr:cNvPr id="1034" name="Check Box 10" hidden="1">
              <a:extLst>
                <a:ext uri="{63B3BB69-23CF-44E3-9099-C40C66FF867C}">
                  <a14:compatExt spid="_x0000_s1034"/>
                </a:ext>
                <a:ext uri="{FF2B5EF4-FFF2-40B4-BE49-F238E27FC236}">
                  <a16:creationId xmlns:a16="http://schemas.microsoft.com/office/drawing/2014/main" id="{00000000-0008-0000-0000-00000A04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7620</xdr:colOff>
          <xdr:row>50</xdr:row>
          <xdr:rowOff>7620</xdr:rowOff>
        </xdr:from>
        <xdr:to>
          <xdr:col>7</xdr:col>
          <xdr:colOff>68580</xdr:colOff>
          <xdr:row>51</xdr:row>
          <xdr:rowOff>30480</xdr:rowOff>
        </xdr:to>
        <xdr:sp macro="" textlink="">
          <xdr:nvSpPr>
            <xdr:cNvPr id="1035" name="Check Box 11" hidden="1">
              <a:extLst>
                <a:ext uri="{63B3BB69-23CF-44E3-9099-C40C66FF867C}">
                  <a14:compatExt spid="_x0000_s1035"/>
                </a:ext>
                <a:ext uri="{FF2B5EF4-FFF2-40B4-BE49-F238E27FC236}">
                  <a16:creationId xmlns:a16="http://schemas.microsoft.com/office/drawing/2014/main" id="{00000000-0008-0000-0000-00000B04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7620</xdr:colOff>
          <xdr:row>51</xdr:row>
          <xdr:rowOff>7620</xdr:rowOff>
        </xdr:from>
        <xdr:to>
          <xdr:col>7</xdr:col>
          <xdr:colOff>68580</xdr:colOff>
          <xdr:row>52</xdr:row>
          <xdr:rowOff>30480</xdr:rowOff>
        </xdr:to>
        <xdr:sp macro="" textlink="">
          <xdr:nvSpPr>
            <xdr:cNvPr id="1036" name="Check Box 12" hidden="1">
              <a:extLst>
                <a:ext uri="{63B3BB69-23CF-44E3-9099-C40C66FF867C}">
                  <a14:compatExt spid="_x0000_s1036"/>
                </a:ext>
                <a:ext uri="{FF2B5EF4-FFF2-40B4-BE49-F238E27FC236}">
                  <a16:creationId xmlns:a16="http://schemas.microsoft.com/office/drawing/2014/main" id="{00000000-0008-0000-0000-00000C04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7620</xdr:colOff>
          <xdr:row>48</xdr:row>
          <xdr:rowOff>7620</xdr:rowOff>
        </xdr:from>
        <xdr:to>
          <xdr:col>9</xdr:col>
          <xdr:colOff>45720</xdr:colOff>
          <xdr:row>49</xdr:row>
          <xdr:rowOff>30480</xdr:rowOff>
        </xdr:to>
        <xdr:sp macro="" textlink="">
          <xdr:nvSpPr>
            <xdr:cNvPr id="1037" name="Check Box 13" hidden="1">
              <a:extLst>
                <a:ext uri="{63B3BB69-23CF-44E3-9099-C40C66FF867C}">
                  <a14:compatExt spid="_x0000_s1037"/>
                </a:ext>
                <a:ext uri="{FF2B5EF4-FFF2-40B4-BE49-F238E27FC236}">
                  <a16:creationId xmlns:a16="http://schemas.microsoft.com/office/drawing/2014/main" id="{00000000-0008-0000-0000-00000D04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7620</xdr:colOff>
          <xdr:row>49</xdr:row>
          <xdr:rowOff>7620</xdr:rowOff>
        </xdr:from>
        <xdr:to>
          <xdr:col>9</xdr:col>
          <xdr:colOff>45720</xdr:colOff>
          <xdr:row>50</xdr:row>
          <xdr:rowOff>30480</xdr:rowOff>
        </xdr:to>
        <xdr:sp macro="" textlink="">
          <xdr:nvSpPr>
            <xdr:cNvPr id="1038" name="Check Box 14" hidden="1">
              <a:extLst>
                <a:ext uri="{63B3BB69-23CF-44E3-9099-C40C66FF867C}">
                  <a14:compatExt spid="_x0000_s1038"/>
                </a:ext>
                <a:ext uri="{FF2B5EF4-FFF2-40B4-BE49-F238E27FC236}">
                  <a16:creationId xmlns:a16="http://schemas.microsoft.com/office/drawing/2014/main" id="{00000000-0008-0000-0000-00000E04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7620</xdr:colOff>
          <xdr:row>50</xdr:row>
          <xdr:rowOff>7620</xdr:rowOff>
        </xdr:from>
        <xdr:to>
          <xdr:col>9</xdr:col>
          <xdr:colOff>45720</xdr:colOff>
          <xdr:row>51</xdr:row>
          <xdr:rowOff>30480</xdr:rowOff>
        </xdr:to>
        <xdr:sp macro="" textlink="">
          <xdr:nvSpPr>
            <xdr:cNvPr id="1039" name="Check Box 15" hidden="1">
              <a:extLst>
                <a:ext uri="{63B3BB69-23CF-44E3-9099-C40C66FF867C}">
                  <a14:compatExt spid="_x0000_s1039"/>
                </a:ext>
                <a:ext uri="{FF2B5EF4-FFF2-40B4-BE49-F238E27FC236}">
                  <a16:creationId xmlns:a16="http://schemas.microsoft.com/office/drawing/2014/main" id="{00000000-0008-0000-0000-00000F04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7620</xdr:colOff>
          <xdr:row>51</xdr:row>
          <xdr:rowOff>7620</xdr:rowOff>
        </xdr:from>
        <xdr:to>
          <xdr:col>9</xdr:col>
          <xdr:colOff>45720</xdr:colOff>
          <xdr:row>52</xdr:row>
          <xdr:rowOff>30480</xdr:rowOff>
        </xdr:to>
        <xdr:sp macro="" textlink="">
          <xdr:nvSpPr>
            <xdr:cNvPr id="1040" name="Check Box 16" hidden="1">
              <a:extLst>
                <a:ext uri="{63B3BB69-23CF-44E3-9099-C40C66FF867C}">
                  <a14:compatExt spid="_x0000_s1040"/>
                </a:ext>
                <a:ext uri="{FF2B5EF4-FFF2-40B4-BE49-F238E27FC236}">
                  <a16:creationId xmlns:a16="http://schemas.microsoft.com/office/drawing/2014/main" id="{00000000-0008-0000-0000-00001004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7620</xdr:colOff>
          <xdr:row>48</xdr:row>
          <xdr:rowOff>7620</xdr:rowOff>
        </xdr:from>
        <xdr:to>
          <xdr:col>11</xdr:col>
          <xdr:colOff>175260</xdr:colOff>
          <xdr:row>49</xdr:row>
          <xdr:rowOff>30480</xdr:rowOff>
        </xdr:to>
        <xdr:sp macro="" textlink="">
          <xdr:nvSpPr>
            <xdr:cNvPr id="1041" name="Check Box 17" hidden="1">
              <a:extLst>
                <a:ext uri="{63B3BB69-23CF-44E3-9099-C40C66FF867C}">
                  <a14:compatExt spid="_x0000_s1041"/>
                </a:ext>
                <a:ext uri="{FF2B5EF4-FFF2-40B4-BE49-F238E27FC236}">
                  <a16:creationId xmlns:a16="http://schemas.microsoft.com/office/drawing/2014/main" id="{00000000-0008-0000-0000-00001104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7620</xdr:colOff>
          <xdr:row>49</xdr:row>
          <xdr:rowOff>7620</xdr:rowOff>
        </xdr:from>
        <xdr:to>
          <xdr:col>11</xdr:col>
          <xdr:colOff>175260</xdr:colOff>
          <xdr:row>50</xdr:row>
          <xdr:rowOff>30480</xdr:rowOff>
        </xdr:to>
        <xdr:sp macro="" textlink="">
          <xdr:nvSpPr>
            <xdr:cNvPr id="1042" name="Check Box 18" hidden="1">
              <a:extLst>
                <a:ext uri="{63B3BB69-23CF-44E3-9099-C40C66FF867C}">
                  <a14:compatExt spid="_x0000_s1042"/>
                </a:ext>
                <a:ext uri="{FF2B5EF4-FFF2-40B4-BE49-F238E27FC236}">
                  <a16:creationId xmlns:a16="http://schemas.microsoft.com/office/drawing/2014/main" id="{00000000-0008-0000-0000-00001204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7620</xdr:colOff>
          <xdr:row>50</xdr:row>
          <xdr:rowOff>7620</xdr:rowOff>
        </xdr:from>
        <xdr:to>
          <xdr:col>11</xdr:col>
          <xdr:colOff>175260</xdr:colOff>
          <xdr:row>51</xdr:row>
          <xdr:rowOff>30480</xdr:rowOff>
        </xdr:to>
        <xdr:sp macro="" textlink="">
          <xdr:nvSpPr>
            <xdr:cNvPr id="1043" name="Check Box 19" hidden="1">
              <a:extLst>
                <a:ext uri="{63B3BB69-23CF-44E3-9099-C40C66FF867C}">
                  <a14:compatExt spid="_x0000_s1043"/>
                </a:ext>
                <a:ext uri="{FF2B5EF4-FFF2-40B4-BE49-F238E27FC236}">
                  <a16:creationId xmlns:a16="http://schemas.microsoft.com/office/drawing/2014/main" id="{00000000-0008-0000-0000-00001304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7620</xdr:colOff>
          <xdr:row>51</xdr:row>
          <xdr:rowOff>7620</xdr:rowOff>
        </xdr:from>
        <xdr:to>
          <xdr:col>11</xdr:col>
          <xdr:colOff>175260</xdr:colOff>
          <xdr:row>52</xdr:row>
          <xdr:rowOff>30480</xdr:rowOff>
        </xdr:to>
        <xdr:sp macro="" textlink="">
          <xdr:nvSpPr>
            <xdr:cNvPr id="1044" name="Check Box 20" hidden="1">
              <a:extLst>
                <a:ext uri="{63B3BB69-23CF-44E3-9099-C40C66FF867C}">
                  <a14:compatExt spid="_x0000_s1044"/>
                </a:ext>
                <a:ext uri="{FF2B5EF4-FFF2-40B4-BE49-F238E27FC236}">
                  <a16:creationId xmlns:a16="http://schemas.microsoft.com/office/drawing/2014/main" id="{00000000-0008-0000-0000-00001404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7620</xdr:colOff>
          <xdr:row>48</xdr:row>
          <xdr:rowOff>7620</xdr:rowOff>
        </xdr:from>
        <xdr:to>
          <xdr:col>13</xdr:col>
          <xdr:colOff>556260</xdr:colOff>
          <xdr:row>49</xdr:row>
          <xdr:rowOff>30480</xdr:rowOff>
        </xdr:to>
        <xdr:sp macro="" textlink="">
          <xdr:nvSpPr>
            <xdr:cNvPr id="1045" name="Check Box 21" hidden="1">
              <a:extLst>
                <a:ext uri="{63B3BB69-23CF-44E3-9099-C40C66FF867C}">
                  <a14:compatExt spid="_x0000_s1045"/>
                </a:ext>
                <a:ext uri="{FF2B5EF4-FFF2-40B4-BE49-F238E27FC236}">
                  <a16:creationId xmlns:a16="http://schemas.microsoft.com/office/drawing/2014/main" id="{00000000-0008-0000-0000-00001504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7620</xdr:colOff>
          <xdr:row>49</xdr:row>
          <xdr:rowOff>7620</xdr:rowOff>
        </xdr:from>
        <xdr:to>
          <xdr:col>13</xdr:col>
          <xdr:colOff>556260</xdr:colOff>
          <xdr:row>50</xdr:row>
          <xdr:rowOff>30480</xdr:rowOff>
        </xdr:to>
        <xdr:sp macro="" textlink="">
          <xdr:nvSpPr>
            <xdr:cNvPr id="1046" name="Check Box 22" hidden="1">
              <a:extLst>
                <a:ext uri="{63B3BB69-23CF-44E3-9099-C40C66FF867C}">
                  <a14:compatExt spid="_x0000_s1046"/>
                </a:ext>
                <a:ext uri="{FF2B5EF4-FFF2-40B4-BE49-F238E27FC236}">
                  <a16:creationId xmlns:a16="http://schemas.microsoft.com/office/drawing/2014/main" id="{00000000-0008-0000-0000-00001604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7620</xdr:colOff>
          <xdr:row>50</xdr:row>
          <xdr:rowOff>7620</xdr:rowOff>
        </xdr:from>
        <xdr:to>
          <xdr:col>13</xdr:col>
          <xdr:colOff>556260</xdr:colOff>
          <xdr:row>51</xdr:row>
          <xdr:rowOff>30480</xdr:rowOff>
        </xdr:to>
        <xdr:sp macro="" textlink="">
          <xdr:nvSpPr>
            <xdr:cNvPr id="1047" name="Check Box 23" hidden="1">
              <a:extLst>
                <a:ext uri="{63B3BB69-23CF-44E3-9099-C40C66FF867C}">
                  <a14:compatExt spid="_x0000_s1047"/>
                </a:ext>
                <a:ext uri="{FF2B5EF4-FFF2-40B4-BE49-F238E27FC236}">
                  <a16:creationId xmlns:a16="http://schemas.microsoft.com/office/drawing/2014/main" id="{00000000-0008-0000-0000-00001704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7620</xdr:colOff>
          <xdr:row>51</xdr:row>
          <xdr:rowOff>7620</xdr:rowOff>
        </xdr:from>
        <xdr:to>
          <xdr:col>13</xdr:col>
          <xdr:colOff>556260</xdr:colOff>
          <xdr:row>52</xdr:row>
          <xdr:rowOff>30480</xdr:rowOff>
        </xdr:to>
        <xdr:sp macro="" textlink="">
          <xdr:nvSpPr>
            <xdr:cNvPr id="1048" name="Check Box 24" hidden="1">
              <a:extLst>
                <a:ext uri="{63B3BB69-23CF-44E3-9099-C40C66FF867C}">
                  <a14:compatExt spid="_x0000_s1048"/>
                </a:ext>
                <a:ext uri="{FF2B5EF4-FFF2-40B4-BE49-F238E27FC236}">
                  <a16:creationId xmlns:a16="http://schemas.microsoft.com/office/drawing/2014/main" id="{00000000-0008-0000-0000-00001804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7620</xdr:colOff>
          <xdr:row>48</xdr:row>
          <xdr:rowOff>7620</xdr:rowOff>
        </xdr:from>
        <xdr:to>
          <xdr:col>16</xdr:col>
          <xdr:colOff>45720</xdr:colOff>
          <xdr:row>49</xdr:row>
          <xdr:rowOff>30480</xdr:rowOff>
        </xdr:to>
        <xdr:sp macro="" textlink="">
          <xdr:nvSpPr>
            <xdr:cNvPr id="1049" name="Check Box 25" hidden="1">
              <a:extLst>
                <a:ext uri="{63B3BB69-23CF-44E3-9099-C40C66FF867C}">
                  <a14:compatExt spid="_x0000_s1049"/>
                </a:ext>
                <a:ext uri="{FF2B5EF4-FFF2-40B4-BE49-F238E27FC236}">
                  <a16:creationId xmlns:a16="http://schemas.microsoft.com/office/drawing/2014/main" id="{00000000-0008-0000-0000-00001904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7620</xdr:colOff>
          <xdr:row>49</xdr:row>
          <xdr:rowOff>7620</xdr:rowOff>
        </xdr:from>
        <xdr:to>
          <xdr:col>16</xdr:col>
          <xdr:colOff>45720</xdr:colOff>
          <xdr:row>50</xdr:row>
          <xdr:rowOff>30480</xdr:rowOff>
        </xdr:to>
        <xdr:sp macro="" textlink="">
          <xdr:nvSpPr>
            <xdr:cNvPr id="1050" name="Check Box 26" hidden="1">
              <a:extLst>
                <a:ext uri="{63B3BB69-23CF-44E3-9099-C40C66FF867C}">
                  <a14:compatExt spid="_x0000_s1050"/>
                </a:ext>
                <a:ext uri="{FF2B5EF4-FFF2-40B4-BE49-F238E27FC236}">
                  <a16:creationId xmlns:a16="http://schemas.microsoft.com/office/drawing/2014/main" id="{00000000-0008-0000-0000-00001A04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7620</xdr:colOff>
          <xdr:row>50</xdr:row>
          <xdr:rowOff>7620</xdr:rowOff>
        </xdr:from>
        <xdr:to>
          <xdr:col>16</xdr:col>
          <xdr:colOff>45720</xdr:colOff>
          <xdr:row>51</xdr:row>
          <xdr:rowOff>30480</xdr:rowOff>
        </xdr:to>
        <xdr:sp macro="" textlink="">
          <xdr:nvSpPr>
            <xdr:cNvPr id="1051" name="Check Box 27" hidden="1">
              <a:extLst>
                <a:ext uri="{63B3BB69-23CF-44E3-9099-C40C66FF867C}">
                  <a14:compatExt spid="_x0000_s1051"/>
                </a:ext>
                <a:ext uri="{FF2B5EF4-FFF2-40B4-BE49-F238E27FC236}">
                  <a16:creationId xmlns:a16="http://schemas.microsoft.com/office/drawing/2014/main" id="{00000000-0008-0000-0000-00001B04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7620</xdr:colOff>
          <xdr:row>51</xdr:row>
          <xdr:rowOff>7620</xdr:rowOff>
        </xdr:from>
        <xdr:to>
          <xdr:col>16</xdr:col>
          <xdr:colOff>45720</xdr:colOff>
          <xdr:row>52</xdr:row>
          <xdr:rowOff>30480</xdr:rowOff>
        </xdr:to>
        <xdr:sp macro="" textlink="">
          <xdr:nvSpPr>
            <xdr:cNvPr id="1052" name="Check Box 28" hidden="1">
              <a:extLst>
                <a:ext uri="{63B3BB69-23CF-44E3-9099-C40C66FF867C}">
                  <a14:compatExt spid="_x0000_s1052"/>
                </a:ext>
                <a:ext uri="{FF2B5EF4-FFF2-40B4-BE49-F238E27FC236}">
                  <a16:creationId xmlns:a16="http://schemas.microsoft.com/office/drawing/2014/main" id="{00000000-0008-0000-0000-00001C04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16</xdr:col>
          <xdr:colOff>7620</xdr:colOff>
          <xdr:row>48</xdr:row>
          <xdr:rowOff>7620</xdr:rowOff>
        </xdr:from>
        <xdr:to>
          <xdr:col>17</xdr:col>
          <xdr:colOff>373380</xdr:colOff>
          <xdr:row>49</xdr:row>
          <xdr:rowOff>30480</xdr:rowOff>
        </xdr:to>
        <xdr:sp macro="" textlink="">
          <xdr:nvSpPr>
            <xdr:cNvPr id="1053" name="Check Box 29" hidden="1">
              <a:extLst>
                <a:ext uri="{63B3BB69-23CF-44E3-9099-C40C66FF867C}">
                  <a14:compatExt spid="_x0000_s1053"/>
                </a:ext>
                <a:ext uri="{FF2B5EF4-FFF2-40B4-BE49-F238E27FC236}">
                  <a16:creationId xmlns:a16="http://schemas.microsoft.com/office/drawing/2014/main" id="{00000000-0008-0000-0000-00001D04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16</xdr:col>
          <xdr:colOff>7620</xdr:colOff>
          <xdr:row>49</xdr:row>
          <xdr:rowOff>7620</xdr:rowOff>
        </xdr:from>
        <xdr:to>
          <xdr:col>17</xdr:col>
          <xdr:colOff>373380</xdr:colOff>
          <xdr:row>50</xdr:row>
          <xdr:rowOff>30480</xdr:rowOff>
        </xdr:to>
        <xdr:sp macro="" textlink="">
          <xdr:nvSpPr>
            <xdr:cNvPr id="1054" name="Check Box 30" hidden="1">
              <a:extLst>
                <a:ext uri="{63B3BB69-23CF-44E3-9099-C40C66FF867C}">
                  <a14:compatExt spid="_x0000_s1054"/>
                </a:ext>
                <a:ext uri="{FF2B5EF4-FFF2-40B4-BE49-F238E27FC236}">
                  <a16:creationId xmlns:a16="http://schemas.microsoft.com/office/drawing/2014/main" id="{00000000-0008-0000-0000-00001E04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16</xdr:col>
          <xdr:colOff>7620</xdr:colOff>
          <xdr:row>50</xdr:row>
          <xdr:rowOff>7620</xdr:rowOff>
        </xdr:from>
        <xdr:to>
          <xdr:col>17</xdr:col>
          <xdr:colOff>373380</xdr:colOff>
          <xdr:row>51</xdr:row>
          <xdr:rowOff>30480</xdr:rowOff>
        </xdr:to>
        <xdr:sp macro="" textlink="">
          <xdr:nvSpPr>
            <xdr:cNvPr id="1055" name="Check Box 31" hidden="1">
              <a:extLst>
                <a:ext uri="{63B3BB69-23CF-44E3-9099-C40C66FF867C}">
                  <a14:compatExt spid="_x0000_s1055"/>
                </a:ext>
                <a:ext uri="{FF2B5EF4-FFF2-40B4-BE49-F238E27FC236}">
                  <a16:creationId xmlns:a16="http://schemas.microsoft.com/office/drawing/2014/main" id="{00000000-0008-0000-0000-00001F04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16</xdr:col>
          <xdr:colOff>7620</xdr:colOff>
          <xdr:row>51</xdr:row>
          <xdr:rowOff>7620</xdr:rowOff>
        </xdr:from>
        <xdr:to>
          <xdr:col>17</xdr:col>
          <xdr:colOff>373380</xdr:colOff>
          <xdr:row>52</xdr:row>
          <xdr:rowOff>30480</xdr:rowOff>
        </xdr:to>
        <xdr:sp macro="" textlink="">
          <xdr:nvSpPr>
            <xdr:cNvPr id="1056" name="Check Box 32" hidden="1">
              <a:extLst>
                <a:ext uri="{63B3BB69-23CF-44E3-9099-C40C66FF867C}">
                  <a14:compatExt spid="_x0000_s1056"/>
                </a:ext>
                <a:ext uri="{FF2B5EF4-FFF2-40B4-BE49-F238E27FC236}">
                  <a16:creationId xmlns:a16="http://schemas.microsoft.com/office/drawing/2014/main" id="{00000000-0008-0000-0000-00002004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18</xdr:col>
          <xdr:colOff>7620</xdr:colOff>
          <xdr:row>48</xdr:row>
          <xdr:rowOff>7620</xdr:rowOff>
        </xdr:from>
        <xdr:to>
          <xdr:col>20</xdr:col>
          <xdr:colOff>45720</xdr:colOff>
          <xdr:row>49</xdr:row>
          <xdr:rowOff>30480</xdr:rowOff>
        </xdr:to>
        <xdr:sp macro="" textlink="">
          <xdr:nvSpPr>
            <xdr:cNvPr id="1057" name="Check Box 33" hidden="1">
              <a:extLst>
                <a:ext uri="{63B3BB69-23CF-44E3-9099-C40C66FF867C}">
                  <a14:compatExt spid="_x0000_s1057"/>
                </a:ext>
                <a:ext uri="{FF2B5EF4-FFF2-40B4-BE49-F238E27FC236}">
                  <a16:creationId xmlns:a16="http://schemas.microsoft.com/office/drawing/2014/main" id="{00000000-0008-0000-0000-00002104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18</xdr:col>
          <xdr:colOff>7620</xdr:colOff>
          <xdr:row>49</xdr:row>
          <xdr:rowOff>7620</xdr:rowOff>
        </xdr:from>
        <xdr:to>
          <xdr:col>20</xdr:col>
          <xdr:colOff>45720</xdr:colOff>
          <xdr:row>50</xdr:row>
          <xdr:rowOff>30480</xdr:rowOff>
        </xdr:to>
        <xdr:sp macro="" textlink="">
          <xdr:nvSpPr>
            <xdr:cNvPr id="1058" name="Check Box 34" hidden="1">
              <a:extLst>
                <a:ext uri="{63B3BB69-23CF-44E3-9099-C40C66FF867C}">
                  <a14:compatExt spid="_x0000_s1058"/>
                </a:ext>
                <a:ext uri="{FF2B5EF4-FFF2-40B4-BE49-F238E27FC236}">
                  <a16:creationId xmlns:a16="http://schemas.microsoft.com/office/drawing/2014/main" id="{00000000-0008-0000-0000-00002204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18</xdr:col>
          <xdr:colOff>7620</xdr:colOff>
          <xdr:row>50</xdr:row>
          <xdr:rowOff>7620</xdr:rowOff>
        </xdr:from>
        <xdr:to>
          <xdr:col>20</xdr:col>
          <xdr:colOff>45720</xdr:colOff>
          <xdr:row>51</xdr:row>
          <xdr:rowOff>30480</xdr:rowOff>
        </xdr:to>
        <xdr:sp macro="" textlink="">
          <xdr:nvSpPr>
            <xdr:cNvPr id="1059" name="Check Box 35" hidden="1">
              <a:extLst>
                <a:ext uri="{63B3BB69-23CF-44E3-9099-C40C66FF867C}">
                  <a14:compatExt spid="_x0000_s1059"/>
                </a:ext>
                <a:ext uri="{FF2B5EF4-FFF2-40B4-BE49-F238E27FC236}">
                  <a16:creationId xmlns:a16="http://schemas.microsoft.com/office/drawing/2014/main" id="{00000000-0008-0000-0000-00002304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18</xdr:col>
          <xdr:colOff>7620</xdr:colOff>
          <xdr:row>51</xdr:row>
          <xdr:rowOff>7620</xdr:rowOff>
        </xdr:from>
        <xdr:to>
          <xdr:col>20</xdr:col>
          <xdr:colOff>45720</xdr:colOff>
          <xdr:row>52</xdr:row>
          <xdr:rowOff>30480</xdr:rowOff>
        </xdr:to>
        <xdr:sp macro="" textlink="">
          <xdr:nvSpPr>
            <xdr:cNvPr id="1060" name="Check Box 36" hidden="1">
              <a:extLst>
                <a:ext uri="{63B3BB69-23CF-44E3-9099-C40C66FF867C}">
                  <a14:compatExt spid="_x0000_s1060"/>
                </a:ext>
                <a:ext uri="{FF2B5EF4-FFF2-40B4-BE49-F238E27FC236}">
                  <a16:creationId xmlns:a16="http://schemas.microsoft.com/office/drawing/2014/main" id="{00000000-0008-0000-0000-00002404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20</xdr:col>
          <xdr:colOff>7620</xdr:colOff>
          <xdr:row>48</xdr:row>
          <xdr:rowOff>7620</xdr:rowOff>
        </xdr:from>
        <xdr:to>
          <xdr:col>20</xdr:col>
          <xdr:colOff>1036320</xdr:colOff>
          <xdr:row>49</xdr:row>
          <xdr:rowOff>30480</xdr:rowOff>
        </xdr:to>
        <xdr:sp macro="" textlink="">
          <xdr:nvSpPr>
            <xdr:cNvPr id="1061" name="Check Box 37" hidden="1">
              <a:extLst>
                <a:ext uri="{63B3BB69-23CF-44E3-9099-C40C66FF867C}">
                  <a14:compatExt spid="_x0000_s1061"/>
                </a:ext>
                <a:ext uri="{FF2B5EF4-FFF2-40B4-BE49-F238E27FC236}">
                  <a16:creationId xmlns:a16="http://schemas.microsoft.com/office/drawing/2014/main" id="{00000000-0008-0000-0000-00002504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20</xdr:col>
          <xdr:colOff>7620</xdr:colOff>
          <xdr:row>49</xdr:row>
          <xdr:rowOff>7620</xdr:rowOff>
        </xdr:from>
        <xdr:to>
          <xdr:col>20</xdr:col>
          <xdr:colOff>1036320</xdr:colOff>
          <xdr:row>50</xdr:row>
          <xdr:rowOff>30480</xdr:rowOff>
        </xdr:to>
        <xdr:sp macro="" textlink="">
          <xdr:nvSpPr>
            <xdr:cNvPr id="1062" name="Check Box 38" hidden="1">
              <a:extLst>
                <a:ext uri="{63B3BB69-23CF-44E3-9099-C40C66FF867C}">
                  <a14:compatExt spid="_x0000_s1062"/>
                </a:ext>
                <a:ext uri="{FF2B5EF4-FFF2-40B4-BE49-F238E27FC236}">
                  <a16:creationId xmlns:a16="http://schemas.microsoft.com/office/drawing/2014/main" id="{00000000-0008-0000-0000-00002604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20</xdr:col>
          <xdr:colOff>7620</xdr:colOff>
          <xdr:row>50</xdr:row>
          <xdr:rowOff>7620</xdr:rowOff>
        </xdr:from>
        <xdr:to>
          <xdr:col>20</xdr:col>
          <xdr:colOff>1036320</xdr:colOff>
          <xdr:row>51</xdr:row>
          <xdr:rowOff>30480</xdr:rowOff>
        </xdr:to>
        <xdr:sp macro="" textlink="">
          <xdr:nvSpPr>
            <xdr:cNvPr id="1063" name="Check Box 39" hidden="1">
              <a:extLst>
                <a:ext uri="{63B3BB69-23CF-44E3-9099-C40C66FF867C}">
                  <a14:compatExt spid="_x0000_s1063"/>
                </a:ext>
                <a:ext uri="{FF2B5EF4-FFF2-40B4-BE49-F238E27FC236}">
                  <a16:creationId xmlns:a16="http://schemas.microsoft.com/office/drawing/2014/main" id="{00000000-0008-0000-0000-00002704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20</xdr:col>
          <xdr:colOff>7620</xdr:colOff>
          <xdr:row>51</xdr:row>
          <xdr:rowOff>7620</xdr:rowOff>
        </xdr:from>
        <xdr:to>
          <xdr:col>20</xdr:col>
          <xdr:colOff>1036320</xdr:colOff>
          <xdr:row>52</xdr:row>
          <xdr:rowOff>30480</xdr:rowOff>
        </xdr:to>
        <xdr:sp macro="" textlink="">
          <xdr:nvSpPr>
            <xdr:cNvPr id="1064" name="Check Box 40" hidden="1">
              <a:extLst>
                <a:ext uri="{63B3BB69-23CF-44E3-9099-C40C66FF867C}">
                  <a14:compatExt spid="_x0000_s1064"/>
                </a:ext>
                <a:ext uri="{FF2B5EF4-FFF2-40B4-BE49-F238E27FC236}">
                  <a16:creationId xmlns:a16="http://schemas.microsoft.com/office/drawing/2014/main" id="{00000000-0008-0000-0000-00002804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22</xdr:col>
          <xdr:colOff>7620</xdr:colOff>
          <xdr:row>48</xdr:row>
          <xdr:rowOff>7620</xdr:rowOff>
        </xdr:from>
        <xdr:to>
          <xdr:col>22</xdr:col>
          <xdr:colOff>601980</xdr:colOff>
          <xdr:row>49</xdr:row>
          <xdr:rowOff>30480</xdr:rowOff>
        </xdr:to>
        <xdr:sp macro="" textlink="">
          <xdr:nvSpPr>
            <xdr:cNvPr id="1065" name="Check Box 41" hidden="1">
              <a:extLst>
                <a:ext uri="{63B3BB69-23CF-44E3-9099-C40C66FF867C}">
                  <a14:compatExt spid="_x0000_s1065"/>
                </a:ext>
                <a:ext uri="{FF2B5EF4-FFF2-40B4-BE49-F238E27FC236}">
                  <a16:creationId xmlns:a16="http://schemas.microsoft.com/office/drawing/2014/main" id="{00000000-0008-0000-0000-00002904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22</xdr:col>
          <xdr:colOff>7620</xdr:colOff>
          <xdr:row>49</xdr:row>
          <xdr:rowOff>7620</xdr:rowOff>
        </xdr:from>
        <xdr:to>
          <xdr:col>22</xdr:col>
          <xdr:colOff>601980</xdr:colOff>
          <xdr:row>50</xdr:row>
          <xdr:rowOff>30480</xdr:rowOff>
        </xdr:to>
        <xdr:sp macro="" textlink="">
          <xdr:nvSpPr>
            <xdr:cNvPr id="1066" name="Check Box 42" hidden="1">
              <a:extLst>
                <a:ext uri="{63B3BB69-23CF-44E3-9099-C40C66FF867C}">
                  <a14:compatExt spid="_x0000_s1066"/>
                </a:ext>
                <a:ext uri="{FF2B5EF4-FFF2-40B4-BE49-F238E27FC236}">
                  <a16:creationId xmlns:a16="http://schemas.microsoft.com/office/drawing/2014/main" id="{00000000-0008-0000-0000-00002A04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22</xdr:col>
          <xdr:colOff>7620</xdr:colOff>
          <xdr:row>50</xdr:row>
          <xdr:rowOff>7620</xdr:rowOff>
        </xdr:from>
        <xdr:to>
          <xdr:col>22</xdr:col>
          <xdr:colOff>601980</xdr:colOff>
          <xdr:row>51</xdr:row>
          <xdr:rowOff>30480</xdr:rowOff>
        </xdr:to>
        <xdr:sp macro="" textlink="">
          <xdr:nvSpPr>
            <xdr:cNvPr id="1067" name="Check Box 43" hidden="1">
              <a:extLst>
                <a:ext uri="{63B3BB69-23CF-44E3-9099-C40C66FF867C}">
                  <a14:compatExt spid="_x0000_s1067"/>
                </a:ext>
                <a:ext uri="{FF2B5EF4-FFF2-40B4-BE49-F238E27FC236}">
                  <a16:creationId xmlns:a16="http://schemas.microsoft.com/office/drawing/2014/main" id="{00000000-0008-0000-0000-00002B04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22</xdr:col>
          <xdr:colOff>7620</xdr:colOff>
          <xdr:row>51</xdr:row>
          <xdr:rowOff>7620</xdr:rowOff>
        </xdr:from>
        <xdr:to>
          <xdr:col>22</xdr:col>
          <xdr:colOff>601980</xdr:colOff>
          <xdr:row>52</xdr:row>
          <xdr:rowOff>30480</xdr:rowOff>
        </xdr:to>
        <xdr:sp macro="" textlink="">
          <xdr:nvSpPr>
            <xdr:cNvPr id="1068" name="Check Box 44" hidden="1">
              <a:extLst>
                <a:ext uri="{63B3BB69-23CF-44E3-9099-C40C66FF867C}">
                  <a14:compatExt spid="_x0000_s1068"/>
                </a:ext>
                <a:ext uri="{FF2B5EF4-FFF2-40B4-BE49-F238E27FC236}">
                  <a16:creationId xmlns:a16="http://schemas.microsoft.com/office/drawing/2014/main" id="{00000000-0008-0000-0000-00002C04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16</xdr:col>
          <xdr:colOff>22860</xdr:colOff>
          <xdr:row>50</xdr:row>
          <xdr:rowOff>190500</xdr:rowOff>
        </xdr:from>
        <xdr:to>
          <xdr:col>17</xdr:col>
          <xdr:colOff>381000</xdr:colOff>
          <xdr:row>52</xdr:row>
          <xdr:rowOff>22860</xdr:rowOff>
        </xdr:to>
        <xdr:sp macro="" textlink="">
          <xdr:nvSpPr>
            <xdr:cNvPr id="1069" name="Check Box 45" hidden="1">
              <a:extLst>
                <a:ext uri="{63B3BB69-23CF-44E3-9099-C40C66FF867C}">
                  <a14:compatExt spid="_x0000_s1069"/>
                </a:ext>
                <a:ext uri="{FF2B5EF4-FFF2-40B4-BE49-F238E27FC236}">
                  <a16:creationId xmlns:a16="http://schemas.microsoft.com/office/drawing/2014/main" id="{00000000-0008-0000-0000-00002D04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22860</xdr:colOff>
          <xdr:row>48</xdr:row>
          <xdr:rowOff>7620</xdr:rowOff>
        </xdr:from>
        <xdr:to>
          <xdr:col>11</xdr:col>
          <xdr:colOff>182880</xdr:colOff>
          <xdr:row>49</xdr:row>
          <xdr:rowOff>45720</xdr:rowOff>
        </xdr:to>
        <xdr:sp macro="" textlink="">
          <xdr:nvSpPr>
            <xdr:cNvPr id="1070" name="Check Box 46" hidden="1">
              <a:extLst>
                <a:ext uri="{63B3BB69-23CF-44E3-9099-C40C66FF867C}">
                  <a14:compatExt spid="_x0000_s1070"/>
                </a:ext>
                <a:ext uri="{FF2B5EF4-FFF2-40B4-BE49-F238E27FC236}">
                  <a16:creationId xmlns:a16="http://schemas.microsoft.com/office/drawing/2014/main" id="{00000000-0008-0000-0000-00002E04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7620</xdr:colOff>
          <xdr:row>48</xdr:row>
          <xdr:rowOff>7620</xdr:rowOff>
        </xdr:from>
        <xdr:to>
          <xdr:col>4</xdr:col>
          <xdr:colOff>1143000</xdr:colOff>
          <xdr:row>49</xdr:row>
          <xdr:rowOff>45720</xdr:rowOff>
        </xdr:to>
        <xdr:sp macro="" textlink="">
          <xdr:nvSpPr>
            <xdr:cNvPr id="1071" name="Check Box 47" hidden="1">
              <a:extLst>
                <a:ext uri="{63B3BB69-23CF-44E3-9099-C40C66FF867C}">
                  <a14:compatExt spid="_x0000_s1071"/>
                </a:ext>
                <a:ext uri="{FF2B5EF4-FFF2-40B4-BE49-F238E27FC236}">
                  <a16:creationId xmlns:a16="http://schemas.microsoft.com/office/drawing/2014/main" id="{00000000-0008-0000-0000-00002F04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7620</xdr:colOff>
          <xdr:row>49</xdr:row>
          <xdr:rowOff>7620</xdr:rowOff>
        </xdr:from>
        <xdr:to>
          <xdr:col>4</xdr:col>
          <xdr:colOff>1143000</xdr:colOff>
          <xdr:row>50</xdr:row>
          <xdr:rowOff>45720</xdr:rowOff>
        </xdr:to>
        <xdr:sp macro="" textlink="">
          <xdr:nvSpPr>
            <xdr:cNvPr id="1072" name="Check Box 48" hidden="1">
              <a:extLst>
                <a:ext uri="{63B3BB69-23CF-44E3-9099-C40C66FF867C}">
                  <a14:compatExt spid="_x0000_s1072"/>
                </a:ext>
                <a:ext uri="{FF2B5EF4-FFF2-40B4-BE49-F238E27FC236}">
                  <a16:creationId xmlns:a16="http://schemas.microsoft.com/office/drawing/2014/main" id="{00000000-0008-0000-0000-00003004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7620</xdr:colOff>
          <xdr:row>50</xdr:row>
          <xdr:rowOff>7620</xdr:rowOff>
        </xdr:from>
        <xdr:to>
          <xdr:col>4</xdr:col>
          <xdr:colOff>1143000</xdr:colOff>
          <xdr:row>51</xdr:row>
          <xdr:rowOff>45720</xdr:rowOff>
        </xdr:to>
        <xdr:sp macro="" textlink="">
          <xdr:nvSpPr>
            <xdr:cNvPr id="1073" name="Check Box 49" hidden="1">
              <a:extLst>
                <a:ext uri="{63B3BB69-23CF-44E3-9099-C40C66FF867C}">
                  <a14:compatExt spid="_x0000_s1073"/>
                </a:ext>
                <a:ext uri="{FF2B5EF4-FFF2-40B4-BE49-F238E27FC236}">
                  <a16:creationId xmlns:a16="http://schemas.microsoft.com/office/drawing/2014/main" id="{00000000-0008-0000-0000-00003104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7620</xdr:colOff>
          <xdr:row>51</xdr:row>
          <xdr:rowOff>7620</xdr:rowOff>
        </xdr:from>
        <xdr:to>
          <xdr:col>4</xdr:col>
          <xdr:colOff>1143000</xdr:colOff>
          <xdr:row>52</xdr:row>
          <xdr:rowOff>45720</xdr:rowOff>
        </xdr:to>
        <xdr:sp macro="" textlink="">
          <xdr:nvSpPr>
            <xdr:cNvPr id="1074" name="Check Box 50" hidden="1">
              <a:extLst>
                <a:ext uri="{63B3BB69-23CF-44E3-9099-C40C66FF867C}">
                  <a14:compatExt spid="_x0000_s1074"/>
                </a:ext>
                <a:ext uri="{FF2B5EF4-FFF2-40B4-BE49-F238E27FC236}">
                  <a16:creationId xmlns:a16="http://schemas.microsoft.com/office/drawing/2014/main" id="{00000000-0008-0000-0000-00003204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7620</xdr:colOff>
          <xdr:row>48</xdr:row>
          <xdr:rowOff>7620</xdr:rowOff>
        </xdr:from>
        <xdr:to>
          <xdr:col>7</xdr:col>
          <xdr:colOff>350520</xdr:colOff>
          <xdr:row>49</xdr:row>
          <xdr:rowOff>45720</xdr:rowOff>
        </xdr:to>
        <xdr:sp macro="" textlink="">
          <xdr:nvSpPr>
            <xdr:cNvPr id="1075" name="Check Box 51" hidden="1">
              <a:extLst>
                <a:ext uri="{63B3BB69-23CF-44E3-9099-C40C66FF867C}">
                  <a14:compatExt spid="_x0000_s1075"/>
                </a:ext>
                <a:ext uri="{FF2B5EF4-FFF2-40B4-BE49-F238E27FC236}">
                  <a16:creationId xmlns:a16="http://schemas.microsoft.com/office/drawing/2014/main" id="{00000000-0008-0000-0000-00003304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7620</xdr:colOff>
          <xdr:row>49</xdr:row>
          <xdr:rowOff>7620</xdr:rowOff>
        </xdr:from>
        <xdr:to>
          <xdr:col>7</xdr:col>
          <xdr:colOff>350520</xdr:colOff>
          <xdr:row>50</xdr:row>
          <xdr:rowOff>45720</xdr:rowOff>
        </xdr:to>
        <xdr:sp macro="" textlink="">
          <xdr:nvSpPr>
            <xdr:cNvPr id="1076" name="Check Box 52" hidden="1">
              <a:extLst>
                <a:ext uri="{63B3BB69-23CF-44E3-9099-C40C66FF867C}">
                  <a14:compatExt spid="_x0000_s1076"/>
                </a:ext>
                <a:ext uri="{FF2B5EF4-FFF2-40B4-BE49-F238E27FC236}">
                  <a16:creationId xmlns:a16="http://schemas.microsoft.com/office/drawing/2014/main" id="{00000000-0008-0000-0000-00003404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7620</xdr:colOff>
          <xdr:row>50</xdr:row>
          <xdr:rowOff>7620</xdr:rowOff>
        </xdr:from>
        <xdr:to>
          <xdr:col>7</xdr:col>
          <xdr:colOff>350520</xdr:colOff>
          <xdr:row>51</xdr:row>
          <xdr:rowOff>45720</xdr:rowOff>
        </xdr:to>
        <xdr:sp macro="" textlink="">
          <xdr:nvSpPr>
            <xdr:cNvPr id="1077" name="Check Box 53" hidden="1">
              <a:extLst>
                <a:ext uri="{63B3BB69-23CF-44E3-9099-C40C66FF867C}">
                  <a14:compatExt spid="_x0000_s1077"/>
                </a:ext>
                <a:ext uri="{FF2B5EF4-FFF2-40B4-BE49-F238E27FC236}">
                  <a16:creationId xmlns:a16="http://schemas.microsoft.com/office/drawing/2014/main" id="{00000000-0008-0000-0000-00003504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7620</xdr:colOff>
          <xdr:row>51</xdr:row>
          <xdr:rowOff>7620</xdr:rowOff>
        </xdr:from>
        <xdr:to>
          <xdr:col>7</xdr:col>
          <xdr:colOff>350520</xdr:colOff>
          <xdr:row>52</xdr:row>
          <xdr:rowOff>45720</xdr:rowOff>
        </xdr:to>
        <xdr:sp macro="" textlink="">
          <xdr:nvSpPr>
            <xdr:cNvPr id="1078" name="Check Box 54" hidden="1">
              <a:extLst>
                <a:ext uri="{63B3BB69-23CF-44E3-9099-C40C66FF867C}">
                  <a14:compatExt spid="_x0000_s1078"/>
                </a:ext>
                <a:ext uri="{FF2B5EF4-FFF2-40B4-BE49-F238E27FC236}">
                  <a16:creationId xmlns:a16="http://schemas.microsoft.com/office/drawing/2014/main" id="{00000000-0008-0000-0000-00003604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7620</xdr:colOff>
          <xdr:row>48</xdr:row>
          <xdr:rowOff>7620</xdr:rowOff>
        </xdr:from>
        <xdr:to>
          <xdr:col>8</xdr:col>
          <xdr:colOff>1135380</xdr:colOff>
          <xdr:row>49</xdr:row>
          <xdr:rowOff>45720</xdr:rowOff>
        </xdr:to>
        <xdr:sp macro="" textlink="">
          <xdr:nvSpPr>
            <xdr:cNvPr id="1079" name="Check Box 55" hidden="1">
              <a:extLst>
                <a:ext uri="{63B3BB69-23CF-44E3-9099-C40C66FF867C}">
                  <a14:compatExt spid="_x0000_s1079"/>
                </a:ext>
                <a:ext uri="{FF2B5EF4-FFF2-40B4-BE49-F238E27FC236}">
                  <a16:creationId xmlns:a16="http://schemas.microsoft.com/office/drawing/2014/main" id="{00000000-0008-0000-0000-00003704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7620</xdr:colOff>
          <xdr:row>49</xdr:row>
          <xdr:rowOff>7620</xdr:rowOff>
        </xdr:from>
        <xdr:to>
          <xdr:col>8</xdr:col>
          <xdr:colOff>1135380</xdr:colOff>
          <xdr:row>50</xdr:row>
          <xdr:rowOff>45720</xdr:rowOff>
        </xdr:to>
        <xdr:sp macro="" textlink="">
          <xdr:nvSpPr>
            <xdr:cNvPr id="1080" name="Check Box 56" hidden="1">
              <a:extLst>
                <a:ext uri="{63B3BB69-23CF-44E3-9099-C40C66FF867C}">
                  <a14:compatExt spid="_x0000_s1080"/>
                </a:ext>
                <a:ext uri="{FF2B5EF4-FFF2-40B4-BE49-F238E27FC236}">
                  <a16:creationId xmlns:a16="http://schemas.microsoft.com/office/drawing/2014/main" id="{00000000-0008-0000-0000-00003804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7620</xdr:colOff>
          <xdr:row>50</xdr:row>
          <xdr:rowOff>7620</xdr:rowOff>
        </xdr:from>
        <xdr:to>
          <xdr:col>8</xdr:col>
          <xdr:colOff>1135380</xdr:colOff>
          <xdr:row>51</xdr:row>
          <xdr:rowOff>45720</xdr:rowOff>
        </xdr:to>
        <xdr:sp macro="" textlink="">
          <xdr:nvSpPr>
            <xdr:cNvPr id="1081" name="Check Box 57" hidden="1">
              <a:extLst>
                <a:ext uri="{63B3BB69-23CF-44E3-9099-C40C66FF867C}">
                  <a14:compatExt spid="_x0000_s1081"/>
                </a:ext>
                <a:ext uri="{FF2B5EF4-FFF2-40B4-BE49-F238E27FC236}">
                  <a16:creationId xmlns:a16="http://schemas.microsoft.com/office/drawing/2014/main" id="{00000000-0008-0000-0000-00003904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7620</xdr:colOff>
          <xdr:row>51</xdr:row>
          <xdr:rowOff>7620</xdr:rowOff>
        </xdr:from>
        <xdr:to>
          <xdr:col>8</xdr:col>
          <xdr:colOff>1135380</xdr:colOff>
          <xdr:row>52</xdr:row>
          <xdr:rowOff>45720</xdr:rowOff>
        </xdr:to>
        <xdr:sp macro="" textlink="">
          <xdr:nvSpPr>
            <xdr:cNvPr id="1082" name="Check Box 58" hidden="1">
              <a:extLst>
                <a:ext uri="{63B3BB69-23CF-44E3-9099-C40C66FF867C}">
                  <a14:compatExt spid="_x0000_s1082"/>
                </a:ext>
                <a:ext uri="{FF2B5EF4-FFF2-40B4-BE49-F238E27FC236}">
                  <a16:creationId xmlns:a16="http://schemas.microsoft.com/office/drawing/2014/main" id="{00000000-0008-0000-0000-00003A04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7620</xdr:colOff>
          <xdr:row>48</xdr:row>
          <xdr:rowOff>7620</xdr:rowOff>
        </xdr:from>
        <xdr:to>
          <xdr:col>11</xdr:col>
          <xdr:colOff>121920</xdr:colOff>
          <xdr:row>49</xdr:row>
          <xdr:rowOff>45720</xdr:rowOff>
        </xdr:to>
        <xdr:sp macro="" textlink="">
          <xdr:nvSpPr>
            <xdr:cNvPr id="1083" name="Check Box 59" hidden="1">
              <a:extLst>
                <a:ext uri="{63B3BB69-23CF-44E3-9099-C40C66FF867C}">
                  <a14:compatExt spid="_x0000_s1083"/>
                </a:ext>
                <a:ext uri="{FF2B5EF4-FFF2-40B4-BE49-F238E27FC236}">
                  <a16:creationId xmlns:a16="http://schemas.microsoft.com/office/drawing/2014/main" id="{00000000-0008-0000-0000-00003B04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7620</xdr:colOff>
          <xdr:row>49</xdr:row>
          <xdr:rowOff>7620</xdr:rowOff>
        </xdr:from>
        <xdr:to>
          <xdr:col>11</xdr:col>
          <xdr:colOff>121920</xdr:colOff>
          <xdr:row>50</xdr:row>
          <xdr:rowOff>45720</xdr:rowOff>
        </xdr:to>
        <xdr:sp macro="" textlink="">
          <xdr:nvSpPr>
            <xdr:cNvPr id="1084" name="Check Box 60" hidden="1">
              <a:extLst>
                <a:ext uri="{63B3BB69-23CF-44E3-9099-C40C66FF867C}">
                  <a14:compatExt spid="_x0000_s1084"/>
                </a:ext>
                <a:ext uri="{FF2B5EF4-FFF2-40B4-BE49-F238E27FC236}">
                  <a16:creationId xmlns:a16="http://schemas.microsoft.com/office/drawing/2014/main" id="{00000000-0008-0000-0000-00003C04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7620</xdr:colOff>
          <xdr:row>50</xdr:row>
          <xdr:rowOff>7620</xdr:rowOff>
        </xdr:from>
        <xdr:to>
          <xdr:col>11</xdr:col>
          <xdr:colOff>121920</xdr:colOff>
          <xdr:row>51</xdr:row>
          <xdr:rowOff>45720</xdr:rowOff>
        </xdr:to>
        <xdr:sp macro="" textlink="">
          <xdr:nvSpPr>
            <xdr:cNvPr id="1085" name="Check Box 61" hidden="1">
              <a:extLst>
                <a:ext uri="{63B3BB69-23CF-44E3-9099-C40C66FF867C}">
                  <a14:compatExt spid="_x0000_s1085"/>
                </a:ext>
                <a:ext uri="{FF2B5EF4-FFF2-40B4-BE49-F238E27FC236}">
                  <a16:creationId xmlns:a16="http://schemas.microsoft.com/office/drawing/2014/main" id="{00000000-0008-0000-0000-00003D04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7620</xdr:colOff>
          <xdr:row>51</xdr:row>
          <xdr:rowOff>7620</xdr:rowOff>
        </xdr:from>
        <xdr:to>
          <xdr:col>11</xdr:col>
          <xdr:colOff>121920</xdr:colOff>
          <xdr:row>52</xdr:row>
          <xdr:rowOff>45720</xdr:rowOff>
        </xdr:to>
        <xdr:sp macro="" textlink="">
          <xdr:nvSpPr>
            <xdr:cNvPr id="1086" name="Check Box 62" hidden="1">
              <a:extLst>
                <a:ext uri="{63B3BB69-23CF-44E3-9099-C40C66FF867C}">
                  <a14:compatExt spid="_x0000_s1086"/>
                </a:ext>
                <a:ext uri="{FF2B5EF4-FFF2-40B4-BE49-F238E27FC236}">
                  <a16:creationId xmlns:a16="http://schemas.microsoft.com/office/drawing/2014/main" id="{00000000-0008-0000-0000-00003E04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7620</xdr:colOff>
          <xdr:row>48</xdr:row>
          <xdr:rowOff>7620</xdr:rowOff>
        </xdr:from>
        <xdr:to>
          <xdr:col>13</xdr:col>
          <xdr:colOff>525780</xdr:colOff>
          <xdr:row>49</xdr:row>
          <xdr:rowOff>45720</xdr:rowOff>
        </xdr:to>
        <xdr:sp macro="" textlink="">
          <xdr:nvSpPr>
            <xdr:cNvPr id="1087" name="Check Box 63" hidden="1">
              <a:extLst>
                <a:ext uri="{63B3BB69-23CF-44E3-9099-C40C66FF867C}">
                  <a14:compatExt spid="_x0000_s1087"/>
                </a:ext>
                <a:ext uri="{FF2B5EF4-FFF2-40B4-BE49-F238E27FC236}">
                  <a16:creationId xmlns:a16="http://schemas.microsoft.com/office/drawing/2014/main" id="{00000000-0008-0000-0000-00003F04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7620</xdr:colOff>
          <xdr:row>49</xdr:row>
          <xdr:rowOff>7620</xdr:rowOff>
        </xdr:from>
        <xdr:to>
          <xdr:col>13</xdr:col>
          <xdr:colOff>525780</xdr:colOff>
          <xdr:row>50</xdr:row>
          <xdr:rowOff>45720</xdr:rowOff>
        </xdr:to>
        <xdr:sp macro="" textlink="">
          <xdr:nvSpPr>
            <xdr:cNvPr id="1088" name="Check Box 64" hidden="1">
              <a:extLst>
                <a:ext uri="{63B3BB69-23CF-44E3-9099-C40C66FF867C}">
                  <a14:compatExt spid="_x0000_s1088"/>
                </a:ext>
                <a:ext uri="{FF2B5EF4-FFF2-40B4-BE49-F238E27FC236}">
                  <a16:creationId xmlns:a16="http://schemas.microsoft.com/office/drawing/2014/main" id="{00000000-0008-0000-0000-00004004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7620</xdr:colOff>
          <xdr:row>50</xdr:row>
          <xdr:rowOff>7620</xdr:rowOff>
        </xdr:from>
        <xdr:to>
          <xdr:col>13</xdr:col>
          <xdr:colOff>525780</xdr:colOff>
          <xdr:row>51</xdr:row>
          <xdr:rowOff>45720</xdr:rowOff>
        </xdr:to>
        <xdr:sp macro="" textlink="">
          <xdr:nvSpPr>
            <xdr:cNvPr id="1089" name="Check Box 65" hidden="1">
              <a:extLst>
                <a:ext uri="{63B3BB69-23CF-44E3-9099-C40C66FF867C}">
                  <a14:compatExt spid="_x0000_s1089"/>
                </a:ext>
                <a:ext uri="{FF2B5EF4-FFF2-40B4-BE49-F238E27FC236}">
                  <a16:creationId xmlns:a16="http://schemas.microsoft.com/office/drawing/2014/main" id="{00000000-0008-0000-0000-00004104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7620</xdr:colOff>
          <xdr:row>51</xdr:row>
          <xdr:rowOff>7620</xdr:rowOff>
        </xdr:from>
        <xdr:to>
          <xdr:col>13</xdr:col>
          <xdr:colOff>525780</xdr:colOff>
          <xdr:row>52</xdr:row>
          <xdr:rowOff>45720</xdr:rowOff>
        </xdr:to>
        <xdr:sp macro="" textlink="">
          <xdr:nvSpPr>
            <xdr:cNvPr id="1090" name="Check Box 66" hidden="1">
              <a:extLst>
                <a:ext uri="{63B3BB69-23CF-44E3-9099-C40C66FF867C}">
                  <a14:compatExt spid="_x0000_s1090"/>
                </a:ext>
                <a:ext uri="{FF2B5EF4-FFF2-40B4-BE49-F238E27FC236}">
                  <a16:creationId xmlns:a16="http://schemas.microsoft.com/office/drawing/2014/main" id="{00000000-0008-0000-0000-00004204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7620</xdr:colOff>
          <xdr:row>48</xdr:row>
          <xdr:rowOff>7620</xdr:rowOff>
        </xdr:from>
        <xdr:to>
          <xdr:col>15</xdr:col>
          <xdr:colOff>525780</xdr:colOff>
          <xdr:row>49</xdr:row>
          <xdr:rowOff>45720</xdr:rowOff>
        </xdr:to>
        <xdr:sp macro="" textlink="">
          <xdr:nvSpPr>
            <xdr:cNvPr id="1091" name="Check Box 67" hidden="1">
              <a:extLst>
                <a:ext uri="{63B3BB69-23CF-44E3-9099-C40C66FF867C}">
                  <a14:compatExt spid="_x0000_s1091"/>
                </a:ext>
                <a:ext uri="{FF2B5EF4-FFF2-40B4-BE49-F238E27FC236}">
                  <a16:creationId xmlns:a16="http://schemas.microsoft.com/office/drawing/2014/main" id="{00000000-0008-0000-0000-00004304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7620</xdr:colOff>
          <xdr:row>49</xdr:row>
          <xdr:rowOff>7620</xdr:rowOff>
        </xdr:from>
        <xdr:to>
          <xdr:col>15</xdr:col>
          <xdr:colOff>525780</xdr:colOff>
          <xdr:row>50</xdr:row>
          <xdr:rowOff>45720</xdr:rowOff>
        </xdr:to>
        <xdr:sp macro="" textlink="">
          <xdr:nvSpPr>
            <xdr:cNvPr id="1092" name="Check Box 68" hidden="1">
              <a:extLst>
                <a:ext uri="{63B3BB69-23CF-44E3-9099-C40C66FF867C}">
                  <a14:compatExt spid="_x0000_s1092"/>
                </a:ext>
                <a:ext uri="{FF2B5EF4-FFF2-40B4-BE49-F238E27FC236}">
                  <a16:creationId xmlns:a16="http://schemas.microsoft.com/office/drawing/2014/main" id="{00000000-0008-0000-0000-00004404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7620</xdr:colOff>
          <xdr:row>50</xdr:row>
          <xdr:rowOff>7620</xdr:rowOff>
        </xdr:from>
        <xdr:to>
          <xdr:col>15</xdr:col>
          <xdr:colOff>525780</xdr:colOff>
          <xdr:row>51</xdr:row>
          <xdr:rowOff>45720</xdr:rowOff>
        </xdr:to>
        <xdr:sp macro="" textlink="">
          <xdr:nvSpPr>
            <xdr:cNvPr id="1093" name="Check Box 69" hidden="1">
              <a:extLst>
                <a:ext uri="{63B3BB69-23CF-44E3-9099-C40C66FF867C}">
                  <a14:compatExt spid="_x0000_s1093"/>
                </a:ext>
                <a:ext uri="{FF2B5EF4-FFF2-40B4-BE49-F238E27FC236}">
                  <a16:creationId xmlns:a16="http://schemas.microsoft.com/office/drawing/2014/main" id="{00000000-0008-0000-0000-00004504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7620</xdr:colOff>
          <xdr:row>51</xdr:row>
          <xdr:rowOff>7620</xdr:rowOff>
        </xdr:from>
        <xdr:to>
          <xdr:col>15</xdr:col>
          <xdr:colOff>525780</xdr:colOff>
          <xdr:row>52</xdr:row>
          <xdr:rowOff>45720</xdr:rowOff>
        </xdr:to>
        <xdr:sp macro="" textlink="">
          <xdr:nvSpPr>
            <xdr:cNvPr id="1094" name="Check Box 70" hidden="1">
              <a:extLst>
                <a:ext uri="{63B3BB69-23CF-44E3-9099-C40C66FF867C}">
                  <a14:compatExt spid="_x0000_s1094"/>
                </a:ext>
                <a:ext uri="{FF2B5EF4-FFF2-40B4-BE49-F238E27FC236}">
                  <a16:creationId xmlns:a16="http://schemas.microsoft.com/office/drawing/2014/main" id="{00000000-0008-0000-0000-00004604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16</xdr:col>
          <xdr:colOff>7620</xdr:colOff>
          <xdr:row>48</xdr:row>
          <xdr:rowOff>7620</xdr:rowOff>
        </xdr:from>
        <xdr:to>
          <xdr:col>17</xdr:col>
          <xdr:colOff>449580</xdr:colOff>
          <xdr:row>49</xdr:row>
          <xdr:rowOff>45720</xdr:rowOff>
        </xdr:to>
        <xdr:sp macro="" textlink="">
          <xdr:nvSpPr>
            <xdr:cNvPr id="1095" name="Check Box 71" hidden="1">
              <a:extLst>
                <a:ext uri="{63B3BB69-23CF-44E3-9099-C40C66FF867C}">
                  <a14:compatExt spid="_x0000_s1095"/>
                </a:ext>
                <a:ext uri="{FF2B5EF4-FFF2-40B4-BE49-F238E27FC236}">
                  <a16:creationId xmlns:a16="http://schemas.microsoft.com/office/drawing/2014/main" id="{00000000-0008-0000-0000-00004704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16</xdr:col>
          <xdr:colOff>7620</xdr:colOff>
          <xdr:row>49</xdr:row>
          <xdr:rowOff>7620</xdr:rowOff>
        </xdr:from>
        <xdr:to>
          <xdr:col>17</xdr:col>
          <xdr:colOff>449580</xdr:colOff>
          <xdr:row>50</xdr:row>
          <xdr:rowOff>45720</xdr:rowOff>
        </xdr:to>
        <xdr:sp macro="" textlink="">
          <xdr:nvSpPr>
            <xdr:cNvPr id="1096" name="Check Box 72" hidden="1">
              <a:extLst>
                <a:ext uri="{63B3BB69-23CF-44E3-9099-C40C66FF867C}">
                  <a14:compatExt spid="_x0000_s1096"/>
                </a:ext>
                <a:ext uri="{FF2B5EF4-FFF2-40B4-BE49-F238E27FC236}">
                  <a16:creationId xmlns:a16="http://schemas.microsoft.com/office/drawing/2014/main" id="{00000000-0008-0000-0000-00004804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16</xdr:col>
          <xdr:colOff>7620</xdr:colOff>
          <xdr:row>50</xdr:row>
          <xdr:rowOff>7620</xdr:rowOff>
        </xdr:from>
        <xdr:to>
          <xdr:col>17</xdr:col>
          <xdr:colOff>449580</xdr:colOff>
          <xdr:row>51</xdr:row>
          <xdr:rowOff>45720</xdr:rowOff>
        </xdr:to>
        <xdr:sp macro="" textlink="">
          <xdr:nvSpPr>
            <xdr:cNvPr id="1097" name="Check Box 73" hidden="1">
              <a:extLst>
                <a:ext uri="{63B3BB69-23CF-44E3-9099-C40C66FF867C}">
                  <a14:compatExt spid="_x0000_s1097"/>
                </a:ext>
                <a:ext uri="{FF2B5EF4-FFF2-40B4-BE49-F238E27FC236}">
                  <a16:creationId xmlns:a16="http://schemas.microsoft.com/office/drawing/2014/main" id="{00000000-0008-0000-0000-00004904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16</xdr:col>
          <xdr:colOff>7620</xdr:colOff>
          <xdr:row>51</xdr:row>
          <xdr:rowOff>7620</xdr:rowOff>
        </xdr:from>
        <xdr:to>
          <xdr:col>17</xdr:col>
          <xdr:colOff>449580</xdr:colOff>
          <xdr:row>52</xdr:row>
          <xdr:rowOff>45720</xdr:rowOff>
        </xdr:to>
        <xdr:sp macro="" textlink="">
          <xdr:nvSpPr>
            <xdr:cNvPr id="1098" name="Check Box 74" hidden="1">
              <a:extLst>
                <a:ext uri="{63B3BB69-23CF-44E3-9099-C40C66FF867C}">
                  <a14:compatExt spid="_x0000_s1098"/>
                </a:ext>
                <a:ext uri="{FF2B5EF4-FFF2-40B4-BE49-F238E27FC236}">
                  <a16:creationId xmlns:a16="http://schemas.microsoft.com/office/drawing/2014/main" id="{00000000-0008-0000-0000-00004A04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18</xdr:col>
          <xdr:colOff>7620</xdr:colOff>
          <xdr:row>48</xdr:row>
          <xdr:rowOff>7620</xdr:rowOff>
        </xdr:from>
        <xdr:to>
          <xdr:col>19</xdr:col>
          <xdr:colOff>525780</xdr:colOff>
          <xdr:row>49</xdr:row>
          <xdr:rowOff>45720</xdr:rowOff>
        </xdr:to>
        <xdr:sp macro="" textlink="">
          <xdr:nvSpPr>
            <xdr:cNvPr id="1099" name="Check Box 75" hidden="1">
              <a:extLst>
                <a:ext uri="{63B3BB69-23CF-44E3-9099-C40C66FF867C}">
                  <a14:compatExt spid="_x0000_s1099"/>
                </a:ext>
                <a:ext uri="{FF2B5EF4-FFF2-40B4-BE49-F238E27FC236}">
                  <a16:creationId xmlns:a16="http://schemas.microsoft.com/office/drawing/2014/main" id="{00000000-0008-0000-0000-00004B04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18</xdr:col>
          <xdr:colOff>7620</xdr:colOff>
          <xdr:row>49</xdr:row>
          <xdr:rowOff>7620</xdr:rowOff>
        </xdr:from>
        <xdr:to>
          <xdr:col>19</xdr:col>
          <xdr:colOff>525780</xdr:colOff>
          <xdr:row>50</xdr:row>
          <xdr:rowOff>45720</xdr:rowOff>
        </xdr:to>
        <xdr:sp macro="" textlink="">
          <xdr:nvSpPr>
            <xdr:cNvPr id="1100" name="Check Box 76" hidden="1">
              <a:extLst>
                <a:ext uri="{63B3BB69-23CF-44E3-9099-C40C66FF867C}">
                  <a14:compatExt spid="_x0000_s1100"/>
                </a:ext>
                <a:ext uri="{FF2B5EF4-FFF2-40B4-BE49-F238E27FC236}">
                  <a16:creationId xmlns:a16="http://schemas.microsoft.com/office/drawing/2014/main" id="{00000000-0008-0000-0000-00004C04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18</xdr:col>
          <xdr:colOff>7620</xdr:colOff>
          <xdr:row>50</xdr:row>
          <xdr:rowOff>7620</xdr:rowOff>
        </xdr:from>
        <xdr:to>
          <xdr:col>19</xdr:col>
          <xdr:colOff>525780</xdr:colOff>
          <xdr:row>51</xdr:row>
          <xdr:rowOff>45720</xdr:rowOff>
        </xdr:to>
        <xdr:sp macro="" textlink="">
          <xdr:nvSpPr>
            <xdr:cNvPr id="1101" name="Check Box 77" hidden="1">
              <a:extLst>
                <a:ext uri="{63B3BB69-23CF-44E3-9099-C40C66FF867C}">
                  <a14:compatExt spid="_x0000_s1101"/>
                </a:ext>
                <a:ext uri="{FF2B5EF4-FFF2-40B4-BE49-F238E27FC236}">
                  <a16:creationId xmlns:a16="http://schemas.microsoft.com/office/drawing/2014/main" id="{00000000-0008-0000-0000-00004D04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18</xdr:col>
          <xdr:colOff>7620</xdr:colOff>
          <xdr:row>51</xdr:row>
          <xdr:rowOff>7620</xdr:rowOff>
        </xdr:from>
        <xdr:to>
          <xdr:col>19</xdr:col>
          <xdr:colOff>525780</xdr:colOff>
          <xdr:row>52</xdr:row>
          <xdr:rowOff>45720</xdr:rowOff>
        </xdr:to>
        <xdr:sp macro="" textlink="">
          <xdr:nvSpPr>
            <xdr:cNvPr id="1102" name="Check Box 78" hidden="1">
              <a:extLst>
                <a:ext uri="{63B3BB69-23CF-44E3-9099-C40C66FF867C}">
                  <a14:compatExt spid="_x0000_s1102"/>
                </a:ext>
                <a:ext uri="{FF2B5EF4-FFF2-40B4-BE49-F238E27FC236}">
                  <a16:creationId xmlns:a16="http://schemas.microsoft.com/office/drawing/2014/main" id="{00000000-0008-0000-0000-00004E04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20</xdr:col>
          <xdr:colOff>7620</xdr:colOff>
          <xdr:row>48</xdr:row>
          <xdr:rowOff>7620</xdr:rowOff>
        </xdr:from>
        <xdr:to>
          <xdr:col>20</xdr:col>
          <xdr:colOff>1135380</xdr:colOff>
          <xdr:row>49</xdr:row>
          <xdr:rowOff>45720</xdr:rowOff>
        </xdr:to>
        <xdr:sp macro="" textlink="">
          <xdr:nvSpPr>
            <xdr:cNvPr id="1103" name="Check Box 79" hidden="1">
              <a:extLst>
                <a:ext uri="{63B3BB69-23CF-44E3-9099-C40C66FF867C}">
                  <a14:compatExt spid="_x0000_s1103"/>
                </a:ext>
                <a:ext uri="{FF2B5EF4-FFF2-40B4-BE49-F238E27FC236}">
                  <a16:creationId xmlns:a16="http://schemas.microsoft.com/office/drawing/2014/main" id="{00000000-0008-0000-0000-00004F04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20</xdr:col>
          <xdr:colOff>7620</xdr:colOff>
          <xdr:row>49</xdr:row>
          <xdr:rowOff>7620</xdr:rowOff>
        </xdr:from>
        <xdr:to>
          <xdr:col>20</xdr:col>
          <xdr:colOff>1135380</xdr:colOff>
          <xdr:row>50</xdr:row>
          <xdr:rowOff>45720</xdr:rowOff>
        </xdr:to>
        <xdr:sp macro="" textlink="">
          <xdr:nvSpPr>
            <xdr:cNvPr id="1104" name="Check Box 80" hidden="1">
              <a:extLst>
                <a:ext uri="{63B3BB69-23CF-44E3-9099-C40C66FF867C}">
                  <a14:compatExt spid="_x0000_s1104"/>
                </a:ext>
                <a:ext uri="{FF2B5EF4-FFF2-40B4-BE49-F238E27FC236}">
                  <a16:creationId xmlns:a16="http://schemas.microsoft.com/office/drawing/2014/main" id="{00000000-0008-0000-0000-00005004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20</xdr:col>
          <xdr:colOff>7620</xdr:colOff>
          <xdr:row>50</xdr:row>
          <xdr:rowOff>7620</xdr:rowOff>
        </xdr:from>
        <xdr:to>
          <xdr:col>20</xdr:col>
          <xdr:colOff>1135380</xdr:colOff>
          <xdr:row>51</xdr:row>
          <xdr:rowOff>45720</xdr:rowOff>
        </xdr:to>
        <xdr:sp macro="" textlink="">
          <xdr:nvSpPr>
            <xdr:cNvPr id="1105" name="Check Box 81" hidden="1">
              <a:extLst>
                <a:ext uri="{63B3BB69-23CF-44E3-9099-C40C66FF867C}">
                  <a14:compatExt spid="_x0000_s1105"/>
                </a:ext>
                <a:ext uri="{FF2B5EF4-FFF2-40B4-BE49-F238E27FC236}">
                  <a16:creationId xmlns:a16="http://schemas.microsoft.com/office/drawing/2014/main" id="{00000000-0008-0000-0000-00005104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20</xdr:col>
          <xdr:colOff>7620</xdr:colOff>
          <xdr:row>51</xdr:row>
          <xdr:rowOff>7620</xdr:rowOff>
        </xdr:from>
        <xdr:to>
          <xdr:col>20</xdr:col>
          <xdr:colOff>1135380</xdr:colOff>
          <xdr:row>52</xdr:row>
          <xdr:rowOff>45720</xdr:rowOff>
        </xdr:to>
        <xdr:sp macro="" textlink="">
          <xdr:nvSpPr>
            <xdr:cNvPr id="1106" name="Check Box 82" hidden="1">
              <a:extLst>
                <a:ext uri="{63B3BB69-23CF-44E3-9099-C40C66FF867C}">
                  <a14:compatExt spid="_x0000_s1106"/>
                </a:ext>
                <a:ext uri="{FF2B5EF4-FFF2-40B4-BE49-F238E27FC236}">
                  <a16:creationId xmlns:a16="http://schemas.microsoft.com/office/drawing/2014/main" id="{00000000-0008-0000-0000-00005204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22</xdr:col>
          <xdr:colOff>7620</xdr:colOff>
          <xdr:row>48</xdr:row>
          <xdr:rowOff>7620</xdr:rowOff>
        </xdr:from>
        <xdr:to>
          <xdr:col>23</xdr:col>
          <xdr:colOff>525780</xdr:colOff>
          <xdr:row>49</xdr:row>
          <xdr:rowOff>45720</xdr:rowOff>
        </xdr:to>
        <xdr:sp macro="" textlink="">
          <xdr:nvSpPr>
            <xdr:cNvPr id="1107" name="Check Box 83" hidden="1">
              <a:extLst>
                <a:ext uri="{63B3BB69-23CF-44E3-9099-C40C66FF867C}">
                  <a14:compatExt spid="_x0000_s1107"/>
                </a:ext>
                <a:ext uri="{FF2B5EF4-FFF2-40B4-BE49-F238E27FC236}">
                  <a16:creationId xmlns:a16="http://schemas.microsoft.com/office/drawing/2014/main" id="{00000000-0008-0000-0000-00005304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22</xdr:col>
          <xdr:colOff>7620</xdr:colOff>
          <xdr:row>49</xdr:row>
          <xdr:rowOff>7620</xdr:rowOff>
        </xdr:from>
        <xdr:to>
          <xdr:col>23</xdr:col>
          <xdr:colOff>525780</xdr:colOff>
          <xdr:row>50</xdr:row>
          <xdr:rowOff>45720</xdr:rowOff>
        </xdr:to>
        <xdr:sp macro="" textlink="">
          <xdr:nvSpPr>
            <xdr:cNvPr id="1108" name="Check Box 84" hidden="1">
              <a:extLst>
                <a:ext uri="{63B3BB69-23CF-44E3-9099-C40C66FF867C}">
                  <a14:compatExt spid="_x0000_s1108"/>
                </a:ext>
                <a:ext uri="{FF2B5EF4-FFF2-40B4-BE49-F238E27FC236}">
                  <a16:creationId xmlns:a16="http://schemas.microsoft.com/office/drawing/2014/main" id="{00000000-0008-0000-0000-00005404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22</xdr:col>
          <xdr:colOff>7620</xdr:colOff>
          <xdr:row>50</xdr:row>
          <xdr:rowOff>7620</xdr:rowOff>
        </xdr:from>
        <xdr:to>
          <xdr:col>23</xdr:col>
          <xdr:colOff>525780</xdr:colOff>
          <xdr:row>51</xdr:row>
          <xdr:rowOff>45720</xdr:rowOff>
        </xdr:to>
        <xdr:sp macro="" textlink="">
          <xdr:nvSpPr>
            <xdr:cNvPr id="1109" name="Check Box 85" hidden="1">
              <a:extLst>
                <a:ext uri="{63B3BB69-23CF-44E3-9099-C40C66FF867C}">
                  <a14:compatExt spid="_x0000_s1109"/>
                </a:ext>
                <a:ext uri="{FF2B5EF4-FFF2-40B4-BE49-F238E27FC236}">
                  <a16:creationId xmlns:a16="http://schemas.microsoft.com/office/drawing/2014/main" id="{00000000-0008-0000-0000-00005504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22</xdr:col>
          <xdr:colOff>7620</xdr:colOff>
          <xdr:row>51</xdr:row>
          <xdr:rowOff>7620</xdr:rowOff>
        </xdr:from>
        <xdr:to>
          <xdr:col>23</xdr:col>
          <xdr:colOff>525780</xdr:colOff>
          <xdr:row>52</xdr:row>
          <xdr:rowOff>45720</xdr:rowOff>
        </xdr:to>
        <xdr:sp macro="" textlink="">
          <xdr:nvSpPr>
            <xdr:cNvPr id="1110" name="Check Box 86" hidden="1">
              <a:extLst>
                <a:ext uri="{63B3BB69-23CF-44E3-9099-C40C66FF867C}">
                  <a14:compatExt spid="_x0000_s1110"/>
                </a:ext>
                <a:ext uri="{FF2B5EF4-FFF2-40B4-BE49-F238E27FC236}">
                  <a16:creationId xmlns:a16="http://schemas.microsoft.com/office/drawing/2014/main" id="{00000000-0008-0000-0000-00005604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xdr:twoCellAnchor>
    <xdr:from>
      <xdr:col>1</xdr:col>
      <xdr:colOff>26894</xdr:colOff>
      <xdr:row>70</xdr:row>
      <xdr:rowOff>0</xdr:rowOff>
    </xdr:from>
    <xdr:to>
      <xdr:col>11</xdr:col>
      <xdr:colOff>573742</xdr:colOff>
      <xdr:row>72</xdr:row>
      <xdr:rowOff>17929</xdr:rowOff>
    </xdr:to>
    <xdr:sp macro="" textlink="">
      <xdr:nvSpPr>
        <xdr:cNvPr id="92" name="Serbest Form: Şekil 91">
          <a:extLst>
            <a:ext uri="{FF2B5EF4-FFF2-40B4-BE49-F238E27FC236}">
              <a16:creationId xmlns:a16="http://schemas.microsoft.com/office/drawing/2014/main" id="{00000000-0008-0000-0000-00005C000000}"/>
            </a:ext>
          </a:extLst>
        </xdr:cNvPr>
        <xdr:cNvSpPr/>
      </xdr:nvSpPr>
      <xdr:spPr>
        <a:xfrm>
          <a:off x="636494" y="13159740"/>
          <a:ext cx="12106388" cy="391309"/>
        </a:xfrm>
        <a:custGeom>
          <a:avLst/>
          <a:gdLst>
            <a:gd name="connsiteX0" fmla="*/ 0 w 11170024"/>
            <a:gd name="connsiteY0" fmla="*/ 0 h 385482"/>
            <a:gd name="connsiteX1" fmla="*/ 8965 w 11170024"/>
            <a:gd name="connsiteY1" fmla="*/ 44823 h 385482"/>
            <a:gd name="connsiteX2" fmla="*/ 224118 w 11170024"/>
            <a:gd name="connsiteY2" fmla="*/ 161365 h 385482"/>
            <a:gd name="connsiteX3" fmla="*/ 1066800 w 11170024"/>
            <a:gd name="connsiteY3" fmla="*/ 170329 h 385482"/>
            <a:gd name="connsiteX4" fmla="*/ 2268071 w 11170024"/>
            <a:gd name="connsiteY4" fmla="*/ 134471 h 385482"/>
            <a:gd name="connsiteX5" fmla="*/ 2770094 w 11170024"/>
            <a:gd name="connsiteY5" fmla="*/ 98612 h 385482"/>
            <a:gd name="connsiteX6" fmla="*/ 3056965 w 11170024"/>
            <a:gd name="connsiteY6" fmla="*/ 89647 h 385482"/>
            <a:gd name="connsiteX7" fmla="*/ 4347882 w 11170024"/>
            <a:gd name="connsiteY7" fmla="*/ 116541 h 385482"/>
            <a:gd name="connsiteX8" fmla="*/ 5074024 w 11170024"/>
            <a:gd name="connsiteY8" fmla="*/ 233082 h 385482"/>
            <a:gd name="connsiteX9" fmla="*/ 5253318 w 11170024"/>
            <a:gd name="connsiteY9" fmla="*/ 304800 h 385482"/>
            <a:gd name="connsiteX10" fmla="*/ 5316071 w 11170024"/>
            <a:gd name="connsiteY10" fmla="*/ 385482 h 385482"/>
            <a:gd name="connsiteX11" fmla="*/ 5325035 w 11170024"/>
            <a:gd name="connsiteY11" fmla="*/ 304800 h 385482"/>
            <a:gd name="connsiteX12" fmla="*/ 5342965 w 11170024"/>
            <a:gd name="connsiteY12" fmla="*/ 277906 h 385482"/>
            <a:gd name="connsiteX13" fmla="*/ 5468471 w 11170024"/>
            <a:gd name="connsiteY13" fmla="*/ 224118 h 385482"/>
            <a:gd name="connsiteX14" fmla="*/ 6033247 w 11170024"/>
            <a:gd name="connsiteY14" fmla="*/ 233082 h 385482"/>
            <a:gd name="connsiteX15" fmla="*/ 7942730 w 11170024"/>
            <a:gd name="connsiteY15" fmla="*/ 251012 h 385482"/>
            <a:gd name="connsiteX16" fmla="*/ 8211671 w 11170024"/>
            <a:gd name="connsiteY16" fmla="*/ 259976 h 385482"/>
            <a:gd name="connsiteX17" fmla="*/ 8426824 w 11170024"/>
            <a:gd name="connsiteY17" fmla="*/ 268941 h 385482"/>
            <a:gd name="connsiteX18" fmla="*/ 10461812 w 11170024"/>
            <a:gd name="connsiteY18" fmla="*/ 251012 h 385482"/>
            <a:gd name="connsiteX19" fmla="*/ 10793506 w 11170024"/>
            <a:gd name="connsiteY19" fmla="*/ 233082 h 385482"/>
            <a:gd name="connsiteX20" fmla="*/ 10945906 w 11170024"/>
            <a:gd name="connsiteY20" fmla="*/ 206188 h 385482"/>
            <a:gd name="connsiteX21" fmla="*/ 10981765 w 11170024"/>
            <a:gd name="connsiteY21" fmla="*/ 197223 h 385482"/>
            <a:gd name="connsiteX22" fmla="*/ 11017624 w 11170024"/>
            <a:gd name="connsiteY22" fmla="*/ 179294 h 385482"/>
            <a:gd name="connsiteX23" fmla="*/ 11089341 w 11170024"/>
            <a:gd name="connsiteY23" fmla="*/ 125506 h 385482"/>
            <a:gd name="connsiteX24" fmla="*/ 11116235 w 11170024"/>
            <a:gd name="connsiteY24" fmla="*/ 89647 h 385482"/>
            <a:gd name="connsiteX25" fmla="*/ 11143130 w 11170024"/>
            <a:gd name="connsiteY25" fmla="*/ 62753 h 385482"/>
            <a:gd name="connsiteX26" fmla="*/ 11170024 w 11170024"/>
            <a:gd name="connsiteY26" fmla="*/ 26894 h 385482"/>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Lst>
          <a:rect l="l" t="t" r="r" b="b"/>
          <a:pathLst>
            <a:path w="11170024" h="385482">
              <a:moveTo>
                <a:pt x="0" y="0"/>
              </a:moveTo>
              <a:cubicBezTo>
                <a:pt x="2988" y="14941"/>
                <a:pt x="513" y="32145"/>
                <a:pt x="8965" y="44823"/>
              </a:cubicBezTo>
              <a:cubicBezTo>
                <a:pt x="54748" y="113496"/>
                <a:pt x="144097" y="156319"/>
                <a:pt x="224118" y="161365"/>
              </a:cubicBezTo>
              <a:cubicBezTo>
                <a:pt x="504471" y="179045"/>
                <a:pt x="785906" y="167341"/>
                <a:pt x="1066800" y="170329"/>
              </a:cubicBezTo>
              <a:lnTo>
                <a:pt x="2268071" y="134471"/>
              </a:lnTo>
              <a:cubicBezTo>
                <a:pt x="2435690" y="127413"/>
                <a:pt x="2602597" y="108129"/>
                <a:pt x="2770094" y="98612"/>
              </a:cubicBezTo>
              <a:cubicBezTo>
                <a:pt x="2865610" y="93185"/>
                <a:pt x="2961341" y="92635"/>
                <a:pt x="3056965" y="89647"/>
              </a:cubicBezTo>
              <a:cubicBezTo>
                <a:pt x="3487271" y="98612"/>
                <a:pt x="3917981" y="95851"/>
                <a:pt x="4347882" y="116541"/>
              </a:cubicBezTo>
              <a:cubicBezTo>
                <a:pt x="4511982" y="124439"/>
                <a:pt x="4904569" y="201867"/>
                <a:pt x="5074024" y="233082"/>
              </a:cubicBezTo>
              <a:cubicBezTo>
                <a:pt x="5133789" y="256988"/>
                <a:pt x="5198847" y="270504"/>
                <a:pt x="5253318" y="304800"/>
              </a:cubicBezTo>
              <a:cubicBezTo>
                <a:pt x="5282150" y="322954"/>
                <a:pt x="5282000" y="385482"/>
                <a:pt x="5316071" y="385482"/>
              </a:cubicBezTo>
              <a:cubicBezTo>
                <a:pt x="5343130" y="385482"/>
                <a:pt x="5318472" y="331052"/>
                <a:pt x="5325035" y="304800"/>
              </a:cubicBezTo>
              <a:cubicBezTo>
                <a:pt x="5327648" y="294347"/>
                <a:pt x="5335346" y="285525"/>
                <a:pt x="5342965" y="277906"/>
              </a:cubicBezTo>
              <a:cubicBezTo>
                <a:pt x="5392245" y="228626"/>
                <a:pt x="5393669" y="240740"/>
                <a:pt x="5468471" y="224118"/>
              </a:cubicBezTo>
              <a:lnTo>
                <a:pt x="6033247" y="233082"/>
              </a:lnTo>
              <a:lnTo>
                <a:pt x="7942730" y="251012"/>
              </a:lnTo>
              <a:lnTo>
                <a:pt x="8211671" y="259976"/>
              </a:lnTo>
              <a:cubicBezTo>
                <a:pt x="8283402" y="262633"/>
                <a:pt x="8355045" y="269227"/>
                <a:pt x="8426824" y="268941"/>
              </a:cubicBezTo>
              <a:lnTo>
                <a:pt x="10461812" y="251012"/>
              </a:lnTo>
              <a:cubicBezTo>
                <a:pt x="10495520" y="249546"/>
                <a:pt x="10730083" y="241266"/>
                <a:pt x="10793506" y="233082"/>
              </a:cubicBezTo>
              <a:cubicBezTo>
                <a:pt x="10844667" y="226481"/>
                <a:pt x="10895861" y="218700"/>
                <a:pt x="10945906" y="206188"/>
              </a:cubicBezTo>
              <a:cubicBezTo>
                <a:pt x="10957859" y="203200"/>
                <a:pt x="10970229" y="201549"/>
                <a:pt x="10981765" y="197223"/>
              </a:cubicBezTo>
              <a:cubicBezTo>
                <a:pt x="10994278" y="192531"/>
                <a:pt x="11005942" y="185784"/>
                <a:pt x="11017624" y="179294"/>
              </a:cubicBezTo>
              <a:cubicBezTo>
                <a:pt x="11054568" y="158770"/>
                <a:pt x="11063769" y="155340"/>
                <a:pt x="11089341" y="125506"/>
              </a:cubicBezTo>
              <a:cubicBezTo>
                <a:pt x="11099065" y="114162"/>
                <a:pt x="11106511" y="100991"/>
                <a:pt x="11116235" y="89647"/>
              </a:cubicBezTo>
              <a:cubicBezTo>
                <a:pt x="11124486" y="80021"/>
                <a:pt x="11134879" y="72379"/>
                <a:pt x="11143130" y="62753"/>
              </a:cubicBezTo>
              <a:cubicBezTo>
                <a:pt x="11152854" y="51409"/>
                <a:pt x="11170024" y="26894"/>
                <a:pt x="11170024" y="26894"/>
              </a:cubicBezTo>
            </a:path>
          </a:pathLst>
        </a:cu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US" sz="1100"/>
        </a:p>
      </xdr:txBody>
    </xdr:sp>
    <xdr:clientData/>
  </xdr:twoCellAnchor>
  <xdr:twoCellAnchor>
    <xdr:from>
      <xdr:col>4</xdr:col>
      <xdr:colOff>986117</xdr:colOff>
      <xdr:row>72</xdr:row>
      <xdr:rowOff>17929</xdr:rowOff>
    </xdr:from>
    <xdr:to>
      <xdr:col>4</xdr:col>
      <xdr:colOff>1004047</xdr:colOff>
      <xdr:row>73</xdr:row>
      <xdr:rowOff>152400</xdr:rowOff>
    </xdr:to>
    <xdr:cxnSp macro="">
      <xdr:nvCxnSpPr>
        <xdr:cNvPr id="93" name="Düz Ok Bağlayıcısı 92">
          <a:extLst>
            <a:ext uri="{FF2B5EF4-FFF2-40B4-BE49-F238E27FC236}">
              <a16:creationId xmlns:a16="http://schemas.microsoft.com/office/drawing/2014/main" id="{00000000-0008-0000-0000-00005D000000}"/>
            </a:ext>
          </a:extLst>
        </xdr:cNvPr>
        <xdr:cNvCxnSpPr>
          <a:stCxn id="92" idx="10"/>
        </xdr:cNvCxnSpPr>
      </xdr:nvCxnSpPr>
      <xdr:spPr>
        <a:xfrm flipH="1">
          <a:off x="5939117" y="13551049"/>
          <a:ext cx="17930" cy="3173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448235</xdr:colOff>
      <xdr:row>83</xdr:row>
      <xdr:rowOff>0</xdr:rowOff>
    </xdr:from>
    <xdr:to>
      <xdr:col>10</xdr:col>
      <xdr:colOff>54611</xdr:colOff>
      <xdr:row>90</xdr:row>
      <xdr:rowOff>116541</xdr:rowOff>
    </xdr:to>
    <xdr:sp macro="" textlink="">
      <xdr:nvSpPr>
        <xdr:cNvPr id="94" name="Serbest Form: Şekil 93">
          <a:extLst>
            <a:ext uri="{FF2B5EF4-FFF2-40B4-BE49-F238E27FC236}">
              <a16:creationId xmlns:a16="http://schemas.microsoft.com/office/drawing/2014/main" id="{00000000-0008-0000-0000-00005E000000}"/>
            </a:ext>
          </a:extLst>
        </xdr:cNvPr>
        <xdr:cNvSpPr/>
      </xdr:nvSpPr>
      <xdr:spPr>
        <a:xfrm>
          <a:off x="10857155" y="15544800"/>
          <a:ext cx="353136" cy="1541481"/>
        </a:xfrm>
        <a:custGeom>
          <a:avLst/>
          <a:gdLst>
            <a:gd name="connsiteX0" fmla="*/ 322730 w 350446"/>
            <a:gd name="connsiteY0" fmla="*/ 0 h 1524000"/>
            <a:gd name="connsiteX1" fmla="*/ 251012 w 350446"/>
            <a:gd name="connsiteY1" fmla="*/ 17930 h 1524000"/>
            <a:gd name="connsiteX2" fmla="*/ 215153 w 350446"/>
            <a:gd name="connsiteY2" fmla="*/ 152400 h 1524000"/>
            <a:gd name="connsiteX3" fmla="*/ 188259 w 350446"/>
            <a:gd name="connsiteY3" fmla="*/ 708212 h 1524000"/>
            <a:gd name="connsiteX4" fmla="*/ 143435 w 350446"/>
            <a:gd name="connsiteY4" fmla="*/ 762000 h 1524000"/>
            <a:gd name="connsiteX5" fmla="*/ 35859 w 350446"/>
            <a:gd name="connsiteY5" fmla="*/ 779930 h 1524000"/>
            <a:gd name="connsiteX6" fmla="*/ 0 w 350446"/>
            <a:gd name="connsiteY6" fmla="*/ 788894 h 1524000"/>
            <a:gd name="connsiteX7" fmla="*/ 35859 w 350446"/>
            <a:gd name="connsiteY7" fmla="*/ 797859 h 1524000"/>
            <a:gd name="connsiteX8" fmla="*/ 134471 w 350446"/>
            <a:gd name="connsiteY8" fmla="*/ 896471 h 1524000"/>
            <a:gd name="connsiteX9" fmla="*/ 152400 w 350446"/>
            <a:gd name="connsiteY9" fmla="*/ 950259 h 1524000"/>
            <a:gd name="connsiteX10" fmla="*/ 170330 w 350446"/>
            <a:gd name="connsiteY10" fmla="*/ 1013012 h 1524000"/>
            <a:gd name="connsiteX11" fmla="*/ 188259 w 350446"/>
            <a:gd name="connsiteY11" fmla="*/ 1057835 h 1524000"/>
            <a:gd name="connsiteX12" fmla="*/ 197224 w 350446"/>
            <a:gd name="connsiteY12" fmla="*/ 1174377 h 1524000"/>
            <a:gd name="connsiteX13" fmla="*/ 206188 w 350446"/>
            <a:gd name="connsiteY13" fmla="*/ 1353671 h 1524000"/>
            <a:gd name="connsiteX14" fmla="*/ 233083 w 350446"/>
            <a:gd name="connsiteY14" fmla="*/ 1398494 h 1524000"/>
            <a:gd name="connsiteX15" fmla="*/ 286871 w 350446"/>
            <a:gd name="connsiteY15" fmla="*/ 1470212 h 1524000"/>
            <a:gd name="connsiteX16" fmla="*/ 304800 w 350446"/>
            <a:gd name="connsiteY16" fmla="*/ 1497106 h 1524000"/>
            <a:gd name="connsiteX17" fmla="*/ 340659 w 350446"/>
            <a:gd name="connsiteY17" fmla="*/ 1524000 h 152400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Lst>
          <a:rect l="l" t="t" r="r" b="b"/>
          <a:pathLst>
            <a:path w="350446" h="1524000">
              <a:moveTo>
                <a:pt x="322730" y="0"/>
              </a:moveTo>
              <a:cubicBezTo>
                <a:pt x="298824" y="5977"/>
                <a:pt x="270941" y="3436"/>
                <a:pt x="251012" y="17930"/>
              </a:cubicBezTo>
              <a:cubicBezTo>
                <a:pt x="218016" y="41927"/>
                <a:pt x="218233" y="124681"/>
                <a:pt x="215153" y="152400"/>
              </a:cubicBezTo>
              <a:cubicBezTo>
                <a:pt x="206188" y="337671"/>
                <a:pt x="202271" y="523255"/>
                <a:pt x="188259" y="708212"/>
              </a:cubicBezTo>
              <a:cubicBezTo>
                <a:pt x="186191" y="735511"/>
                <a:pt x="164777" y="751329"/>
                <a:pt x="143435" y="762000"/>
              </a:cubicBezTo>
              <a:cubicBezTo>
                <a:pt x="113396" y="777019"/>
                <a:pt x="61429" y="777089"/>
                <a:pt x="35859" y="779930"/>
              </a:cubicBezTo>
              <a:cubicBezTo>
                <a:pt x="23906" y="782918"/>
                <a:pt x="0" y="776573"/>
                <a:pt x="0" y="788894"/>
              </a:cubicBezTo>
              <a:cubicBezTo>
                <a:pt x="0" y="801215"/>
                <a:pt x="25294" y="791520"/>
                <a:pt x="35859" y="797859"/>
              </a:cubicBezTo>
              <a:cubicBezTo>
                <a:pt x="79685" y="824155"/>
                <a:pt x="102597" y="858223"/>
                <a:pt x="134471" y="896471"/>
              </a:cubicBezTo>
              <a:cubicBezTo>
                <a:pt x="140447" y="914400"/>
                <a:pt x="146842" y="932196"/>
                <a:pt x="152400" y="950259"/>
              </a:cubicBezTo>
              <a:cubicBezTo>
                <a:pt x="158798" y="971052"/>
                <a:pt x="163450" y="992374"/>
                <a:pt x="170330" y="1013012"/>
              </a:cubicBezTo>
              <a:cubicBezTo>
                <a:pt x="175419" y="1028278"/>
                <a:pt x="182283" y="1042894"/>
                <a:pt x="188259" y="1057835"/>
              </a:cubicBezTo>
              <a:cubicBezTo>
                <a:pt x="191247" y="1096682"/>
                <a:pt x="194867" y="1135486"/>
                <a:pt x="197224" y="1174377"/>
              </a:cubicBezTo>
              <a:cubicBezTo>
                <a:pt x="200844" y="1234107"/>
                <a:pt x="196734" y="1294583"/>
                <a:pt x="206188" y="1353671"/>
              </a:cubicBezTo>
              <a:cubicBezTo>
                <a:pt x="208941" y="1370876"/>
                <a:pt x="224621" y="1383263"/>
                <a:pt x="233083" y="1398494"/>
              </a:cubicBezTo>
              <a:cubicBezTo>
                <a:pt x="276051" y="1475836"/>
                <a:pt x="219452" y="1391556"/>
                <a:pt x="286871" y="1470212"/>
              </a:cubicBezTo>
              <a:cubicBezTo>
                <a:pt x="293883" y="1478392"/>
                <a:pt x="296033" y="1490844"/>
                <a:pt x="304800" y="1497106"/>
              </a:cubicBezTo>
              <a:cubicBezTo>
                <a:pt x="344611" y="1525542"/>
                <a:pt x="363350" y="1501309"/>
                <a:pt x="340659" y="1524000"/>
              </a:cubicBezTo>
            </a:path>
          </a:pathLst>
        </a:cu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US" sz="1100"/>
        </a:p>
      </xdr:txBody>
    </xdr:sp>
    <xdr:clientData/>
  </xdr:twoCellAnchor>
  <xdr:twoCellAnchor>
    <xdr:from>
      <xdr:col>9</xdr:col>
      <xdr:colOff>35859</xdr:colOff>
      <xdr:row>86</xdr:row>
      <xdr:rowOff>98611</xdr:rowOff>
    </xdr:from>
    <xdr:to>
      <xdr:col>9</xdr:col>
      <xdr:colOff>448235</xdr:colOff>
      <xdr:row>86</xdr:row>
      <xdr:rowOff>98611</xdr:rowOff>
    </xdr:to>
    <xdr:cxnSp macro="">
      <xdr:nvCxnSpPr>
        <xdr:cNvPr id="95" name="Düz Ok Bağlayıcısı 94">
          <a:extLst>
            <a:ext uri="{FF2B5EF4-FFF2-40B4-BE49-F238E27FC236}">
              <a16:creationId xmlns:a16="http://schemas.microsoft.com/office/drawing/2014/main" id="{00000000-0008-0000-0000-00005F000000}"/>
            </a:ext>
          </a:extLst>
        </xdr:cNvPr>
        <xdr:cNvCxnSpPr>
          <a:stCxn id="94" idx="6"/>
        </xdr:cNvCxnSpPr>
      </xdr:nvCxnSpPr>
      <xdr:spPr>
        <a:xfrm flipH="1">
          <a:off x="10444779" y="16336831"/>
          <a:ext cx="412376"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1</xdr:col>
      <xdr:colOff>0</xdr:colOff>
      <xdr:row>96</xdr:row>
      <xdr:rowOff>0</xdr:rowOff>
    </xdr:from>
    <xdr:to>
      <xdr:col>6</xdr:col>
      <xdr:colOff>267028</xdr:colOff>
      <xdr:row>118</xdr:row>
      <xdr:rowOff>170686</xdr:rowOff>
    </xdr:to>
    <xdr:pic>
      <xdr:nvPicPr>
        <xdr:cNvPr id="96" name="Resim 95">
          <a:extLst>
            <a:ext uri="{FF2B5EF4-FFF2-40B4-BE49-F238E27FC236}">
              <a16:creationId xmlns:a16="http://schemas.microsoft.com/office/drawing/2014/main" id="{00000000-0008-0000-0000-000060000000}"/>
            </a:ext>
          </a:extLst>
        </xdr:cNvPr>
        <xdr:cNvPicPr>
          <a:picLocks noChangeAspect="1"/>
        </xdr:cNvPicPr>
      </xdr:nvPicPr>
      <xdr:blipFill>
        <a:blip xmlns:r="http://schemas.openxmlformats.org/officeDocument/2006/relationships" r:embed="rId1"/>
        <a:stretch>
          <a:fillRect/>
        </a:stretch>
      </xdr:blipFill>
      <xdr:spPr>
        <a:xfrm>
          <a:off x="609600" y="18067020"/>
          <a:ext cx="6888808" cy="4194046"/>
        </a:xfrm>
        <a:prstGeom prst="rect">
          <a:avLst/>
        </a:prstGeom>
      </xdr:spPr>
    </xdr:pic>
    <xdr:clientData/>
  </xdr:twoCellAnchor>
  <xdr:twoCellAnchor>
    <xdr:from>
      <xdr:col>4</xdr:col>
      <xdr:colOff>259080</xdr:colOff>
      <xdr:row>26</xdr:row>
      <xdr:rowOff>116541</xdr:rowOff>
    </xdr:from>
    <xdr:to>
      <xdr:col>5</xdr:col>
      <xdr:colOff>546847</xdr:colOff>
      <xdr:row>31</xdr:row>
      <xdr:rowOff>74941</xdr:rowOff>
    </xdr:to>
    <xdr:cxnSp macro="">
      <xdr:nvCxnSpPr>
        <xdr:cNvPr id="97" name="Düz Ok Bağlayıcısı 96">
          <a:extLst>
            <a:ext uri="{FF2B5EF4-FFF2-40B4-BE49-F238E27FC236}">
              <a16:creationId xmlns:a16="http://schemas.microsoft.com/office/drawing/2014/main" id="{00000000-0008-0000-0000-000061000000}"/>
            </a:ext>
          </a:extLst>
        </xdr:cNvPr>
        <xdr:cNvCxnSpPr>
          <a:stCxn id="4" idx="8"/>
        </xdr:cNvCxnSpPr>
      </xdr:nvCxnSpPr>
      <xdr:spPr>
        <a:xfrm flipV="1">
          <a:off x="5212080" y="5023821"/>
          <a:ext cx="1971787" cy="8728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32458</xdr:colOff>
      <xdr:row>41</xdr:row>
      <xdr:rowOff>98612</xdr:rowOff>
    </xdr:from>
    <xdr:to>
      <xdr:col>8</xdr:col>
      <xdr:colOff>17929</xdr:colOff>
      <xdr:row>42</xdr:row>
      <xdr:rowOff>1816</xdr:rowOff>
    </xdr:to>
    <xdr:cxnSp macro="">
      <xdr:nvCxnSpPr>
        <xdr:cNvPr id="98" name="Düz Ok Bağlayıcısı 97">
          <a:extLst>
            <a:ext uri="{FF2B5EF4-FFF2-40B4-BE49-F238E27FC236}">
              <a16:creationId xmlns:a16="http://schemas.microsoft.com/office/drawing/2014/main" id="{00000000-0008-0000-0000-000062000000}"/>
            </a:ext>
          </a:extLst>
        </xdr:cNvPr>
        <xdr:cNvCxnSpPr>
          <a:stCxn id="5" idx="3"/>
        </xdr:cNvCxnSpPr>
      </xdr:nvCxnSpPr>
      <xdr:spPr>
        <a:xfrm flipV="1">
          <a:off x="4985458" y="7771952"/>
          <a:ext cx="4214571" cy="10132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1013011</xdr:colOff>
      <xdr:row>21</xdr:row>
      <xdr:rowOff>95208</xdr:rowOff>
    </xdr:from>
    <xdr:to>
      <xdr:col>18</xdr:col>
      <xdr:colOff>488525</xdr:colOff>
      <xdr:row>46</xdr:row>
      <xdr:rowOff>71718</xdr:rowOff>
    </xdr:to>
    <xdr:sp macro="" textlink="">
      <xdr:nvSpPr>
        <xdr:cNvPr id="99" name="Serbest Form: Şekil 98">
          <a:extLst>
            <a:ext uri="{FF2B5EF4-FFF2-40B4-BE49-F238E27FC236}">
              <a16:creationId xmlns:a16="http://schemas.microsoft.com/office/drawing/2014/main" id="{00000000-0008-0000-0000-000063000000}"/>
            </a:ext>
          </a:extLst>
        </xdr:cNvPr>
        <xdr:cNvSpPr/>
      </xdr:nvSpPr>
      <xdr:spPr>
        <a:xfrm>
          <a:off x="10195111" y="4057608"/>
          <a:ext cx="7583194" cy="4670430"/>
        </a:xfrm>
        <a:custGeom>
          <a:avLst/>
          <a:gdLst>
            <a:gd name="connsiteX0" fmla="*/ 385483 w 6216972"/>
            <a:gd name="connsiteY0" fmla="*/ 379921 h 4602298"/>
            <a:gd name="connsiteX1" fmla="*/ 519953 w 6216972"/>
            <a:gd name="connsiteY1" fmla="*/ 397851 h 4602298"/>
            <a:gd name="connsiteX2" fmla="*/ 672353 w 6216972"/>
            <a:gd name="connsiteY2" fmla="*/ 388886 h 4602298"/>
            <a:gd name="connsiteX3" fmla="*/ 815789 w 6216972"/>
            <a:gd name="connsiteY3" fmla="*/ 326133 h 4602298"/>
            <a:gd name="connsiteX4" fmla="*/ 833718 w 6216972"/>
            <a:gd name="connsiteY4" fmla="*/ 290274 h 4602298"/>
            <a:gd name="connsiteX5" fmla="*/ 815789 w 6216972"/>
            <a:gd name="connsiteY5" fmla="*/ 209592 h 4602298"/>
            <a:gd name="connsiteX6" fmla="*/ 681318 w 6216972"/>
            <a:gd name="connsiteY6" fmla="*/ 102015 h 4602298"/>
            <a:gd name="connsiteX7" fmla="*/ 484095 w 6216972"/>
            <a:gd name="connsiteY7" fmla="*/ 21333 h 4602298"/>
            <a:gd name="connsiteX8" fmla="*/ 8965 w 6216972"/>
            <a:gd name="connsiteY8" fmla="*/ 84086 h 4602298"/>
            <a:gd name="connsiteX9" fmla="*/ 0 w 6216972"/>
            <a:gd name="connsiteY9" fmla="*/ 119945 h 4602298"/>
            <a:gd name="connsiteX10" fmla="*/ 44824 w 6216972"/>
            <a:gd name="connsiteY10" fmla="*/ 218556 h 4602298"/>
            <a:gd name="connsiteX11" fmla="*/ 134471 w 6216972"/>
            <a:gd name="connsiteY11" fmla="*/ 281309 h 4602298"/>
            <a:gd name="connsiteX12" fmla="*/ 233083 w 6216972"/>
            <a:gd name="connsiteY12" fmla="*/ 317168 h 4602298"/>
            <a:gd name="connsiteX13" fmla="*/ 331695 w 6216972"/>
            <a:gd name="connsiteY13" fmla="*/ 335098 h 4602298"/>
            <a:gd name="connsiteX14" fmla="*/ 421342 w 6216972"/>
            <a:gd name="connsiteY14" fmla="*/ 361992 h 4602298"/>
            <a:gd name="connsiteX15" fmla="*/ 466165 w 6216972"/>
            <a:gd name="connsiteY15" fmla="*/ 370956 h 4602298"/>
            <a:gd name="connsiteX16" fmla="*/ 502024 w 6216972"/>
            <a:gd name="connsiteY16" fmla="*/ 379921 h 4602298"/>
            <a:gd name="connsiteX17" fmla="*/ 376518 w 6216972"/>
            <a:gd name="connsiteY17" fmla="*/ 433709 h 4602298"/>
            <a:gd name="connsiteX18" fmla="*/ 412377 w 6216972"/>
            <a:gd name="connsiteY18" fmla="*/ 460604 h 4602298"/>
            <a:gd name="connsiteX19" fmla="*/ 475130 w 6216972"/>
            <a:gd name="connsiteY19" fmla="*/ 487498 h 4602298"/>
            <a:gd name="connsiteX20" fmla="*/ 654424 w 6216972"/>
            <a:gd name="connsiteY20" fmla="*/ 523356 h 4602298"/>
            <a:gd name="connsiteX21" fmla="*/ 744071 w 6216972"/>
            <a:gd name="connsiteY21" fmla="*/ 532321 h 4602298"/>
            <a:gd name="connsiteX22" fmla="*/ 2653553 w 6216972"/>
            <a:gd name="connsiteY22" fmla="*/ 541286 h 4602298"/>
            <a:gd name="connsiteX23" fmla="*/ 3200400 w 6216972"/>
            <a:gd name="connsiteY23" fmla="*/ 595074 h 4602298"/>
            <a:gd name="connsiteX24" fmla="*/ 3415553 w 6216972"/>
            <a:gd name="connsiteY24" fmla="*/ 639898 h 4602298"/>
            <a:gd name="connsiteX25" fmla="*/ 3998259 w 6216972"/>
            <a:gd name="connsiteY25" fmla="*/ 765404 h 4602298"/>
            <a:gd name="connsiteX26" fmla="*/ 4177553 w 6216972"/>
            <a:gd name="connsiteY26" fmla="*/ 819192 h 4602298"/>
            <a:gd name="connsiteX27" fmla="*/ 4320989 w 6216972"/>
            <a:gd name="connsiteY27" fmla="*/ 855051 h 4602298"/>
            <a:gd name="connsiteX28" fmla="*/ 4697506 w 6216972"/>
            <a:gd name="connsiteY28" fmla="*/ 989521 h 4602298"/>
            <a:gd name="connsiteX29" fmla="*/ 4966447 w 6216972"/>
            <a:gd name="connsiteY29" fmla="*/ 1115027 h 4602298"/>
            <a:gd name="connsiteX30" fmla="*/ 5163671 w 6216972"/>
            <a:gd name="connsiteY30" fmla="*/ 1231568 h 4602298"/>
            <a:gd name="connsiteX31" fmla="*/ 5253318 w 6216972"/>
            <a:gd name="connsiteY31" fmla="*/ 1294321 h 4602298"/>
            <a:gd name="connsiteX32" fmla="*/ 5522259 w 6216972"/>
            <a:gd name="connsiteY32" fmla="*/ 1482580 h 4602298"/>
            <a:gd name="connsiteX33" fmla="*/ 5674659 w 6216972"/>
            <a:gd name="connsiteY33" fmla="*/ 1634980 h 4602298"/>
            <a:gd name="connsiteX34" fmla="*/ 5746377 w 6216972"/>
            <a:gd name="connsiteY34" fmla="*/ 1706698 h 4602298"/>
            <a:gd name="connsiteX35" fmla="*/ 5827059 w 6216972"/>
            <a:gd name="connsiteY35" fmla="*/ 1814274 h 4602298"/>
            <a:gd name="connsiteX36" fmla="*/ 5898777 w 6216972"/>
            <a:gd name="connsiteY36" fmla="*/ 1885992 h 4602298"/>
            <a:gd name="connsiteX37" fmla="*/ 6024283 w 6216972"/>
            <a:gd name="connsiteY37" fmla="*/ 2074251 h 4602298"/>
            <a:gd name="connsiteX38" fmla="*/ 6122895 w 6216972"/>
            <a:gd name="connsiteY38" fmla="*/ 2361121 h 4602298"/>
            <a:gd name="connsiteX39" fmla="*/ 6140824 w 6216972"/>
            <a:gd name="connsiteY39" fmla="*/ 2477662 h 4602298"/>
            <a:gd name="connsiteX40" fmla="*/ 6203577 w 6216972"/>
            <a:gd name="connsiteY40" fmla="*/ 2791427 h 4602298"/>
            <a:gd name="connsiteX41" fmla="*/ 6185647 w 6216972"/>
            <a:gd name="connsiteY41" fmla="*/ 3374133 h 4602298"/>
            <a:gd name="connsiteX42" fmla="*/ 6149789 w 6216972"/>
            <a:gd name="connsiteY42" fmla="*/ 3445851 h 4602298"/>
            <a:gd name="connsiteX43" fmla="*/ 6104965 w 6216972"/>
            <a:gd name="connsiteY43" fmla="*/ 3562392 h 4602298"/>
            <a:gd name="connsiteX44" fmla="*/ 6006353 w 6216972"/>
            <a:gd name="connsiteY44" fmla="*/ 3759615 h 4602298"/>
            <a:gd name="connsiteX45" fmla="*/ 5889812 w 6216972"/>
            <a:gd name="connsiteY45" fmla="*/ 3938909 h 4602298"/>
            <a:gd name="connsiteX46" fmla="*/ 5746377 w 6216972"/>
            <a:gd name="connsiteY46" fmla="*/ 4073380 h 4602298"/>
            <a:gd name="connsiteX47" fmla="*/ 5504330 w 6216972"/>
            <a:gd name="connsiteY47" fmla="*/ 4225780 h 4602298"/>
            <a:gd name="connsiteX48" fmla="*/ 5127812 w 6216972"/>
            <a:gd name="connsiteY48" fmla="*/ 4414039 h 4602298"/>
            <a:gd name="connsiteX49" fmla="*/ 5002306 w 6216972"/>
            <a:gd name="connsiteY49" fmla="*/ 4467827 h 4602298"/>
            <a:gd name="connsiteX50" fmla="*/ 4715436 w 6216972"/>
            <a:gd name="connsiteY50" fmla="*/ 4512651 h 4602298"/>
            <a:gd name="connsiteX51" fmla="*/ 4616824 w 6216972"/>
            <a:gd name="connsiteY51" fmla="*/ 4530580 h 4602298"/>
            <a:gd name="connsiteX52" fmla="*/ 4365812 w 6216972"/>
            <a:gd name="connsiteY52" fmla="*/ 4566439 h 4602298"/>
            <a:gd name="connsiteX53" fmla="*/ 4258236 w 6216972"/>
            <a:gd name="connsiteY53" fmla="*/ 4575404 h 4602298"/>
            <a:gd name="connsiteX54" fmla="*/ 3684495 w 6216972"/>
            <a:gd name="connsiteY54" fmla="*/ 4602298 h 4602298"/>
            <a:gd name="connsiteX55" fmla="*/ 860612 w 6216972"/>
            <a:gd name="connsiteY55" fmla="*/ 4593333 h 4602298"/>
            <a:gd name="connsiteX56" fmla="*/ 430306 w 6216972"/>
            <a:gd name="connsiteY56" fmla="*/ 4566439 h 4602298"/>
            <a:gd name="connsiteX57" fmla="*/ 188259 w 6216972"/>
            <a:gd name="connsiteY57" fmla="*/ 4539545 h 4602298"/>
            <a:gd name="connsiteX58" fmla="*/ 71718 w 6216972"/>
            <a:gd name="connsiteY58" fmla="*/ 4521615 h 4602298"/>
            <a:gd name="connsiteX59" fmla="*/ 0 w 6216972"/>
            <a:gd name="connsiteY59" fmla="*/ 4512651 h 4602298"/>
            <a:gd name="connsiteX60" fmla="*/ 80683 w 6216972"/>
            <a:gd name="connsiteY60" fmla="*/ 4449898 h 4602298"/>
            <a:gd name="connsiteX61" fmla="*/ 107577 w 6216972"/>
            <a:gd name="connsiteY61" fmla="*/ 4369215 h 4602298"/>
            <a:gd name="connsiteX62" fmla="*/ 116542 w 6216972"/>
            <a:gd name="connsiteY62" fmla="*/ 4342321 h 4602298"/>
            <a:gd name="connsiteX63" fmla="*/ 53789 w 6216972"/>
            <a:gd name="connsiteY63" fmla="*/ 4360251 h 4602298"/>
            <a:gd name="connsiteX64" fmla="*/ 134471 w 6216972"/>
            <a:gd name="connsiteY64" fmla="*/ 4360251 h 4602298"/>
            <a:gd name="connsiteX65" fmla="*/ 152400 w 6216972"/>
            <a:gd name="connsiteY65" fmla="*/ 4342321 h 4602298"/>
            <a:gd name="connsiteX66" fmla="*/ 179295 w 6216972"/>
            <a:gd name="connsiteY66" fmla="*/ 4333356 h 4602298"/>
            <a:gd name="connsiteX67" fmla="*/ 251012 w 6216972"/>
            <a:gd name="connsiteY67" fmla="*/ 4369215 h 4602298"/>
            <a:gd name="connsiteX68" fmla="*/ 268942 w 6216972"/>
            <a:gd name="connsiteY68" fmla="*/ 4396109 h 4602298"/>
            <a:gd name="connsiteX69" fmla="*/ 197224 w 6216972"/>
            <a:gd name="connsiteY69" fmla="*/ 4387145 h 4602298"/>
            <a:gd name="connsiteX70" fmla="*/ 161365 w 6216972"/>
            <a:gd name="connsiteY70" fmla="*/ 4360251 h 4602298"/>
            <a:gd name="connsiteX71" fmla="*/ 152400 w 6216972"/>
            <a:gd name="connsiteY71" fmla="*/ 4324392 h 4602298"/>
            <a:gd name="connsiteX72" fmla="*/ 89647 w 6216972"/>
            <a:gd name="connsiteY72" fmla="*/ 4333356 h 4602298"/>
            <a:gd name="connsiteX73" fmla="*/ 62753 w 6216972"/>
            <a:gd name="connsiteY73" fmla="*/ 4351286 h 4602298"/>
            <a:gd name="connsiteX74" fmla="*/ 53789 w 6216972"/>
            <a:gd name="connsiteY74" fmla="*/ 4378180 h 4602298"/>
            <a:gd name="connsiteX75" fmla="*/ 17930 w 6216972"/>
            <a:gd name="connsiteY75" fmla="*/ 4405074 h 4602298"/>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 ang="0">
              <a:pos x="connsiteX44" y="connsiteY44"/>
            </a:cxn>
            <a:cxn ang="0">
              <a:pos x="connsiteX45" y="connsiteY45"/>
            </a:cxn>
            <a:cxn ang="0">
              <a:pos x="connsiteX46" y="connsiteY46"/>
            </a:cxn>
            <a:cxn ang="0">
              <a:pos x="connsiteX47" y="connsiteY47"/>
            </a:cxn>
            <a:cxn ang="0">
              <a:pos x="connsiteX48" y="connsiteY48"/>
            </a:cxn>
            <a:cxn ang="0">
              <a:pos x="connsiteX49" y="connsiteY49"/>
            </a:cxn>
            <a:cxn ang="0">
              <a:pos x="connsiteX50" y="connsiteY50"/>
            </a:cxn>
            <a:cxn ang="0">
              <a:pos x="connsiteX51" y="connsiteY51"/>
            </a:cxn>
            <a:cxn ang="0">
              <a:pos x="connsiteX52" y="connsiteY52"/>
            </a:cxn>
            <a:cxn ang="0">
              <a:pos x="connsiteX53" y="connsiteY53"/>
            </a:cxn>
            <a:cxn ang="0">
              <a:pos x="connsiteX54" y="connsiteY54"/>
            </a:cxn>
            <a:cxn ang="0">
              <a:pos x="connsiteX55" y="connsiteY55"/>
            </a:cxn>
            <a:cxn ang="0">
              <a:pos x="connsiteX56" y="connsiteY56"/>
            </a:cxn>
            <a:cxn ang="0">
              <a:pos x="connsiteX57" y="connsiteY57"/>
            </a:cxn>
            <a:cxn ang="0">
              <a:pos x="connsiteX58" y="connsiteY58"/>
            </a:cxn>
            <a:cxn ang="0">
              <a:pos x="connsiteX59" y="connsiteY59"/>
            </a:cxn>
            <a:cxn ang="0">
              <a:pos x="connsiteX60" y="connsiteY60"/>
            </a:cxn>
            <a:cxn ang="0">
              <a:pos x="connsiteX61" y="connsiteY61"/>
            </a:cxn>
            <a:cxn ang="0">
              <a:pos x="connsiteX62" y="connsiteY62"/>
            </a:cxn>
            <a:cxn ang="0">
              <a:pos x="connsiteX63" y="connsiteY63"/>
            </a:cxn>
            <a:cxn ang="0">
              <a:pos x="connsiteX64" y="connsiteY64"/>
            </a:cxn>
            <a:cxn ang="0">
              <a:pos x="connsiteX65" y="connsiteY65"/>
            </a:cxn>
            <a:cxn ang="0">
              <a:pos x="connsiteX66" y="connsiteY66"/>
            </a:cxn>
            <a:cxn ang="0">
              <a:pos x="connsiteX67" y="connsiteY67"/>
            </a:cxn>
            <a:cxn ang="0">
              <a:pos x="connsiteX68" y="connsiteY68"/>
            </a:cxn>
            <a:cxn ang="0">
              <a:pos x="connsiteX69" y="connsiteY69"/>
            </a:cxn>
            <a:cxn ang="0">
              <a:pos x="connsiteX70" y="connsiteY70"/>
            </a:cxn>
            <a:cxn ang="0">
              <a:pos x="connsiteX71" y="connsiteY71"/>
            </a:cxn>
            <a:cxn ang="0">
              <a:pos x="connsiteX72" y="connsiteY72"/>
            </a:cxn>
            <a:cxn ang="0">
              <a:pos x="connsiteX73" y="connsiteY73"/>
            </a:cxn>
            <a:cxn ang="0">
              <a:pos x="connsiteX74" y="connsiteY74"/>
            </a:cxn>
            <a:cxn ang="0">
              <a:pos x="connsiteX75" y="connsiteY75"/>
            </a:cxn>
          </a:cxnLst>
          <a:rect l="l" t="t" r="r" b="b"/>
          <a:pathLst>
            <a:path w="6216972" h="4602298">
              <a:moveTo>
                <a:pt x="385483" y="379921"/>
              </a:moveTo>
              <a:cubicBezTo>
                <a:pt x="433166" y="389458"/>
                <a:pt x="467548" y="397851"/>
                <a:pt x="519953" y="397851"/>
              </a:cubicBezTo>
              <a:cubicBezTo>
                <a:pt x="570841" y="397851"/>
                <a:pt x="621553" y="391874"/>
                <a:pt x="672353" y="388886"/>
              </a:cubicBezTo>
              <a:cubicBezTo>
                <a:pt x="727659" y="372294"/>
                <a:pt x="774017" y="367905"/>
                <a:pt x="815789" y="326133"/>
              </a:cubicBezTo>
              <a:cubicBezTo>
                <a:pt x="825239" y="316683"/>
                <a:pt x="827742" y="302227"/>
                <a:pt x="833718" y="290274"/>
              </a:cubicBezTo>
              <a:cubicBezTo>
                <a:pt x="827742" y="263380"/>
                <a:pt x="827440" y="234557"/>
                <a:pt x="815789" y="209592"/>
              </a:cubicBezTo>
              <a:cubicBezTo>
                <a:pt x="790700" y="155830"/>
                <a:pt x="728199" y="127799"/>
                <a:pt x="681318" y="102015"/>
              </a:cubicBezTo>
              <a:cubicBezTo>
                <a:pt x="586357" y="49786"/>
                <a:pt x="591129" y="57011"/>
                <a:pt x="484095" y="21333"/>
              </a:cubicBezTo>
              <a:cubicBezTo>
                <a:pt x="373546" y="25939"/>
                <a:pt x="105129" y="-60160"/>
                <a:pt x="8965" y="84086"/>
              </a:cubicBezTo>
              <a:cubicBezTo>
                <a:pt x="2131" y="94338"/>
                <a:pt x="2988" y="107992"/>
                <a:pt x="0" y="119945"/>
              </a:cubicBezTo>
              <a:cubicBezTo>
                <a:pt x="14941" y="152815"/>
                <a:pt x="21709" y="190818"/>
                <a:pt x="44824" y="218556"/>
              </a:cubicBezTo>
              <a:cubicBezTo>
                <a:pt x="68176" y="246578"/>
                <a:pt x="100604" y="267762"/>
                <a:pt x="134471" y="281309"/>
              </a:cubicBezTo>
              <a:cubicBezTo>
                <a:pt x="168848" y="295060"/>
                <a:pt x="196906" y="307301"/>
                <a:pt x="233083" y="317168"/>
              </a:cubicBezTo>
              <a:cubicBezTo>
                <a:pt x="259527" y="324380"/>
                <a:pt x="306065" y="329972"/>
                <a:pt x="331695" y="335098"/>
              </a:cubicBezTo>
              <a:cubicBezTo>
                <a:pt x="384212" y="345601"/>
                <a:pt x="358436" y="344836"/>
                <a:pt x="421342" y="361992"/>
              </a:cubicBezTo>
              <a:cubicBezTo>
                <a:pt x="436042" y="366001"/>
                <a:pt x="451291" y="367651"/>
                <a:pt x="466165" y="370956"/>
              </a:cubicBezTo>
              <a:cubicBezTo>
                <a:pt x="478193" y="373629"/>
                <a:pt x="490071" y="376933"/>
                <a:pt x="502024" y="379921"/>
              </a:cubicBezTo>
              <a:cubicBezTo>
                <a:pt x="481261" y="483732"/>
                <a:pt x="518880" y="370437"/>
                <a:pt x="376518" y="433709"/>
              </a:cubicBezTo>
              <a:cubicBezTo>
                <a:pt x="362864" y="439777"/>
                <a:pt x="399260" y="453449"/>
                <a:pt x="412377" y="460604"/>
              </a:cubicBezTo>
              <a:cubicBezTo>
                <a:pt x="432356" y="471502"/>
                <a:pt x="453821" y="479507"/>
                <a:pt x="475130" y="487498"/>
              </a:cubicBezTo>
              <a:cubicBezTo>
                <a:pt x="572133" y="523874"/>
                <a:pt x="545034" y="512938"/>
                <a:pt x="654424" y="523356"/>
              </a:cubicBezTo>
              <a:cubicBezTo>
                <a:pt x="684320" y="526203"/>
                <a:pt x="714041" y="532052"/>
                <a:pt x="744071" y="532321"/>
              </a:cubicBezTo>
              <a:lnTo>
                <a:pt x="2653553" y="541286"/>
              </a:lnTo>
              <a:cubicBezTo>
                <a:pt x="2763510" y="550847"/>
                <a:pt x="3138664" y="582212"/>
                <a:pt x="3200400" y="595074"/>
              </a:cubicBezTo>
              <a:lnTo>
                <a:pt x="3415553" y="639898"/>
              </a:lnTo>
              <a:cubicBezTo>
                <a:pt x="3638449" y="683508"/>
                <a:pt x="3753268" y="691907"/>
                <a:pt x="3998259" y="765404"/>
              </a:cubicBezTo>
              <a:cubicBezTo>
                <a:pt x="4058024" y="783333"/>
                <a:pt x="4117433" y="802492"/>
                <a:pt x="4177553" y="819192"/>
              </a:cubicBezTo>
              <a:cubicBezTo>
                <a:pt x="4225039" y="832382"/>
                <a:pt x="4273814" y="840789"/>
                <a:pt x="4320989" y="855051"/>
              </a:cubicBezTo>
              <a:cubicBezTo>
                <a:pt x="4428448" y="887539"/>
                <a:pt x="4586468" y="940171"/>
                <a:pt x="4697506" y="989521"/>
              </a:cubicBezTo>
              <a:cubicBezTo>
                <a:pt x="4787908" y="1029700"/>
                <a:pt x="4881277" y="1064699"/>
                <a:pt x="4966447" y="1115027"/>
              </a:cubicBezTo>
              <a:cubicBezTo>
                <a:pt x="5032188" y="1153874"/>
                <a:pt x="5101114" y="1187778"/>
                <a:pt x="5163671" y="1231568"/>
              </a:cubicBezTo>
              <a:cubicBezTo>
                <a:pt x="5193553" y="1252486"/>
                <a:pt x="5222478" y="1274843"/>
                <a:pt x="5253318" y="1294321"/>
              </a:cubicBezTo>
              <a:cubicBezTo>
                <a:pt x="5380227" y="1374475"/>
                <a:pt x="5367830" y="1328151"/>
                <a:pt x="5522259" y="1482580"/>
              </a:cubicBezTo>
              <a:lnTo>
                <a:pt x="5674659" y="1634980"/>
              </a:lnTo>
              <a:cubicBezTo>
                <a:pt x="5698565" y="1658886"/>
                <a:pt x="5726092" y="1679651"/>
                <a:pt x="5746377" y="1706698"/>
              </a:cubicBezTo>
              <a:cubicBezTo>
                <a:pt x="5773271" y="1742557"/>
                <a:pt x="5798029" y="1780121"/>
                <a:pt x="5827059" y="1814274"/>
              </a:cubicBezTo>
              <a:cubicBezTo>
                <a:pt x="5848955" y="1840034"/>
                <a:pt x="5877505" y="1859715"/>
                <a:pt x="5898777" y="1885992"/>
              </a:cubicBezTo>
              <a:cubicBezTo>
                <a:pt x="5912796" y="1903309"/>
                <a:pt x="6003767" y="2035500"/>
                <a:pt x="6024283" y="2074251"/>
              </a:cubicBezTo>
              <a:cubicBezTo>
                <a:pt x="6063860" y="2149007"/>
                <a:pt x="6113723" y="2301499"/>
                <a:pt x="6122895" y="2361121"/>
              </a:cubicBezTo>
              <a:cubicBezTo>
                <a:pt x="6128871" y="2399968"/>
                <a:pt x="6133116" y="2439121"/>
                <a:pt x="6140824" y="2477662"/>
              </a:cubicBezTo>
              <a:cubicBezTo>
                <a:pt x="6225435" y="2900720"/>
                <a:pt x="6130213" y="2351239"/>
                <a:pt x="6203577" y="2791427"/>
              </a:cubicBezTo>
              <a:cubicBezTo>
                <a:pt x="6221517" y="3024643"/>
                <a:pt x="6226621" y="3022924"/>
                <a:pt x="6185647" y="3374133"/>
              </a:cubicBezTo>
              <a:cubicBezTo>
                <a:pt x="6182550" y="3400681"/>
                <a:pt x="6160317" y="3421284"/>
                <a:pt x="6149789" y="3445851"/>
              </a:cubicBezTo>
              <a:cubicBezTo>
                <a:pt x="6133394" y="3484107"/>
                <a:pt x="6120724" y="3523870"/>
                <a:pt x="6104965" y="3562392"/>
              </a:cubicBezTo>
              <a:cubicBezTo>
                <a:pt x="6077691" y="3629062"/>
                <a:pt x="6043326" y="3698610"/>
                <a:pt x="6006353" y="3759615"/>
              </a:cubicBezTo>
              <a:cubicBezTo>
                <a:pt x="5969408" y="3820574"/>
                <a:pt x="5941814" y="3890157"/>
                <a:pt x="5889812" y="3938909"/>
              </a:cubicBezTo>
              <a:cubicBezTo>
                <a:pt x="5842000" y="3983733"/>
                <a:pt x="5800907" y="4037027"/>
                <a:pt x="5746377" y="4073380"/>
              </a:cubicBezTo>
              <a:cubicBezTo>
                <a:pt x="5367246" y="4326132"/>
                <a:pt x="5732977" y="4088591"/>
                <a:pt x="5504330" y="4225780"/>
              </a:cubicBezTo>
              <a:cubicBezTo>
                <a:pt x="4875700" y="4602959"/>
                <a:pt x="5733770" y="4111060"/>
                <a:pt x="5127812" y="4414039"/>
              </a:cubicBezTo>
              <a:cubicBezTo>
                <a:pt x="5088075" y="4433907"/>
                <a:pt x="5045810" y="4457386"/>
                <a:pt x="5002306" y="4467827"/>
              </a:cubicBezTo>
              <a:cubicBezTo>
                <a:pt x="4900190" y="4492335"/>
                <a:pt x="4817921" y="4496884"/>
                <a:pt x="4715436" y="4512651"/>
              </a:cubicBezTo>
              <a:cubicBezTo>
                <a:pt x="4682415" y="4517731"/>
                <a:pt x="4649779" y="4525088"/>
                <a:pt x="4616824" y="4530580"/>
              </a:cubicBezTo>
              <a:cubicBezTo>
                <a:pt x="4553105" y="4541200"/>
                <a:pt x="4427047" y="4559635"/>
                <a:pt x="4365812" y="4566439"/>
              </a:cubicBezTo>
              <a:cubicBezTo>
                <a:pt x="4330049" y="4570413"/>
                <a:pt x="4294143" y="4573062"/>
                <a:pt x="4258236" y="4575404"/>
              </a:cubicBezTo>
              <a:cubicBezTo>
                <a:pt x="3942991" y="4595963"/>
                <a:pt x="3985446" y="4592266"/>
                <a:pt x="3684495" y="4602298"/>
              </a:cubicBezTo>
              <a:lnTo>
                <a:pt x="860612" y="4593333"/>
              </a:lnTo>
              <a:cubicBezTo>
                <a:pt x="716906" y="4591749"/>
                <a:pt x="430306" y="4566439"/>
                <a:pt x="430306" y="4566439"/>
              </a:cubicBezTo>
              <a:cubicBezTo>
                <a:pt x="184461" y="4525463"/>
                <a:pt x="475109" y="4570279"/>
                <a:pt x="188259" y="4539545"/>
              </a:cubicBezTo>
              <a:cubicBezTo>
                <a:pt x="149179" y="4535358"/>
                <a:pt x="110627" y="4527173"/>
                <a:pt x="71718" y="4521615"/>
              </a:cubicBezTo>
              <a:cubicBezTo>
                <a:pt x="47868" y="4518208"/>
                <a:pt x="23906" y="4515639"/>
                <a:pt x="0" y="4512651"/>
              </a:cubicBezTo>
              <a:cubicBezTo>
                <a:pt x="44489" y="4494855"/>
                <a:pt x="56293" y="4498678"/>
                <a:pt x="80683" y="4449898"/>
              </a:cubicBezTo>
              <a:cubicBezTo>
                <a:pt x="93361" y="4424542"/>
                <a:pt x="98612" y="4396109"/>
                <a:pt x="107577" y="4369215"/>
              </a:cubicBezTo>
              <a:cubicBezTo>
                <a:pt x="110565" y="4360250"/>
                <a:pt x="125628" y="4339725"/>
                <a:pt x="116542" y="4342321"/>
              </a:cubicBezTo>
              <a:lnTo>
                <a:pt x="53789" y="4360251"/>
              </a:lnTo>
              <a:cubicBezTo>
                <a:pt x="7596" y="4391046"/>
                <a:pt x="-20675" y="4404579"/>
                <a:pt x="134471" y="4360251"/>
              </a:cubicBezTo>
              <a:cubicBezTo>
                <a:pt x="142598" y="4357929"/>
                <a:pt x="145152" y="4346670"/>
                <a:pt x="152400" y="4342321"/>
              </a:cubicBezTo>
              <a:cubicBezTo>
                <a:pt x="160503" y="4337459"/>
                <a:pt x="170330" y="4336344"/>
                <a:pt x="179295" y="4333356"/>
              </a:cubicBezTo>
              <a:cubicBezTo>
                <a:pt x="200694" y="4341916"/>
                <a:pt x="233109" y="4351312"/>
                <a:pt x="251012" y="4369215"/>
              </a:cubicBezTo>
              <a:cubicBezTo>
                <a:pt x="258631" y="4376834"/>
                <a:pt x="279163" y="4392702"/>
                <a:pt x="268942" y="4396109"/>
              </a:cubicBezTo>
              <a:cubicBezTo>
                <a:pt x="246086" y="4403728"/>
                <a:pt x="221130" y="4390133"/>
                <a:pt x="197224" y="4387145"/>
              </a:cubicBezTo>
              <a:cubicBezTo>
                <a:pt x="185271" y="4378180"/>
                <a:pt x="170049" y="4372409"/>
                <a:pt x="161365" y="4360251"/>
              </a:cubicBezTo>
              <a:cubicBezTo>
                <a:pt x="154204" y="4350225"/>
                <a:pt x="163936" y="4328718"/>
                <a:pt x="152400" y="4324392"/>
              </a:cubicBezTo>
              <a:cubicBezTo>
                <a:pt x="132615" y="4316973"/>
                <a:pt x="110565" y="4330368"/>
                <a:pt x="89647" y="4333356"/>
              </a:cubicBezTo>
              <a:cubicBezTo>
                <a:pt x="80682" y="4339333"/>
                <a:pt x="69484" y="4342873"/>
                <a:pt x="62753" y="4351286"/>
              </a:cubicBezTo>
              <a:cubicBezTo>
                <a:pt x="56850" y="4358665"/>
                <a:pt x="60471" y="4371498"/>
                <a:pt x="53789" y="4378180"/>
              </a:cubicBezTo>
              <a:cubicBezTo>
                <a:pt x="15257" y="4416712"/>
                <a:pt x="17930" y="4378437"/>
                <a:pt x="17930" y="4405074"/>
              </a:cubicBezTo>
            </a:path>
          </a:pathLst>
        </a:custGeom>
      </xdr:spPr>
      <xdr:style>
        <a:lnRef idx="3">
          <a:schemeClr val="dk1"/>
        </a:lnRef>
        <a:fillRef idx="0">
          <a:schemeClr val="dk1"/>
        </a:fillRef>
        <a:effectRef idx="2">
          <a:schemeClr val="dk1"/>
        </a:effectRef>
        <a:fontRef idx="minor">
          <a:schemeClr val="tx1"/>
        </a:fontRef>
      </xdr:style>
      <xdr:txBody>
        <a:bodyPr vertOverflow="clip" horzOverflow="clip" rtlCol="0" anchor="t"/>
        <a:lstStyle/>
        <a:p>
          <a:pPr algn="l"/>
          <a:endParaRPr lang="en-US" sz="1100"/>
        </a:p>
      </xdr:txBody>
    </xdr:sp>
    <xdr:clientData/>
  </xdr:twoCellAnchor>
  <xdr:twoCellAnchor>
    <xdr:from>
      <xdr:col>1</xdr:col>
      <xdr:colOff>851647</xdr:colOff>
      <xdr:row>42</xdr:row>
      <xdr:rowOff>34016</xdr:rowOff>
    </xdr:from>
    <xdr:to>
      <xdr:col>14</xdr:col>
      <xdr:colOff>457200</xdr:colOff>
      <xdr:row>46</xdr:row>
      <xdr:rowOff>125506</xdr:rowOff>
    </xdr:to>
    <xdr:sp macro="" textlink="">
      <xdr:nvSpPr>
        <xdr:cNvPr id="100" name="Serbest Form: Şekil 99">
          <a:extLst>
            <a:ext uri="{FF2B5EF4-FFF2-40B4-BE49-F238E27FC236}">
              <a16:creationId xmlns:a16="http://schemas.microsoft.com/office/drawing/2014/main" id="{00000000-0008-0000-0000-000064000000}"/>
            </a:ext>
          </a:extLst>
        </xdr:cNvPr>
        <xdr:cNvSpPr/>
      </xdr:nvSpPr>
      <xdr:spPr>
        <a:xfrm>
          <a:off x="1461247" y="7905476"/>
          <a:ext cx="13771133" cy="876350"/>
        </a:xfrm>
        <a:custGeom>
          <a:avLst/>
          <a:gdLst>
            <a:gd name="connsiteX0" fmla="*/ 1120588 w 12057529"/>
            <a:gd name="connsiteY0" fmla="*/ 10807 h 871419"/>
            <a:gd name="connsiteX1" fmla="*/ 699247 w 12057529"/>
            <a:gd name="connsiteY1" fmla="*/ 28737 h 871419"/>
            <a:gd name="connsiteX2" fmla="*/ 663388 w 12057529"/>
            <a:gd name="connsiteY2" fmla="*/ 46666 h 871419"/>
            <a:gd name="connsiteX3" fmla="*/ 672353 w 12057529"/>
            <a:gd name="connsiteY3" fmla="*/ 163207 h 871419"/>
            <a:gd name="connsiteX4" fmla="*/ 726141 w 12057529"/>
            <a:gd name="connsiteY4" fmla="*/ 172172 h 871419"/>
            <a:gd name="connsiteX5" fmla="*/ 788894 w 12057529"/>
            <a:gd name="connsiteY5" fmla="*/ 181137 h 871419"/>
            <a:gd name="connsiteX6" fmla="*/ 959224 w 12057529"/>
            <a:gd name="connsiteY6" fmla="*/ 199066 h 871419"/>
            <a:gd name="connsiteX7" fmla="*/ 1210235 w 12057529"/>
            <a:gd name="connsiteY7" fmla="*/ 172172 h 871419"/>
            <a:gd name="connsiteX8" fmla="*/ 1228165 w 12057529"/>
            <a:gd name="connsiteY8" fmla="*/ 136313 h 871419"/>
            <a:gd name="connsiteX9" fmla="*/ 1165412 w 12057529"/>
            <a:gd name="connsiteY9" fmla="*/ 64595 h 871419"/>
            <a:gd name="connsiteX10" fmla="*/ 1138518 w 12057529"/>
            <a:gd name="connsiteY10" fmla="*/ 37701 h 871419"/>
            <a:gd name="connsiteX11" fmla="*/ 1030941 w 12057529"/>
            <a:gd name="connsiteY11" fmla="*/ 19772 h 871419"/>
            <a:gd name="connsiteX12" fmla="*/ 788894 w 12057529"/>
            <a:gd name="connsiteY12" fmla="*/ 28737 h 871419"/>
            <a:gd name="connsiteX13" fmla="*/ 708212 w 12057529"/>
            <a:gd name="connsiteY13" fmla="*/ 46666 h 871419"/>
            <a:gd name="connsiteX14" fmla="*/ 663388 w 12057529"/>
            <a:gd name="connsiteY14" fmla="*/ 55631 h 871419"/>
            <a:gd name="connsiteX15" fmla="*/ 627529 w 12057529"/>
            <a:gd name="connsiteY15" fmla="*/ 73560 h 871419"/>
            <a:gd name="connsiteX16" fmla="*/ 582706 w 12057529"/>
            <a:gd name="connsiteY16" fmla="*/ 82525 h 871419"/>
            <a:gd name="connsiteX17" fmla="*/ 484094 w 12057529"/>
            <a:gd name="connsiteY17" fmla="*/ 100454 h 871419"/>
            <a:gd name="connsiteX18" fmla="*/ 403412 w 12057529"/>
            <a:gd name="connsiteY18" fmla="*/ 127348 h 871419"/>
            <a:gd name="connsiteX19" fmla="*/ 376518 w 12057529"/>
            <a:gd name="connsiteY19" fmla="*/ 145278 h 871419"/>
            <a:gd name="connsiteX20" fmla="*/ 304800 w 12057529"/>
            <a:gd name="connsiteY20" fmla="*/ 163207 h 871419"/>
            <a:gd name="connsiteX21" fmla="*/ 224118 w 12057529"/>
            <a:gd name="connsiteY21" fmla="*/ 208031 h 871419"/>
            <a:gd name="connsiteX22" fmla="*/ 170329 w 12057529"/>
            <a:gd name="connsiteY22" fmla="*/ 243889 h 871419"/>
            <a:gd name="connsiteX23" fmla="*/ 89647 w 12057529"/>
            <a:gd name="connsiteY23" fmla="*/ 306642 h 871419"/>
            <a:gd name="connsiteX24" fmla="*/ 8965 w 12057529"/>
            <a:gd name="connsiteY24" fmla="*/ 459042 h 871419"/>
            <a:gd name="connsiteX25" fmla="*/ 0 w 12057529"/>
            <a:gd name="connsiteY25" fmla="*/ 494901 h 871419"/>
            <a:gd name="connsiteX26" fmla="*/ 8965 w 12057529"/>
            <a:gd name="connsiteY26" fmla="*/ 557654 h 871419"/>
            <a:gd name="connsiteX27" fmla="*/ 26894 w 12057529"/>
            <a:gd name="connsiteY27" fmla="*/ 575584 h 871419"/>
            <a:gd name="connsiteX28" fmla="*/ 44824 w 12057529"/>
            <a:gd name="connsiteY28" fmla="*/ 602478 h 871419"/>
            <a:gd name="connsiteX29" fmla="*/ 107577 w 12057529"/>
            <a:gd name="connsiteY29" fmla="*/ 647301 h 871419"/>
            <a:gd name="connsiteX30" fmla="*/ 161365 w 12057529"/>
            <a:gd name="connsiteY30" fmla="*/ 665231 h 871419"/>
            <a:gd name="connsiteX31" fmla="*/ 206188 w 12057529"/>
            <a:gd name="connsiteY31" fmla="*/ 683160 h 871419"/>
            <a:gd name="connsiteX32" fmla="*/ 286871 w 12057529"/>
            <a:gd name="connsiteY32" fmla="*/ 692125 h 871419"/>
            <a:gd name="connsiteX33" fmla="*/ 430306 w 12057529"/>
            <a:gd name="connsiteY33" fmla="*/ 710054 h 871419"/>
            <a:gd name="connsiteX34" fmla="*/ 582706 w 12057529"/>
            <a:gd name="connsiteY34" fmla="*/ 719019 h 871419"/>
            <a:gd name="connsiteX35" fmla="*/ 2088777 w 12057529"/>
            <a:gd name="connsiteY35" fmla="*/ 727984 h 871419"/>
            <a:gd name="connsiteX36" fmla="*/ 2465294 w 12057529"/>
            <a:gd name="connsiteY36" fmla="*/ 745913 h 871419"/>
            <a:gd name="connsiteX37" fmla="*/ 2572871 w 12057529"/>
            <a:gd name="connsiteY37" fmla="*/ 763842 h 871419"/>
            <a:gd name="connsiteX38" fmla="*/ 2859741 w 12057529"/>
            <a:gd name="connsiteY38" fmla="*/ 781772 h 871419"/>
            <a:gd name="connsiteX39" fmla="*/ 3003177 w 12057529"/>
            <a:gd name="connsiteY39" fmla="*/ 799701 h 871419"/>
            <a:gd name="connsiteX40" fmla="*/ 3370729 w 12057529"/>
            <a:gd name="connsiteY40" fmla="*/ 844525 h 871419"/>
            <a:gd name="connsiteX41" fmla="*/ 3550024 w 12057529"/>
            <a:gd name="connsiteY41" fmla="*/ 853489 h 871419"/>
            <a:gd name="connsiteX42" fmla="*/ 4572000 w 12057529"/>
            <a:gd name="connsiteY42" fmla="*/ 871419 h 871419"/>
            <a:gd name="connsiteX43" fmla="*/ 6221506 w 12057529"/>
            <a:gd name="connsiteY43" fmla="*/ 862454 h 871419"/>
            <a:gd name="connsiteX44" fmla="*/ 6687671 w 12057529"/>
            <a:gd name="connsiteY44" fmla="*/ 844525 h 871419"/>
            <a:gd name="connsiteX45" fmla="*/ 7261412 w 12057529"/>
            <a:gd name="connsiteY45" fmla="*/ 835560 h 871419"/>
            <a:gd name="connsiteX46" fmla="*/ 9861177 w 12057529"/>
            <a:gd name="connsiteY46" fmla="*/ 826595 h 871419"/>
            <a:gd name="connsiteX47" fmla="*/ 9950824 w 12057529"/>
            <a:gd name="connsiteY47" fmla="*/ 817631 h 871419"/>
            <a:gd name="connsiteX48" fmla="*/ 10040471 w 12057529"/>
            <a:gd name="connsiteY48" fmla="*/ 799701 h 871419"/>
            <a:gd name="connsiteX49" fmla="*/ 10255624 w 12057529"/>
            <a:gd name="connsiteY49" fmla="*/ 790737 h 871419"/>
            <a:gd name="connsiteX50" fmla="*/ 10399059 w 12057529"/>
            <a:gd name="connsiteY50" fmla="*/ 781772 h 871419"/>
            <a:gd name="connsiteX51" fmla="*/ 10919012 w 12057529"/>
            <a:gd name="connsiteY51" fmla="*/ 754878 h 871419"/>
            <a:gd name="connsiteX52" fmla="*/ 11071412 w 12057529"/>
            <a:gd name="connsiteY52" fmla="*/ 745913 h 871419"/>
            <a:gd name="connsiteX53" fmla="*/ 11187953 w 12057529"/>
            <a:gd name="connsiteY53" fmla="*/ 736948 h 871419"/>
            <a:gd name="connsiteX54" fmla="*/ 11537577 w 12057529"/>
            <a:gd name="connsiteY54" fmla="*/ 727984 h 871419"/>
            <a:gd name="connsiteX55" fmla="*/ 11761694 w 12057529"/>
            <a:gd name="connsiteY55" fmla="*/ 719019 h 871419"/>
            <a:gd name="connsiteX56" fmla="*/ 11860306 w 12057529"/>
            <a:gd name="connsiteY56" fmla="*/ 710054 h 871419"/>
            <a:gd name="connsiteX57" fmla="*/ 11976847 w 12057529"/>
            <a:gd name="connsiteY57" fmla="*/ 683160 h 871419"/>
            <a:gd name="connsiteX58" fmla="*/ 11887200 w 12057529"/>
            <a:gd name="connsiteY58" fmla="*/ 584548 h 871419"/>
            <a:gd name="connsiteX59" fmla="*/ 11914094 w 12057529"/>
            <a:gd name="connsiteY59" fmla="*/ 539725 h 871419"/>
            <a:gd name="connsiteX60" fmla="*/ 12021671 w 12057529"/>
            <a:gd name="connsiteY60" fmla="*/ 575584 h 871419"/>
            <a:gd name="connsiteX61" fmla="*/ 12057529 w 12057529"/>
            <a:gd name="connsiteY61" fmla="*/ 593513 h 871419"/>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 ang="0">
              <a:pos x="connsiteX44" y="connsiteY44"/>
            </a:cxn>
            <a:cxn ang="0">
              <a:pos x="connsiteX45" y="connsiteY45"/>
            </a:cxn>
            <a:cxn ang="0">
              <a:pos x="connsiteX46" y="connsiteY46"/>
            </a:cxn>
            <a:cxn ang="0">
              <a:pos x="connsiteX47" y="connsiteY47"/>
            </a:cxn>
            <a:cxn ang="0">
              <a:pos x="connsiteX48" y="connsiteY48"/>
            </a:cxn>
            <a:cxn ang="0">
              <a:pos x="connsiteX49" y="connsiteY49"/>
            </a:cxn>
            <a:cxn ang="0">
              <a:pos x="connsiteX50" y="connsiteY50"/>
            </a:cxn>
            <a:cxn ang="0">
              <a:pos x="connsiteX51" y="connsiteY51"/>
            </a:cxn>
            <a:cxn ang="0">
              <a:pos x="connsiteX52" y="connsiteY52"/>
            </a:cxn>
            <a:cxn ang="0">
              <a:pos x="connsiteX53" y="connsiteY53"/>
            </a:cxn>
            <a:cxn ang="0">
              <a:pos x="connsiteX54" y="connsiteY54"/>
            </a:cxn>
            <a:cxn ang="0">
              <a:pos x="connsiteX55" y="connsiteY55"/>
            </a:cxn>
            <a:cxn ang="0">
              <a:pos x="connsiteX56" y="connsiteY56"/>
            </a:cxn>
            <a:cxn ang="0">
              <a:pos x="connsiteX57" y="connsiteY57"/>
            </a:cxn>
            <a:cxn ang="0">
              <a:pos x="connsiteX58" y="connsiteY58"/>
            </a:cxn>
            <a:cxn ang="0">
              <a:pos x="connsiteX59" y="connsiteY59"/>
            </a:cxn>
            <a:cxn ang="0">
              <a:pos x="connsiteX60" y="connsiteY60"/>
            </a:cxn>
            <a:cxn ang="0">
              <a:pos x="connsiteX61" y="connsiteY61"/>
            </a:cxn>
          </a:cxnLst>
          <a:rect l="l" t="t" r="r" b="b"/>
          <a:pathLst>
            <a:path w="12057529" h="871419">
              <a:moveTo>
                <a:pt x="1120588" y="10807"/>
              </a:moveTo>
              <a:cubicBezTo>
                <a:pt x="932474" y="-4870"/>
                <a:pt x="978641" y="-7083"/>
                <a:pt x="699247" y="28737"/>
              </a:cubicBezTo>
              <a:cubicBezTo>
                <a:pt x="685992" y="30436"/>
                <a:pt x="675341" y="40690"/>
                <a:pt x="663388" y="46666"/>
              </a:cubicBezTo>
              <a:cubicBezTo>
                <a:pt x="630238" y="90866"/>
                <a:pt x="607965" y="98819"/>
                <a:pt x="672353" y="163207"/>
              </a:cubicBezTo>
              <a:cubicBezTo>
                <a:pt x="685206" y="176060"/>
                <a:pt x="708176" y="169408"/>
                <a:pt x="726141" y="172172"/>
              </a:cubicBezTo>
              <a:cubicBezTo>
                <a:pt x="747025" y="175385"/>
                <a:pt x="767903" y="178715"/>
                <a:pt x="788894" y="181137"/>
              </a:cubicBezTo>
              <a:cubicBezTo>
                <a:pt x="845608" y="187681"/>
                <a:pt x="959224" y="199066"/>
                <a:pt x="959224" y="199066"/>
              </a:cubicBezTo>
              <a:cubicBezTo>
                <a:pt x="1042894" y="190101"/>
                <a:pt x="1128287" y="191293"/>
                <a:pt x="1210235" y="172172"/>
              </a:cubicBezTo>
              <a:cubicBezTo>
                <a:pt x="1223249" y="169135"/>
                <a:pt x="1233305" y="148649"/>
                <a:pt x="1228165" y="136313"/>
              </a:cubicBezTo>
              <a:cubicBezTo>
                <a:pt x="1215948" y="106991"/>
                <a:pt x="1186780" y="88100"/>
                <a:pt x="1165412" y="64595"/>
              </a:cubicBezTo>
              <a:cubicBezTo>
                <a:pt x="1156884" y="55214"/>
                <a:pt x="1149526" y="43991"/>
                <a:pt x="1138518" y="37701"/>
              </a:cubicBezTo>
              <a:cubicBezTo>
                <a:pt x="1121936" y="28226"/>
                <a:pt x="1031488" y="19840"/>
                <a:pt x="1030941" y="19772"/>
              </a:cubicBezTo>
              <a:cubicBezTo>
                <a:pt x="950259" y="22760"/>
                <a:pt x="869484" y="23853"/>
                <a:pt x="788894" y="28737"/>
              </a:cubicBezTo>
              <a:cubicBezTo>
                <a:pt x="723764" y="32684"/>
                <a:pt x="753400" y="35369"/>
                <a:pt x="708212" y="46666"/>
              </a:cubicBezTo>
              <a:cubicBezTo>
                <a:pt x="693430" y="50362"/>
                <a:pt x="678329" y="52643"/>
                <a:pt x="663388" y="55631"/>
              </a:cubicBezTo>
              <a:cubicBezTo>
                <a:pt x="651435" y="61607"/>
                <a:pt x="640207" y="69334"/>
                <a:pt x="627529" y="73560"/>
              </a:cubicBezTo>
              <a:cubicBezTo>
                <a:pt x="613074" y="78378"/>
                <a:pt x="597697" y="79799"/>
                <a:pt x="582706" y="82525"/>
              </a:cubicBezTo>
              <a:cubicBezTo>
                <a:pt x="456526" y="105466"/>
                <a:pt x="594827" y="78307"/>
                <a:pt x="484094" y="100454"/>
              </a:cubicBezTo>
              <a:cubicBezTo>
                <a:pt x="363478" y="160764"/>
                <a:pt x="542437" y="75213"/>
                <a:pt x="403412" y="127348"/>
              </a:cubicBezTo>
              <a:cubicBezTo>
                <a:pt x="393324" y="131131"/>
                <a:pt x="386644" y="141596"/>
                <a:pt x="376518" y="145278"/>
              </a:cubicBezTo>
              <a:cubicBezTo>
                <a:pt x="353360" y="153699"/>
                <a:pt x="326840" y="152187"/>
                <a:pt x="304800" y="163207"/>
              </a:cubicBezTo>
              <a:cubicBezTo>
                <a:pt x="264865" y="183175"/>
                <a:pt x="265395" y="181764"/>
                <a:pt x="224118" y="208031"/>
              </a:cubicBezTo>
              <a:cubicBezTo>
                <a:pt x="205938" y="219600"/>
                <a:pt x="187706" y="231146"/>
                <a:pt x="170329" y="243889"/>
              </a:cubicBezTo>
              <a:cubicBezTo>
                <a:pt x="142854" y="264037"/>
                <a:pt x="89647" y="306642"/>
                <a:pt x="89647" y="306642"/>
              </a:cubicBezTo>
              <a:cubicBezTo>
                <a:pt x="1263" y="439218"/>
                <a:pt x="29284" y="367603"/>
                <a:pt x="8965" y="459042"/>
              </a:cubicBezTo>
              <a:cubicBezTo>
                <a:pt x="6292" y="471070"/>
                <a:pt x="2988" y="482948"/>
                <a:pt x="0" y="494901"/>
              </a:cubicBezTo>
              <a:cubicBezTo>
                <a:pt x="2988" y="515819"/>
                <a:pt x="2283" y="537608"/>
                <a:pt x="8965" y="557654"/>
              </a:cubicBezTo>
              <a:cubicBezTo>
                <a:pt x="11638" y="565672"/>
                <a:pt x="21614" y="568984"/>
                <a:pt x="26894" y="575584"/>
              </a:cubicBezTo>
              <a:cubicBezTo>
                <a:pt x="33625" y="583997"/>
                <a:pt x="37205" y="594859"/>
                <a:pt x="44824" y="602478"/>
              </a:cubicBezTo>
              <a:cubicBezTo>
                <a:pt x="47477" y="605131"/>
                <a:pt x="98411" y="643227"/>
                <a:pt x="107577" y="647301"/>
              </a:cubicBezTo>
              <a:cubicBezTo>
                <a:pt x="124847" y="654977"/>
                <a:pt x="143604" y="658772"/>
                <a:pt x="161365" y="665231"/>
              </a:cubicBezTo>
              <a:cubicBezTo>
                <a:pt x="176488" y="670730"/>
                <a:pt x="190453" y="679788"/>
                <a:pt x="206188" y="683160"/>
              </a:cubicBezTo>
              <a:cubicBezTo>
                <a:pt x="232647" y="688830"/>
                <a:pt x="260004" y="688901"/>
                <a:pt x="286871" y="692125"/>
              </a:cubicBezTo>
              <a:cubicBezTo>
                <a:pt x="334712" y="697866"/>
                <a:pt x="382320" y="705692"/>
                <a:pt x="430306" y="710054"/>
              </a:cubicBezTo>
              <a:cubicBezTo>
                <a:pt x="480985" y="714661"/>
                <a:pt x="531821" y="718469"/>
                <a:pt x="582706" y="719019"/>
              </a:cubicBezTo>
              <a:lnTo>
                <a:pt x="2088777" y="727984"/>
              </a:lnTo>
              <a:cubicBezTo>
                <a:pt x="2151526" y="730225"/>
                <a:pt x="2371586" y="735101"/>
                <a:pt x="2465294" y="745913"/>
              </a:cubicBezTo>
              <a:cubicBezTo>
                <a:pt x="2501408" y="750080"/>
                <a:pt x="2536740" y="759827"/>
                <a:pt x="2572871" y="763842"/>
              </a:cubicBezTo>
              <a:cubicBezTo>
                <a:pt x="2600661" y="766930"/>
                <a:pt x="2840858" y="780661"/>
                <a:pt x="2859741" y="781772"/>
              </a:cubicBezTo>
              <a:lnTo>
                <a:pt x="3003177" y="799701"/>
              </a:lnTo>
              <a:cubicBezTo>
                <a:pt x="3176351" y="823103"/>
                <a:pt x="3198991" y="831645"/>
                <a:pt x="3370729" y="844525"/>
              </a:cubicBezTo>
              <a:cubicBezTo>
                <a:pt x="3430401" y="849000"/>
                <a:pt x="3490282" y="850075"/>
                <a:pt x="3550024" y="853489"/>
              </a:cubicBezTo>
              <a:cubicBezTo>
                <a:pt x="4066715" y="883013"/>
                <a:pt x="3066444" y="856211"/>
                <a:pt x="4572000" y="871419"/>
              </a:cubicBezTo>
              <a:lnTo>
                <a:pt x="6221506" y="862454"/>
              </a:lnTo>
              <a:cubicBezTo>
                <a:pt x="7118836" y="854221"/>
                <a:pt x="6139317" y="857899"/>
                <a:pt x="6687671" y="844525"/>
              </a:cubicBezTo>
              <a:lnTo>
                <a:pt x="7261412" y="835560"/>
              </a:lnTo>
              <a:lnTo>
                <a:pt x="9861177" y="826595"/>
              </a:lnTo>
              <a:cubicBezTo>
                <a:pt x="9891059" y="823607"/>
                <a:pt x="9921125" y="822086"/>
                <a:pt x="9950824" y="817631"/>
              </a:cubicBezTo>
              <a:cubicBezTo>
                <a:pt x="9980961" y="813110"/>
                <a:pt x="10010115" y="802379"/>
                <a:pt x="10040471" y="799701"/>
              </a:cubicBezTo>
              <a:cubicBezTo>
                <a:pt x="10111973" y="793392"/>
                <a:pt x="10183934" y="794321"/>
                <a:pt x="10255624" y="790737"/>
              </a:cubicBezTo>
              <a:cubicBezTo>
                <a:pt x="10303469" y="788345"/>
                <a:pt x="10351247" y="784760"/>
                <a:pt x="10399059" y="781772"/>
              </a:cubicBezTo>
              <a:cubicBezTo>
                <a:pt x="10676202" y="744818"/>
                <a:pt x="10444916" y="770681"/>
                <a:pt x="10919012" y="754878"/>
              </a:cubicBezTo>
              <a:cubicBezTo>
                <a:pt x="10969872" y="753183"/>
                <a:pt x="11020637" y="749298"/>
                <a:pt x="11071412" y="745913"/>
              </a:cubicBezTo>
              <a:cubicBezTo>
                <a:pt x="11110287" y="743321"/>
                <a:pt x="11149020" y="738445"/>
                <a:pt x="11187953" y="736948"/>
              </a:cubicBezTo>
              <a:cubicBezTo>
                <a:pt x="11304447" y="732468"/>
                <a:pt x="11421054" y="731625"/>
                <a:pt x="11537577" y="727984"/>
              </a:cubicBezTo>
              <a:lnTo>
                <a:pt x="11761694" y="719019"/>
              </a:lnTo>
              <a:cubicBezTo>
                <a:pt x="11794565" y="716031"/>
                <a:pt x="11827555" y="714148"/>
                <a:pt x="11860306" y="710054"/>
              </a:cubicBezTo>
              <a:cubicBezTo>
                <a:pt x="11887894" y="706605"/>
                <a:pt x="11957297" y="688047"/>
                <a:pt x="11976847" y="683160"/>
              </a:cubicBezTo>
              <a:cubicBezTo>
                <a:pt x="11955307" y="532379"/>
                <a:pt x="11998487" y="542816"/>
                <a:pt x="11887200" y="584548"/>
              </a:cubicBezTo>
              <a:cubicBezTo>
                <a:pt x="11905615" y="566135"/>
                <a:pt x="11894275" y="579364"/>
                <a:pt x="11914094" y="539725"/>
              </a:cubicBezTo>
              <a:cubicBezTo>
                <a:pt x="12002317" y="552327"/>
                <a:pt x="11951949" y="536849"/>
                <a:pt x="12021671" y="575584"/>
              </a:cubicBezTo>
              <a:cubicBezTo>
                <a:pt x="12033353" y="582074"/>
                <a:pt x="12057529" y="593513"/>
                <a:pt x="12057529" y="593513"/>
              </a:cubicBezTo>
            </a:path>
          </a:pathLst>
        </a:custGeom>
      </xdr:spPr>
      <xdr:style>
        <a:lnRef idx="3">
          <a:schemeClr val="accent6"/>
        </a:lnRef>
        <a:fillRef idx="0">
          <a:schemeClr val="accent6"/>
        </a:fillRef>
        <a:effectRef idx="2">
          <a:schemeClr val="accent6"/>
        </a:effectRef>
        <a:fontRef idx="minor">
          <a:schemeClr val="tx1"/>
        </a:fontRef>
      </xdr:style>
      <xdr:txBody>
        <a:bodyPr vertOverflow="clip" horzOverflow="clip" rtlCol="0" anchor="t"/>
        <a:lstStyle/>
        <a:p>
          <a:pPr algn="l"/>
          <a:endParaRPr lang="en-US" sz="1100"/>
        </a:p>
      </xdr:txBody>
    </xdr:sp>
    <xdr:clientData/>
  </xdr:twoCellAnchor>
  <xdr:oneCellAnchor>
    <xdr:from>
      <xdr:col>6</xdr:col>
      <xdr:colOff>676835</xdr:colOff>
      <xdr:row>121</xdr:row>
      <xdr:rowOff>138953</xdr:rowOff>
    </xdr:from>
    <xdr:ext cx="65" cy="172227"/>
    <xdr:sp macro="" textlink="">
      <xdr:nvSpPr>
        <xdr:cNvPr id="101" name="Metin kutusu 100">
          <a:extLst>
            <a:ext uri="{FF2B5EF4-FFF2-40B4-BE49-F238E27FC236}">
              <a16:creationId xmlns:a16="http://schemas.microsoft.com/office/drawing/2014/main" id="{00000000-0008-0000-0000-000065000000}"/>
            </a:ext>
          </a:extLst>
        </xdr:cNvPr>
        <xdr:cNvSpPr txBox="1"/>
      </xdr:nvSpPr>
      <xdr:spPr>
        <a:xfrm>
          <a:off x="7908215" y="227779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9</xdr:col>
      <xdr:colOff>225286</xdr:colOff>
      <xdr:row>122</xdr:row>
      <xdr:rowOff>13252</xdr:rowOff>
    </xdr:from>
    <xdr:ext cx="65" cy="172227"/>
    <xdr:sp macro="" textlink="">
      <xdr:nvSpPr>
        <xdr:cNvPr id="102" name="Metin kutusu 101">
          <a:extLst>
            <a:ext uri="{FF2B5EF4-FFF2-40B4-BE49-F238E27FC236}">
              <a16:creationId xmlns:a16="http://schemas.microsoft.com/office/drawing/2014/main" id="{00000000-0008-0000-0000-000066000000}"/>
            </a:ext>
          </a:extLst>
        </xdr:cNvPr>
        <xdr:cNvSpPr txBox="1"/>
      </xdr:nvSpPr>
      <xdr:spPr>
        <a:xfrm>
          <a:off x="10634206" y="2283515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10</xdr:col>
      <xdr:colOff>0</xdr:colOff>
      <xdr:row>123</xdr:row>
      <xdr:rowOff>0</xdr:rowOff>
    </xdr:from>
    <xdr:ext cx="9955307" cy="378502"/>
    <mc:AlternateContent xmlns:mc="http://schemas.openxmlformats.org/markup-compatibility/2006" xmlns:a14="http://schemas.microsoft.com/office/drawing/2010/main">
      <mc:Choice Requires="a14">
        <xdr:sp macro="" textlink="">
          <xdr:nvSpPr>
            <xdr:cNvPr id="103" name="Metin kutusu 102">
              <a:extLst>
                <a:ext uri="{FF2B5EF4-FFF2-40B4-BE49-F238E27FC236}">
                  <a16:creationId xmlns:a16="http://schemas.microsoft.com/office/drawing/2014/main" id="{00000000-0008-0000-0000-000067000000}"/>
                </a:ext>
              </a:extLst>
            </xdr:cNvPr>
            <xdr:cNvSpPr txBox="1"/>
          </xdr:nvSpPr>
          <xdr:spPr>
            <a:xfrm>
              <a:off x="11155680" y="23218140"/>
              <a:ext cx="9955307" cy="378502"/>
            </a:xfrm>
            <a:prstGeom prst="rect">
              <a:avLst/>
            </a:prstGeom>
            <a:noFill/>
            <a:ln>
              <a:noFill/>
            </a:ln>
            <a:effectLst/>
          </xdr:spPr>
          <xdr:txBody>
            <a:bodyPr vertOverflow="clip" horzOverflow="clip" wrap="squar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kumimoji="0" lang="tr-TR" sz="1000" b="0" i="0" u="none" strike="noStrike" kern="0" cap="none" spc="0" normalizeH="0" baseline="0" noProof="0">
                  <a:ln>
                    <a:noFill/>
                  </a:ln>
                  <a:solidFill>
                    <a:sysClr val="windowText" lastClr="000000"/>
                  </a:solidFill>
                  <a:effectLst/>
                  <a:uLnTx/>
                  <a:uFillTx/>
                  <a:latin typeface="Calibri" panose="020F0502020204030204"/>
                  <a:ea typeface="+mn-ea"/>
                  <a:cs typeface="+mn-cs"/>
                </a:rPr>
                <a:t>Total Point(s)</a:t>
              </a:r>
              <a14:m>
                <m:oMath xmlns:m="http://schemas.openxmlformats.org/officeDocument/2006/math">
                  <m:r>
                    <a:rPr kumimoji="0" lang="en-US" sz="1000" b="0" i="1" u="none" strike="noStrike" kern="0" cap="none" spc="0" normalizeH="0" baseline="0" noProof="0" smtClean="0">
                      <a:ln>
                        <a:noFill/>
                      </a:ln>
                      <a:solidFill>
                        <a:sysClr val="windowText" lastClr="000000"/>
                      </a:solidFill>
                      <a:effectLst/>
                      <a:uLnTx/>
                      <a:uFillTx/>
                      <a:latin typeface="Cambria Math" panose="02040503050406030204" pitchFamily="18" charset="0"/>
                      <a:ea typeface="+mn-ea"/>
                      <a:cs typeface="+mn-cs"/>
                    </a:rPr>
                    <m:t>=</m:t>
                  </m:r>
                  <m:d>
                    <m:dPr>
                      <m:ctrlPr>
                        <a:rPr kumimoji="0" lang="en-US" sz="1000" b="0" i="1" u="none" strike="noStrike" kern="0" cap="none" spc="0" normalizeH="0" baseline="0" noProof="0" smtClean="0">
                          <a:ln>
                            <a:noFill/>
                          </a:ln>
                          <a:solidFill>
                            <a:srgbClr val="836967"/>
                          </a:solidFill>
                          <a:effectLst/>
                          <a:uLnTx/>
                          <a:uFillTx/>
                          <a:latin typeface="Cambria Math" panose="02040503050406030204" pitchFamily="18" charset="0"/>
                          <a:ea typeface="+mn-ea"/>
                          <a:cs typeface="+mn-cs"/>
                        </a:rPr>
                      </m:ctrlPr>
                    </m:dPr>
                    <m:e>
                      <m:f>
                        <m:fPr>
                          <m:ctrlPr>
                            <a:rPr kumimoji="0" lang="en-US" sz="1000" b="0" i="1" u="none" strike="noStrike" kern="0" cap="none" spc="0" normalizeH="0" baseline="0" noProof="0" smtClean="0">
                              <a:ln>
                                <a:noFill/>
                              </a:ln>
                              <a:solidFill>
                                <a:srgbClr val="836967"/>
                              </a:solidFill>
                              <a:effectLst/>
                              <a:uLnTx/>
                              <a:uFillTx/>
                              <a:latin typeface="Cambria Math" panose="02040503050406030204" pitchFamily="18" charset="0"/>
                              <a:ea typeface="+mn-ea"/>
                              <a:cs typeface="+mn-cs"/>
                            </a:rPr>
                          </m:ctrlPr>
                        </m:fPr>
                        <m:num>
                          <m:sSub>
                            <m:sSubPr>
                              <m:ctrlPr>
                                <a:rPr kumimoji="0" lang="en-US" sz="1000" b="0" i="1" u="none" strike="noStrike" kern="0" cap="none" spc="0" normalizeH="0" baseline="0" noProof="0" smtClean="0">
                                  <a:ln>
                                    <a:noFill/>
                                  </a:ln>
                                  <a:solidFill>
                                    <a:srgbClr val="836967"/>
                                  </a:solidFill>
                                  <a:effectLst/>
                                  <a:uLnTx/>
                                  <a:uFillTx/>
                                  <a:latin typeface="Cambria Math" panose="02040503050406030204" pitchFamily="18" charset="0"/>
                                  <a:ea typeface="+mn-ea"/>
                                  <a:cs typeface="+mn-cs"/>
                                </a:rPr>
                              </m:ctrlPr>
                            </m:sSubPr>
                            <m:e>
                              <m:r>
                                <a:rPr kumimoji="0" lang="en-US" sz="1000" b="0" i="1" u="none" strike="noStrike" kern="0" cap="none" spc="0" normalizeH="0" baseline="0" noProof="0" smtClean="0">
                                  <a:ln>
                                    <a:noFill/>
                                  </a:ln>
                                  <a:solidFill>
                                    <a:sysClr val="windowText" lastClr="000000"/>
                                  </a:solidFill>
                                  <a:effectLst/>
                                  <a:uLnTx/>
                                  <a:uFillTx/>
                                  <a:latin typeface="Cambria Math" panose="02040503050406030204" pitchFamily="18" charset="0"/>
                                  <a:ea typeface="+mn-ea"/>
                                  <a:cs typeface="+mn-cs"/>
                                </a:rPr>
                                <m:t>𝑚</m:t>
                              </m:r>
                              <m:r>
                                <a:rPr kumimoji="0" lang="tr-TR" sz="1000" b="0" i="1" u="none" strike="noStrike" kern="0" cap="none" spc="0" normalizeH="0" baseline="0" noProof="0" smtClean="0">
                                  <a:ln>
                                    <a:noFill/>
                                  </a:ln>
                                  <a:solidFill>
                                    <a:sysClr val="windowText" lastClr="000000"/>
                                  </a:solidFill>
                                  <a:effectLst/>
                                  <a:uLnTx/>
                                  <a:uFillTx/>
                                  <a:latin typeface="Cambria Math" panose="02040503050406030204" pitchFamily="18" charset="0"/>
                                  <a:ea typeface="+mn-ea"/>
                                  <a:cs typeface="+mn-cs"/>
                                </a:rPr>
                                <m:t>𝑖𝑑𝑡𝑒𝑟𝑚</m:t>
                              </m:r>
                            </m:e>
                            <m:sub>
                              <m:r>
                                <a:rPr kumimoji="0" lang="tr-TR" sz="1000" b="0" i="1" u="none" strike="noStrike" kern="0" cap="none" spc="0" normalizeH="0" baseline="0" noProof="0" smtClean="0">
                                  <a:ln>
                                    <a:noFill/>
                                  </a:ln>
                                  <a:solidFill>
                                    <a:sysClr val="windowText" lastClr="000000"/>
                                  </a:solidFill>
                                  <a:effectLst/>
                                  <a:uLnTx/>
                                  <a:uFillTx/>
                                  <a:latin typeface="Cambria Math" panose="02040503050406030204" pitchFamily="18" charset="0"/>
                                  <a:ea typeface="+mn-ea"/>
                                  <a:cs typeface="+mn-cs"/>
                                </a:rPr>
                                <m:t>(</m:t>
                              </m:r>
                              <m:r>
                                <a:rPr kumimoji="0" lang="tr-TR" sz="1000" b="0" i="1" u="none" strike="noStrike" kern="0" cap="none" spc="0" normalizeH="0" baseline="0" noProof="0" smtClean="0">
                                  <a:ln>
                                    <a:noFill/>
                                  </a:ln>
                                  <a:solidFill>
                                    <a:sysClr val="windowText" lastClr="000000"/>
                                  </a:solidFill>
                                  <a:effectLst/>
                                  <a:uLnTx/>
                                  <a:uFillTx/>
                                  <a:latin typeface="Cambria Math" panose="02040503050406030204" pitchFamily="18" charset="0"/>
                                  <a:ea typeface="+mn-ea"/>
                                  <a:cs typeface="+mn-cs"/>
                                </a:rPr>
                                <m:t>𝑔𝑟𝑎𝑑𝑒</m:t>
                              </m:r>
                              <m:r>
                                <a:rPr kumimoji="0" lang="tr-TR" sz="1000" b="0" i="1" u="none" strike="noStrike" kern="0" cap="none" spc="0" normalizeH="0" baseline="0" noProof="0" smtClean="0">
                                  <a:ln>
                                    <a:noFill/>
                                  </a:ln>
                                  <a:solidFill>
                                    <a:sysClr val="windowText" lastClr="000000"/>
                                  </a:solidFill>
                                  <a:effectLst/>
                                  <a:uLnTx/>
                                  <a:uFillTx/>
                                  <a:latin typeface="Cambria Math" panose="02040503050406030204" pitchFamily="18" charset="0"/>
                                  <a:ea typeface="+mn-ea"/>
                                  <a:cs typeface="+mn-cs"/>
                                </a:rPr>
                                <m:t>)</m:t>
                              </m:r>
                            </m:sub>
                          </m:sSub>
                          <m:r>
                            <a:rPr kumimoji="0" lang="en-US" sz="1000" b="0" i="1" u="none" strike="noStrike" kern="0" cap="none" spc="0" normalizeH="0" baseline="0" noProof="0" smtClean="0">
                              <a:ln>
                                <a:noFill/>
                              </a:ln>
                              <a:solidFill>
                                <a:sysClr val="windowText" lastClr="000000"/>
                              </a:solidFill>
                              <a:effectLst/>
                              <a:uLnTx/>
                              <a:uFillTx/>
                              <a:latin typeface="Cambria Math" panose="02040503050406030204" pitchFamily="18" charset="0"/>
                              <a:ea typeface="+mn-ea"/>
                              <a:cs typeface="+mn-cs"/>
                            </a:rPr>
                            <m:t>∗</m:t>
                          </m:r>
                          <m:sSub>
                            <m:sSubPr>
                              <m:ctrlPr>
                                <a:rPr kumimoji="0" lang="en-US" sz="1000" b="0" i="1" u="none" strike="noStrike" kern="0" cap="none" spc="0" normalizeH="0" baseline="0" noProof="0" smtClean="0">
                                  <a:ln>
                                    <a:noFill/>
                                  </a:ln>
                                  <a:solidFill>
                                    <a:srgbClr val="836967"/>
                                  </a:solidFill>
                                  <a:effectLst/>
                                  <a:uLnTx/>
                                  <a:uFillTx/>
                                  <a:latin typeface="Cambria Math" panose="02040503050406030204" pitchFamily="18" charset="0"/>
                                  <a:ea typeface="+mn-ea"/>
                                  <a:cs typeface="+mn-cs"/>
                                </a:rPr>
                              </m:ctrlPr>
                            </m:sSubPr>
                            <m:e>
                              <m:r>
                                <a:rPr kumimoji="0" lang="en-US" sz="1000" b="0" i="1" u="none" strike="noStrike" kern="0" cap="none" spc="0" normalizeH="0" baseline="0" noProof="0" smtClean="0">
                                  <a:ln>
                                    <a:noFill/>
                                  </a:ln>
                                  <a:solidFill>
                                    <a:sysClr val="windowText" lastClr="000000"/>
                                  </a:solidFill>
                                  <a:effectLst/>
                                  <a:uLnTx/>
                                  <a:uFillTx/>
                                  <a:latin typeface="Cambria Math" panose="02040503050406030204" pitchFamily="18" charset="0"/>
                                  <a:ea typeface="+mn-ea"/>
                                  <a:cs typeface="+mn-cs"/>
                                </a:rPr>
                                <m:t>𝑚</m:t>
                              </m:r>
                              <m:r>
                                <a:rPr kumimoji="0" lang="tr-TR" sz="1000" b="0" i="1" u="none" strike="noStrike" kern="0" cap="none" spc="0" normalizeH="0" baseline="0" noProof="0" smtClean="0">
                                  <a:ln>
                                    <a:noFill/>
                                  </a:ln>
                                  <a:solidFill>
                                    <a:sysClr val="windowText" lastClr="000000"/>
                                  </a:solidFill>
                                  <a:effectLst/>
                                  <a:uLnTx/>
                                  <a:uFillTx/>
                                  <a:latin typeface="Cambria Math" panose="02040503050406030204" pitchFamily="18" charset="0"/>
                                  <a:ea typeface="+mn-ea"/>
                                  <a:cs typeface="+mn-cs"/>
                                </a:rPr>
                                <m:t>𝑖𝑑𝑡𝑒𝑟𝑚</m:t>
                              </m:r>
                            </m:e>
                            <m:sub>
                              <m:d>
                                <m:dPr>
                                  <m:ctrlPr>
                                    <a:rPr kumimoji="0" lang="tr-TR" sz="1000" b="0" i="1" u="none" strike="noStrike" kern="0" cap="none" spc="0" normalizeH="0" baseline="0" noProof="0" smtClean="0">
                                      <a:ln>
                                        <a:noFill/>
                                      </a:ln>
                                      <a:solidFill>
                                        <a:sysClr val="windowText" lastClr="000000"/>
                                      </a:solidFill>
                                      <a:effectLst/>
                                      <a:uLnTx/>
                                      <a:uFillTx/>
                                      <a:latin typeface="Cambria Math" panose="02040503050406030204" pitchFamily="18" charset="0"/>
                                      <a:ea typeface="+mn-ea"/>
                                      <a:cs typeface="+mn-cs"/>
                                    </a:rPr>
                                  </m:ctrlPr>
                                </m:dPr>
                                <m:e>
                                  <m:r>
                                    <a:rPr kumimoji="0" lang="tr-TR" sz="1000" b="0" i="1" u="none" strike="noStrike" kern="0" cap="none" spc="0" normalizeH="0" baseline="0" noProof="0" smtClean="0">
                                      <a:ln>
                                        <a:noFill/>
                                      </a:ln>
                                      <a:solidFill>
                                        <a:sysClr val="windowText" lastClr="000000"/>
                                      </a:solidFill>
                                      <a:effectLst/>
                                      <a:uLnTx/>
                                      <a:uFillTx/>
                                      <a:latin typeface="Cambria Math" panose="02040503050406030204" pitchFamily="18" charset="0"/>
                                      <a:ea typeface="+mn-ea"/>
                                      <a:cs typeface="+mn-cs"/>
                                    </a:rPr>
                                    <m:t>𝑏𝑎𝑠𝑒</m:t>
                                  </m:r>
                                </m:e>
                              </m:d>
                            </m:sub>
                          </m:sSub>
                          <m:r>
                            <a:rPr kumimoji="0" lang="tr-TR" sz="1000" b="0" i="1" u="none" strike="noStrike" kern="0" cap="none" spc="0" normalizeH="0" baseline="0" noProof="0" smtClean="0">
                              <a:ln>
                                <a:noFill/>
                              </a:ln>
                              <a:solidFill>
                                <a:sysClr val="windowText" lastClr="000000"/>
                              </a:solidFill>
                              <a:effectLst/>
                              <a:uLnTx/>
                              <a:uFillTx/>
                              <a:latin typeface="Cambria Math" panose="02040503050406030204" pitchFamily="18" charset="0"/>
                              <a:ea typeface="+mn-ea"/>
                              <a:cs typeface="+mn-cs"/>
                            </a:rPr>
                            <m:t>%</m:t>
                          </m:r>
                          <m:r>
                            <a:rPr kumimoji="0" lang="en-US" sz="1000" b="0" i="1" u="none" strike="noStrike" kern="0" cap="none" spc="0" normalizeH="0" baseline="0" noProof="0" smtClean="0">
                              <a:ln>
                                <a:noFill/>
                              </a:ln>
                              <a:solidFill>
                                <a:sysClr val="windowText" lastClr="000000"/>
                              </a:solidFill>
                              <a:effectLst/>
                              <a:uLnTx/>
                              <a:uFillTx/>
                              <a:latin typeface="Cambria Math" panose="02040503050406030204" pitchFamily="18" charset="0"/>
                              <a:ea typeface="+mn-ea"/>
                              <a:cs typeface="+mn-cs"/>
                            </a:rPr>
                            <m:t>∗100</m:t>
                          </m:r>
                        </m:num>
                        <m:den>
                          <m:sSub>
                            <m:sSubPr>
                              <m:ctrlPr>
                                <a:rPr kumimoji="0" lang="en-US" sz="1000" b="0" i="1" u="none" strike="noStrike" kern="0" cap="none" spc="0" normalizeH="0" baseline="0" noProof="0" smtClean="0">
                                  <a:ln>
                                    <a:noFill/>
                                  </a:ln>
                                  <a:solidFill>
                                    <a:srgbClr val="836967"/>
                                  </a:solidFill>
                                  <a:effectLst/>
                                  <a:uLnTx/>
                                  <a:uFillTx/>
                                  <a:latin typeface="Cambria Math" panose="02040503050406030204" pitchFamily="18" charset="0"/>
                                  <a:ea typeface="+mn-ea"/>
                                  <a:cs typeface="+mn-cs"/>
                                </a:rPr>
                              </m:ctrlPr>
                            </m:sSubPr>
                            <m:e>
                              <m:r>
                                <a:rPr kumimoji="0" lang="en-US" sz="1000" b="0" i="1" u="none" strike="noStrike" kern="0" cap="none" spc="0" normalizeH="0" baseline="0" noProof="0" smtClean="0">
                                  <a:ln>
                                    <a:noFill/>
                                  </a:ln>
                                  <a:solidFill>
                                    <a:sysClr val="windowText" lastClr="000000"/>
                                  </a:solidFill>
                                  <a:effectLst/>
                                  <a:uLnTx/>
                                  <a:uFillTx/>
                                  <a:latin typeface="Cambria Math" panose="02040503050406030204" pitchFamily="18" charset="0"/>
                                  <a:ea typeface="+mn-ea"/>
                                  <a:cs typeface="+mn-cs"/>
                                </a:rPr>
                                <m:t>𝑚</m:t>
                              </m:r>
                              <m:r>
                                <a:rPr kumimoji="0" lang="tr-TR" sz="1000" b="0" i="1" u="none" strike="noStrike" kern="0" cap="none" spc="0" normalizeH="0" baseline="0" noProof="0" smtClean="0">
                                  <a:ln>
                                    <a:noFill/>
                                  </a:ln>
                                  <a:solidFill>
                                    <a:sysClr val="windowText" lastClr="000000"/>
                                  </a:solidFill>
                                  <a:effectLst/>
                                  <a:uLnTx/>
                                  <a:uFillTx/>
                                  <a:latin typeface="Cambria Math" panose="02040503050406030204" pitchFamily="18" charset="0"/>
                                  <a:ea typeface="+mn-ea"/>
                                  <a:cs typeface="+mn-cs"/>
                                </a:rPr>
                                <m:t>𝑖𝑑𝑡𝑒𝑟𝑚</m:t>
                              </m:r>
                            </m:e>
                            <m:sub>
                              <m:func>
                                <m:funcPr>
                                  <m:ctrlPr>
                                    <a:rPr kumimoji="0" lang="tr-TR" sz="1000" b="0" i="1" u="none" strike="noStrike" kern="0" cap="none" spc="0" normalizeH="0" baseline="0" noProof="0" smtClean="0">
                                      <a:ln>
                                        <a:noFill/>
                                      </a:ln>
                                      <a:solidFill>
                                        <a:sysClr val="windowText" lastClr="000000"/>
                                      </a:solidFill>
                                      <a:effectLst/>
                                      <a:uLnTx/>
                                      <a:uFillTx/>
                                      <a:latin typeface="Cambria Math" panose="02040503050406030204" pitchFamily="18" charset="0"/>
                                      <a:ea typeface="+mn-ea"/>
                                      <a:cs typeface="+mn-cs"/>
                                    </a:rPr>
                                  </m:ctrlPr>
                                </m:funcPr>
                                <m:fName>
                                  <m:r>
                                    <a:rPr kumimoji="0" lang="tr-TR" sz="1000" b="0" i="0" u="none" strike="noStrike" kern="0" cap="none" spc="0" normalizeH="0" baseline="0" noProof="0" smtClean="0">
                                      <a:ln>
                                        <a:noFill/>
                                      </a:ln>
                                      <a:solidFill>
                                        <a:sysClr val="windowText" lastClr="000000"/>
                                      </a:solidFill>
                                      <a:effectLst/>
                                      <a:uLnTx/>
                                      <a:uFillTx/>
                                      <a:latin typeface="Cambria Math" panose="02040503050406030204" pitchFamily="18" charset="0"/>
                                      <a:ea typeface="+mn-ea"/>
                                      <a:cs typeface="+mn-cs"/>
                                    </a:rPr>
                                    <m:t>(</m:t>
                                  </m:r>
                                  <m:r>
                                    <m:rPr>
                                      <m:sty m:val="p"/>
                                    </m:rPr>
                                    <a:rPr kumimoji="0" lang="tr-TR" sz="1000" b="0" i="0" u="none" strike="noStrike" kern="0" cap="none" spc="0" normalizeH="0" baseline="0" noProof="0" smtClean="0">
                                      <a:ln>
                                        <a:noFill/>
                                      </a:ln>
                                      <a:solidFill>
                                        <a:sysClr val="windowText" lastClr="000000"/>
                                      </a:solidFill>
                                      <a:effectLst/>
                                      <a:uLnTx/>
                                      <a:uFillTx/>
                                      <a:latin typeface="Cambria Math" panose="02040503050406030204" pitchFamily="18" charset="0"/>
                                      <a:ea typeface="+mn-ea"/>
                                      <a:cs typeface="+mn-cs"/>
                                    </a:rPr>
                                    <m:t>max</m:t>
                                  </m:r>
                                </m:fName>
                                <m:e>
                                  <m:r>
                                    <a:rPr kumimoji="0" lang="tr-TR" sz="1000" b="0" i="1" u="none" strike="noStrike" kern="0" cap="none" spc="0" normalizeH="0" baseline="0" noProof="0" smtClean="0">
                                      <a:ln>
                                        <a:noFill/>
                                      </a:ln>
                                      <a:solidFill>
                                        <a:sysClr val="windowText" lastClr="000000"/>
                                      </a:solidFill>
                                      <a:effectLst/>
                                      <a:uLnTx/>
                                      <a:uFillTx/>
                                      <a:latin typeface="Cambria Math" panose="02040503050406030204" pitchFamily="18" charset="0"/>
                                      <a:ea typeface="+mn-ea"/>
                                      <a:cs typeface="+mn-cs"/>
                                    </a:rPr>
                                    <m:t>𝑔𝑟𝑎𝑑𝑒</m:t>
                                  </m:r>
                                </m:e>
                              </m:func>
                              <m:r>
                                <a:rPr kumimoji="0" lang="tr-TR" sz="1000" b="0" i="1" u="none" strike="noStrike" kern="0" cap="none" spc="0" normalizeH="0" baseline="0" noProof="0" smtClean="0">
                                  <a:ln>
                                    <a:noFill/>
                                  </a:ln>
                                  <a:solidFill>
                                    <a:sysClr val="windowText" lastClr="000000"/>
                                  </a:solidFill>
                                  <a:effectLst/>
                                  <a:uLnTx/>
                                  <a:uFillTx/>
                                  <a:latin typeface="Cambria Math" panose="02040503050406030204" pitchFamily="18" charset="0"/>
                                  <a:ea typeface="+mn-ea"/>
                                  <a:cs typeface="+mn-cs"/>
                                </a:rPr>
                                <m:t>)</m:t>
                              </m:r>
                            </m:sub>
                          </m:sSub>
                        </m:den>
                      </m:f>
                    </m:e>
                  </m:d>
                  <m:r>
                    <a:rPr kumimoji="0" lang="en-US" sz="1000" b="0" i="1" u="none" strike="noStrike" kern="0" cap="none" spc="0" normalizeH="0" baseline="0" noProof="0" smtClean="0">
                      <a:ln>
                        <a:noFill/>
                      </a:ln>
                      <a:solidFill>
                        <a:sysClr val="windowText" lastClr="000000"/>
                      </a:solidFill>
                      <a:effectLst/>
                      <a:uLnTx/>
                      <a:uFillTx/>
                      <a:latin typeface="Cambria Math" panose="02040503050406030204" pitchFamily="18" charset="0"/>
                      <a:ea typeface="+mn-ea"/>
                      <a:cs typeface="+mn-cs"/>
                    </a:rPr>
                    <m:t>+</m:t>
                  </m:r>
                  <m:d>
                    <m:dPr>
                      <m:ctrlPr>
                        <a:rPr kumimoji="0" lang="en-US" sz="1100" b="0" i="1" u="none" strike="noStrike" kern="0" cap="none" spc="0" normalizeH="0" baseline="0" noProof="0" smtClean="0">
                          <a:ln>
                            <a:noFill/>
                          </a:ln>
                          <a:solidFill>
                            <a:sysClr val="windowText" lastClr="000000"/>
                          </a:solidFill>
                          <a:effectLst/>
                          <a:uLnTx/>
                          <a:uFillTx/>
                          <a:latin typeface="Cambria Math" panose="02040503050406030204" pitchFamily="18" charset="0"/>
                          <a:ea typeface="+mn-ea"/>
                          <a:cs typeface="+mn-cs"/>
                        </a:rPr>
                      </m:ctrlPr>
                    </m:dPr>
                    <m:e>
                      <m:f>
                        <m:fPr>
                          <m:ctrlPr>
                            <a:rPr kumimoji="0" lang="en-US" sz="1100" b="0" i="1" u="none" strike="noStrike" kern="0" cap="none" spc="0" normalizeH="0" baseline="0" noProof="0" smtClean="0">
                              <a:ln>
                                <a:noFill/>
                              </a:ln>
                              <a:solidFill>
                                <a:sysClr val="windowText" lastClr="000000"/>
                              </a:solidFill>
                              <a:effectLst/>
                              <a:uLnTx/>
                              <a:uFillTx/>
                              <a:latin typeface="Cambria Math" panose="02040503050406030204" pitchFamily="18" charset="0"/>
                              <a:ea typeface="+mn-ea"/>
                              <a:cs typeface="+mn-cs"/>
                            </a:rPr>
                          </m:ctrlPr>
                        </m:fPr>
                        <m:num>
                          <m:sSub>
                            <m:sSubPr>
                              <m:ctrlPr>
                                <a:rPr kumimoji="0" lang="en-US" sz="1100" b="0" i="1" u="none" strike="noStrike" kern="0" cap="none" spc="0" normalizeH="0" baseline="0" noProof="0" smtClean="0">
                                  <a:ln>
                                    <a:noFill/>
                                  </a:ln>
                                  <a:solidFill>
                                    <a:sysClr val="windowText" lastClr="000000"/>
                                  </a:solidFill>
                                  <a:effectLst/>
                                  <a:uLnTx/>
                                  <a:uFillTx/>
                                  <a:latin typeface="Cambria Math" panose="02040503050406030204" pitchFamily="18" charset="0"/>
                                  <a:ea typeface="+mn-ea"/>
                                  <a:cs typeface="+mn-cs"/>
                                </a:rPr>
                              </m:ctrlPr>
                            </m:sSubPr>
                            <m:e>
                              <m:r>
                                <a:rPr kumimoji="0" lang="tr-TR" sz="1100" b="0" i="1" u="none" strike="noStrike" kern="0" cap="none" spc="0" normalizeH="0" baseline="0" noProof="0" smtClean="0">
                                  <a:ln>
                                    <a:noFill/>
                                  </a:ln>
                                  <a:solidFill>
                                    <a:sysClr val="windowText" lastClr="000000"/>
                                  </a:solidFill>
                                  <a:effectLst/>
                                  <a:uLnTx/>
                                  <a:uFillTx/>
                                  <a:latin typeface="Cambria Math" panose="02040503050406030204" pitchFamily="18" charset="0"/>
                                  <a:ea typeface="+mn-ea"/>
                                  <a:cs typeface="+mn-cs"/>
                                </a:rPr>
                                <m:t>𝑓𝑖𝑛𝑎𝑙</m:t>
                              </m:r>
                            </m:e>
                            <m:sub>
                              <m:r>
                                <a:rPr kumimoji="0" lang="tr-TR" sz="1100" b="0" i="1" u="none" strike="noStrike" kern="0" cap="none" spc="0" normalizeH="0" baseline="0" noProof="0" smtClean="0">
                                  <a:ln>
                                    <a:noFill/>
                                  </a:ln>
                                  <a:solidFill>
                                    <a:sysClr val="windowText" lastClr="000000"/>
                                  </a:solidFill>
                                  <a:effectLst/>
                                  <a:uLnTx/>
                                  <a:uFillTx/>
                                  <a:latin typeface="Cambria Math" panose="02040503050406030204" pitchFamily="18" charset="0"/>
                                  <a:ea typeface="+mn-ea"/>
                                  <a:cs typeface="+mn-cs"/>
                                </a:rPr>
                                <m:t>(</m:t>
                              </m:r>
                              <m:r>
                                <a:rPr kumimoji="0" lang="tr-TR" sz="1100" b="0" i="1" u="none" strike="noStrike" kern="0" cap="none" spc="0" normalizeH="0" baseline="0" noProof="0" smtClean="0">
                                  <a:ln>
                                    <a:noFill/>
                                  </a:ln>
                                  <a:solidFill>
                                    <a:sysClr val="windowText" lastClr="000000"/>
                                  </a:solidFill>
                                  <a:effectLst/>
                                  <a:uLnTx/>
                                  <a:uFillTx/>
                                  <a:latin typeface="Cambria Math" panose="02040503050406030204" pitchFamily="18" charset="0"/>
                                  <a:ea typeface="+mn-ea"/>
                                  <a:cs typeface="+mn-cs"/>
                                </a:rPr>
                                <m:t>𝑔𝑟𝑎𝑑𝑒</m:t>
                              </m:r>
                              <m:r>
                                <a:rPr kumimoji="0" lang="tr-TR" sz="1100" b="0" i="1" u="none" strike="noStrike" kern="0" cap="none" spc="0" normalizeH="0" baseline="0" noProof="0" smtClean="0">
                                  <a:ln>
                                    <a:noFill/>
                                  </a:ln>
                                  <a:solidFill>
                                    <a:sysClr val="windowText" lastClr="000000"/>
                                  </a:solidFill>
                                  <a:effectLst/>
                                  <a:uLnTx/>
                                  <a:uFillTx/>
                                  <a:latin typeface="Cambria Math" panose="02040503050406030204" pitchFamily="18" charset="0"/>
                                  <a:ea typeface="+mn-ea"/>
                                  <a:cs typeface="+mn-cs"/>
                                </a:rPr>
                                <m:t>)</m:t>
                              </m:r>
                            </m:sub>
                          </m:sSub>
                          <m:r>
                            <a:rPr kumimoji="0" lang="en-US" sz="1100" b="0" i="1" u="none" strike="noStrike" kern="0" cap="none" spc="0" normalizeH="0" baseline="0" noProof="0" smtClean="0">
                              <a:ln>
                                <a:noFill/>
                              </a:ln>
                              <a:solidFill>
                                <a:sysClr val="windowText" lastClr="000000"/>
                              </a:solidFill>
                              <a:effectLst/>
                              <a:uLnTx/>
                              <a:uFillTx/>
                              <a:latin typeface="Cambria Math" panose="02040503050406030204" pitchFamily="18" charset="0"/>
                              <a:ea typeface="+mn-ea"/>
                              <a:cs typeface="+mn-cs"/>
                            </a:rPr>
                            <m:t>∗</m:t>
                          </m:r>
                          <m:sSub>
                            <m:sSubPr>
                              <m:ctrlPr>
                                <a:rPr kumimoji="0" lang="en-US" sz="1100" b="0" i="1" u="none" strike="noStrike" kern="0" cap="none" spc="0" normalizeH="0" baseline="0" noProof="0" smtClean="0">
                                  <a:ln>
                                    <a:noFill/>
                                  </a:ln>
                                  <a:solidFill>
                                    <a:sysClr val="windowText" lastClr="000000"/>
                                  </a:solidFill>
                                  <a:effectLst/>
                                  <a:uLnTx/>
                                  <a:uFillTx/>
                                  <a:latin typeface="Cambria Math" panose="02040503050406030204" pitchFamily="18" charset="0"/>
                                  <a:ea typeface="+mn-ea"/>
                                  <a:cs typeface="+mn-cs"/>
                                </a:rPr>
                              </m:ctrlPr>
                            </m:sSubPr>
                            <m:e>
                              <m:r>
                                <a:rPr kumimoji="0" lang="tr-TR" sz="1100" b="0" i="1" u="none" strike="noStrike" kern="0" cap="none" spc="0" normalizeH="0" baseline="0" noProof="0" smtClean="0">
                                  <a:ln>
                                    <a:noFill/>
                                  </a:ln>
                                  <a:solidFill>
                                    <a:sysClr val="windowText" lastClr="000000"/>
                                  </a:solidFill>
                                  <a:effectLst/>
                                  <a:uLnTx/>
                                  <a:uFillTx/>
                                  <a:latin typeface="Cambria Math" panose="02040503050406030204" pitchFamily="18" charset="0"/>
                                  <a:ea typeface="+mn-ea"/>
                                  <a:cs typeface="+mn-cs"/>
                                </a:rPr>
                                <m:t>𝑓𝑖𝑛𝑎𝑙</m:t>
                              </m:r>
                            </m:e>
                            <m:sub>
                              <m:d>
                                <m:dPr>
                                  <m:ctrlPr>
                                    <a:rPr kumimoji="0" lang="tr-TR" sz="1100" b="0" i="1" u="none" strike="noStrike" kern="0" cap="none" spc="0" normalizeH="0" baseline="0" noProof="0" smtClean="0">
                                      <a:ln>
                                        <a:noFill/>
                                      </a:ln>
                                      <a:solidFill>
                                        <a:sysClr val="windowText" lastClr="000000"/>
                                      </a:solidFill>
                                      <a:effectLst/>
                                      <a:uLnTx/>
                                      <a:uFillTx/>
                                      <a:latin typeface="Cambria Math" panose="02040503050406030204" pitchFamily="18" charset="0"/>
                                      <a:ea typeface="+mn-ea"/>
                                      <a:cs typeface="+mn-cs"/>
                                    </a:rPr>
                                  </m:ctrlPr>
                                </m:dPr>
                                <m:e>
                                  <m:r>
                                    <a:rPr kumimoji="0" lang="tr-TR" sz="1100" b="0" i="1" u="none" strike="noStrike" kern="0" cap="none" spc="0" normalizeH="0" baseline="0" noProof="0" smtClean="0">
                                      <a:ln>
                                        <a:noFill/>
                                      </a:ln>
                                      <a:solidFill>
                                        <a:sysClr val="windowText" lastClr="000000"/>
                                      </a:solidFill>
                                      <a:effectLst/>
                                      <a:uLnTx/>
                                      <a:uFillTx/>
                                      <a:latin typeface="Cambria Math" panose="02040503050406030204" pitchFamily="18" charset="0"/>
                                      <a:ea typeface="+mn-ea"/>
                                      <a:cs typeface="+mn-cs"/>
                                    </a:rPr>
                                    <m:t>𝑏𝑎𝑠𝑒</m:t>
                                  </m:r>
                                </m:e>
                              </m:d>
                            </m:sub>
                          </m:sSub>
                          <m:r>
                            <a:rPr kumimoji="0" lang="tr-TR" sz="1100" b="0" i="1" u="none" strike="noStrike" kern="0" cap="none" spc="0" normalizeH="0" baseline="0" noProof="0" smtClean="0">
                              <a:ln>
                                <a:noFill/>
                              </a:ln>
                              <a:solidFill>
                                <a:sysClr val="windowText" lastClr="000000"/>
                              </a:solidFill>
                              <a:effectLst/>
                              <a:uLnTx/>
                              <a:uFillTx/>
                              <a:latin typeface="Cambria Math" panose="02040503050406030204" pitchFamily="18" charset="0"/>
                              <a:ea typeface="+mn-ea"/>
                              <a:cs typeface="+mn-cs"/>
                            </a:rPr>
                            <m:t>%</m:t>
                          </m:r>
                          <m:r>
                            <a:rPr kumimoji="0" lang="en-US" sz="1100" b="0" i="1" u="none" strike="noStrike" kern="0" cap="none" spc="0" normalizeH="0" baseline="0" noProof="0" smtClean="0">
                              <a:ln>
                                <a:noFill/>
                              </a:ln>
                              <a:solidFill>
                                <a:sysClr val="windowText" lastClr="000000"/>
                              </a:solidFill>
                              <a:effectLst/>
                              <a:uLnTx/>
                              <a:uFillTx/>
                              <a:latin typeface="Cambria Math" panose="02040503050406030204" pitchFamily="18" charset="0"/>
                              <a:ea typeface="+mn-ea"/>
                              <a:cs typeface="+mn-cs"/>
                            </a:rPr>
                            <m:t>∗100</m:t>
                          </m:r>
                        </m:num>
                        <m:den>
                          <m:sSub>
                            <m:sSubPr>
                              <m:ctrlPr>
                                <a:rPr kumimoji="0" lang="en-US" sz="1100" b="0" i="1" u="none" strike="noStrike" kern="0" cap="none" spc="0" normalizeH="0" baseline="0" noProof="0" smtClean="0">
                                  <a:ln>
                                    <a:noFill/>
                                  </a:ln>
                                  <a:solidFill>
                                    <a:sysClr val="windowText" lastClr="000000"/>
                                  </a:solidFill>
                                  <a:effectLst/>
                                  <a:uLnTx/>
                                  <a:uFillTx/>
                                  <a:latin typeface="Cambria Math" panose="02040503050406030204" pitchFamily="18" charset="0"/>
                                  <a:ea typeface="+mn-ea"/>
                                  <a:cs typeface="+mn-cs"/>
                                </a:rPr>
                              </m:ctrlPr>
                            </m:sSubPr>
                            <m:e>
                              <m:r>
                                <a:rPr kumimoji="0" lang="tr-TR" sz="1100" b="0" i="1" u="none" strike="noStrike" kern="0" cap="none" spc="0" normalizeH="0" baseline="0" noProof="0" smtClean="0">
                                  <a:ln>
                                    <a:noFill/>
                                  </a:ln>
                                  <a:solidFill>
                                    <a:sysClr val="windowText" lastClr="000000"/>
                                  </a:solidFill>
                                  <a:effectLst/>
                                  <a:uLnTx/>
                                  <a:uFillTx/>
                                  <a:latin typeface="Cambria Math" panose="02040503050406030204" pitchFamily="18" charset="0"/>
                                  <a:ea typeface="+mn-ea"/>
                                  <a:cs typeface="+mn-cs"/>
                                </a:rPr>
                                <m:t>𝑓𝑖𝑛𝑎𝑙</m:t>
                              </m:r>
                            </m:e>
                            <m:sub>
                              <m:func>
                                <m:funcPr>
                                  <m:ctrlPr>
                                    <a:rPr kumimoji="0" lang="tr-TR" sz="1100" b="0" i="1" u="none" strike="noStrike" kern="0" cap="none" spc="0" normalizeH="0" baseline="0" noProof="0" smtClean="0">
                                      <a:ln>
                                        <a:noFill/>
                                      </a:ln>
                                      <a:solidFill>
                                        <a:sysClr val="windowText" lastClr="000000"/>
                                      </a:solidFill>
                                      <a:effectLst/>
                                      <a:uLnTx/>
                                      <a:uFillTx/>
                                      <a:latin typeface="Cambria Math" panose="02040503050406030204" pitchFamily="18" charset="0"/>
                                      <a:ea typeface="+mn-ea"/>
                                      <a:cs typeface="+mn-cs"/>
                                    </a:rPr>
                                  </m:ctrlPr>
                                </m:funcPr>
                                <m:fName>
                                  <m:r>
                                    <a:rPr kumimoji="0" lang="tr-TR" sz="1100" b="0" i="0" u="none" strike="noStrike" kern="0" cap="none" spc="0" normalizeH="0" baseline="0" noProof="0" smtClean="0">
                                      <a:ln>
                                        <a:noFill/>
                                      </a:ln>
                                      <a:solidFill>
                                        <a:sysClr val="windowText" lastClr="000000"/>
                                      </a:solidFill>
                                      <a:effectLst/>
                                      <a:uLnTx/>
                                      <a:uFillTx/>
                                      <a:latin typeface="Cambria Math" panose="02040503050406030204" pitchFamily="18" charset="0"/>
                                      <a:ea typeface="+mn-ea"/>
                                      <a:cs typeface="+mn-cs"/>
                                    </a:rPr>
                                    <m:t>(</m:t>
                                  </m:r>
                                  <m:r>
                                    <m:rPr>
                                      <m:sty m:val="p"/>
                                    </m:rPr>
                                    <a:rPr kumimoji="0" lang="tr-TR" sz="1100" b="0" i="0" u="none" strike="noStrike" kern="0" cap="none" spc="0" normalizeH="0" baseline="0" noProof="0" smtClean="0">
                                      <a:ln>
                                        <a:noFill/>
                                      </a:ln>
                                      <a:solidFill>
                                        <a:sysClr val="windowText" lastClr="000000"/>
                                      </a:solidFill>
                                      <a:effectLst/>
                                      <a:uLnTx/>
                                      <a:uFillTx/>
                                      <a:latin typeface="Cambria Math" panose="02040503050406030204" pitchFamily="18" charset="0"/>
                                      <a:ea typeface="+mn-ea"/>
                                      <a:cs typeface="+mn-cs"/>
                                    </a:rPr>
                                    <m:t>max</m:t>
                                  </m:r>
                                </m:fName>
                                <m:e>
                                  <m:r>
                                    <a:rPr kumimoji="0" lang="tr-TR" sz="1100" b="0" i="1" u="none" strike="noStrike" kern="0" cap="none" spc="0" normalizeH="0" baseline="0" noProof="0" smtClean="0">
                                      <a:ln>
                                        <a:noFill/>
                                      </a:ln>
                                      <a:solidFill>
                                        <a:sysClr val="windowText" lastClr="000000"/>
                                      </a:solidFill>
                                      <a:effectLst/>
                                      <a:uLnTx/>
                                      <a:uFillTx/>
                                      <a:latin typeface="Cambria Math" panose="02040503050406030204" pitchFamily="18" charset="0"/>
                                      <a:ea typeface="+mn-ea"/>
                                      <a:cs typeface="+mn-cs"/>
                                    </a:rPr>
                                    <m:t>𝑔𝑟𝑎𝑑𝑒</m:t>
                                  </m:r>
                                </m:e>
                              </m:func>
                              <m:r>
                                <a:rPr kumimoji="0" lang="tr-TR" sz="1100" b="0" i="1" u="none" strike="noStrike" kern="0" cap="none" spc="0" normalizeH="0" baseline="0" noProof="0" smtClean="0">
                                  <a:ln>
                                    <a:noFill/>
                                  </a:ln>
                                  <a:solidFill>
                                    <a:sysClr val="windowText" lastClr="000000"/>
                                  </a:solidFill>
                                  <a:effectLst/>
                                  <a:uLnTx/>
                                  <a:uFillTx/>
                                  <a:latin typeface="Cambria Math" panose="02040503050406030204" pitchFamily="18" charset="0"/>
                                  <a:ea typeface="+mn-ea"/>
                                  <a:cs typeface="+mn-cs"/>
                                </a:rPr>
                                <m:t>)</m:t>
                              </m:r>
                            </m:sub>
                          </m:sSub>
                        </m:den>
                      </m:f>
                    </m:e>
                  </m:d>
                  <m:r>
                    <a:rPr kumimoji="0" lang="en-US" sz="1100" b="0" i="1" u="none" strike="noStrike" kern="0" cap="none" spc="0" normalizeH="0" baseline="0" noProof="0" smtClean="0">
                      <a:ln>
                        <a:noFill/>
                      </a:ln>
                      <a:solidFill>
                        <a:sysClr val="windowText" lastClr="000000"/>
                      </a:solidFill>
                      <a:effectLst/>
                      <a:uLnTx/>
                      <a:uFillTx/>
                      <a:latin typeface="Cambria Math" panose="02040503050406030204" pitchFamily="18" charset="0"/>
                      <a:ea typeface="+mn-ea"/>
                      <a:cs typeface="+mn-cs"/>
                    </a:rPr>
                    <m:t>+</m:t>
                  </m:r>
                  <m:d>
                    <m:dPr>
                      <m:ctrlPr>
                        <a:rPr kumimoji="0" lang="en-US" sz="1100" b="0" i="1" u="none" strike="noStrike" kern="0" cap="none" spc="0" normalizeH="0" baseline="0" noProof="0" smtClean="0">
                          <a:ln>
                            <a:noFill/>
                          </a:ln>
                          <a:solidFill>
                            <a:sysClr val="windowText" lastClr="000000"/>
                          </a:solidFill>
                          <a:effectLst/>
                          <a:uLnTx/>
                          <a:uFillTx/>
                          <a:latin typeface="Cambria Math" panose="02040503050406030204" pitchFamily="18" charset="0"/>
                          <a:ea typeface="+mn-ea"/>
                          <a:cs typeface="+mn-cs"/>
                        </a:rPr>
                      </m:ctrlPr>
                    </m:dPr>
                    <m:e>
                      <m:f>
                        <m:fPr>
                          <m:ctrlPr>
                            <a:rPr kumimoji="0" lang="en-US" sz="1100" b="0" i="1" u="none" strike="noStrike" kern="0" cap="none" spc="0" normalizeH="0" baseline="0" noProof="0" smtClean="0">
                              <a:ln>
                                <a:noFill/>
                              </a:ln>
                              <a:solidFill>
                                <a:sysClr val="windowText" lastClr="000000"/>
                              </a:solidFill>
                              <a:effectLst/>
                              <a:uLnTx/>
                              <a:uFillTx/>
                              <a:latin typeface="Cambria Math" panose="02040503050406030204" pitchFamily="18" charset="0"/>
                              <a:ea typeface="+mn-ea"/>
                              <a:cs typeface="+mn-cs"/>
                            </a:rPr>
                          </m:ctrlPr>
                        </m:fPr>
                        <m:num>
                          <m:sSub>
                            <m:sSubPr>
                              <m:ctrlPr>
                                <a:rPr kumimoji="0" lang="en-US" sz="1100" b="0" i="1" u="none" strike="noStrike" kern="0" cap="none" spc="0" normalizeH="0" baseline="0" noProof="0" smtClean="0">
                                  <a:ln>
                                    <a:noFill/>
                                  </a:ln>
                                  <a:solidFill>
                                    <a:sysClr val="windowText" lastClr="000000"/>
                                  </a:solidFill>
                                  <a:effectLst/>
                                  <a:uLnTx/>
                                  <a:uFillTx/>
                                  <a:latin typeface="Cambria Math" panose="02040503050406030204" pitchFamily="18" charset="0"/>
                                  <a:ea typeface="+mn-ea"/>
                                  <a:cs typeface="+mn-cs"/>
                                </a:rPr>
                              </m:ctrlPr>
                            </m:sSubPr>
                            <m:e>
                              <m:r>
                                <a:rPr kumimoji="0" lang="tr-TR" sz="1100" b="0" i="1" u="none" strike="noStrike" kern="0" cap="none" spc="0" normalizeH="0" baseline="0" noProof="0" smtClean="0">
                                  <a:ln>
                                    <a:noFill/>
                                  </a:ln>
                                  <a:solidFill>
                                    <a:sysClr val="windowText" lastClr="000000"/>
                                  </a:solidFill>
                                  <a:effectLst/>
                                  <a:uLnTx/>
                                  <a:uFillTx/>
                                  <a:latin typeface="Cambria Math" panose="02040503050406030204" pitchFamily="18" charset="0"/>
                                  <a:ea typeface="+mn-ea"/>
                                  <a:cs typeface="+mn-cs"/>
                                </a:rPr>
                                <m:t>𝐿𝑎𝑏</m:t>
                              </m:r>
                            </m:e>
                            <m:sub>
                              <m:r>
                                <a:rPr kumimoji="0" lang="tr-TR" sz="1100" b="0" i="1" u="none" strike="noStrike" kern="0" cap="none" spc="0" normalizeH="0" baseline="0" noProof="0" smtClean="0">
                                  <a:ln>
                                    <a:noFill/>
                                  </a:ln>
                                  <a:solidFill>
                                    <a:sysClr val="windowText" lastClr="000000"/>
                                  </a:solidFill>
                                  <a:effectLst/>
                                  <a:uLnTx/>
                                  <a:uFillTx/>
                                  <a:latin typeface="Cambria Math" panose="02040503050406030204" pitchFamily="18" charset="0"/>
                                  <a:ea typeface="+mn-ea"/>
                                  <a:cs typeface="+mn-cs"/>
                                </a:rPr>
                                <m:t>(</m:t>
                              </m:r>
                              <m:r>
                                <a:rPr kumimoji="0" lang="tr-TR" sz="1100" b="0" i="1" u="none" strike="noStrike" kern="0" cap="none" spc="0" normalizeH="0" baseline="0" noProof="0" smtClean="0">
                                  <a:ln>
                                    <a:noFill/>
                                  </a:ln>
                                  <a:solidFill>
                                    <a:sysClr val="windowText" lastClr="000000"/>
                                  </a:solidFill>
                                  <a:effectLst/>
                                  <a:uLnTx/>
                                  <a:uFillTx/>
                                  <a:latin typeface="Cambria Math" panose="02040503050406030204" pitchFamily="18" charset="0"/>
                                  <a:ea typeface="+mn-ea"/>
                                  <a:cs typeface="+mn-cs"/>
                                </a:rPr>
                                <m:t>𝑔𝑟𝑎𝑑𝑒</m:t>
                              </m:r>
                              <m:r>
                                <a:rPr kumimoji="0" lang="tr-TR" sz="1100" b="0" i="1" u="none" strike="noStrike" kern="0" cap="none" spc="0" normalizeH="0" baseline="0" noProof="0" smtClean="0">
                                  <a:ln>
                                    <a:noFill/>
                                  </a:ln>
                                  <a:solidFill>
                                    <a:sysClr val="windowText" lastClr="000000"/>
                                  </a:solidFill>
                                  <a:effectLst/>
                                  <a:uLnTx/>
                                  <a:uFillTx/>
                                  <a:latin typeface="Cambria Math" panose="02040503050406030204" pitchFamily="18" charset="0"/>
                                  <a:ea typeface="+mn-ea"/>
                                  <a:cs typeface="+mn-cs"/>
                                </a:rPr>
                                <m:t>)</m:t>
                              </m:r>
                            </m:sub>
                          </m:sSub>
                          <m:r>
                            <a:rPr kumimoji="0" lang="en-US" sz="1100" b="0" i="1" u="none" strike="noStrike" kern="0" cap="none" spc="0" normalizeH="0" baseline="0" noProof="0" smtClean="0">
                              <a:ln>
                                <a:noFill/>
                              </a:ln>
                              <a:solidFill>
                                <a:sysClr val="windowText" lastClr="000000"/>
                              </a:solidFill>
                              <a:effectLst/>
                              <a:uLnTx/>
                              <a:uFillTx/>
                              <a:latin typeface="Cambria Math" panose="02040503050406030204" pitchFamily="18" charset="0"/>
                              <a:ea typeface="+mn-ea"/>
                              <a:cs typeface="+mn-cs"/>
                            </a:rPr>
                            <m:t>∗</m:t>
                          </m:r>
                          <m:sSub>
                            <m:sSubPr>
                              <m:ctrlPr>
                                <a:rPr kumimoji="0" lang="en-US" sz="1100" b="0" i="1" u="none" strike="noStrike" kern="0" cap="none" spc="0" normalizeH="0" baseline="0" noProof="0" smtClean="0">
                                  <a:ln>
                                    <a:noFill/>
                                  </a:ln>
                                  <a:solidFill>
                                    <a:sysClr val="windowText" lastClr="000000"/>
                                  </a:solidFill>
                                  <a:effectLst/>
                                  <a:uLnTx/>
                                  <a:uFillTx/>
                                  <a:latin typeface="Cambria Math" panose="02040503050406030204" pitchFamily="18" charset="0"/>
                                  <a:ea typeface="+mn-ea"/>
                                  <a:cs typeface="+mn-cs"/>
                                </a:rPr>
                              </m:ctrlPr>
                            </m:sSubPr>
                            <m:e>
                              <m:r>
                                <a:rPr kumimoji="0" lang="tr-TR" sz="1100" b="0" i="1" u="none" strike="noStrike" kern="0" cap="none" spc="0" normalizeH="0" baseline="0" noProof="0" smtClean="0">
                                  <a:ln>
                                    <a:noFill/>
                                  </a:ln>
                                  <a:solidFill>
                                    <a:sysClr val="windowText" lastClr="000000"/>
                                  </a:solidFill>
                                  <a:effectLst/>
                                  <a:uLnTx/>
                                  <a:uFillTx/>
                                  <a:latin typeface="Cambria Math" panose="02040503050406030204" pitchFamily="18" charset="0"/>
                                  <a:ea typeface="+mn-ea"/>
                                  <a:cs typeface="+mn-cs"/>
                                </a:rPr>
                                <m:t>𝐿𝑎𝑏</m:t>
                              </m:r>
                            </m:e>
                            <m:sub>
                              <m:d>
                                <m:dPr>
                                  <m:ctrlPr>
                                    <a:rPr kumimoji="0" lang="tr-TR" sz="1100" b="0" i="1" u="none" strike="noStrike" kern="0" cap="none" spc="0" normalizeH="0" baseline="0" noProof="0" smtClean="0">
                                      <a:ln>
                                        <a:noFill/>
                                      </a:ln>
                                      <a:solidFill>
                                        <a:sysClr val="windowText" lastClr="000000"/>
                                      </a:solidFill>
                                      <a:effectLst/>
                                      <a:uLnTx/>
                                      <a:uFillTx/>
                                      <a:latin typeface="Cambria Math" panose="02040503050406030204" pitchFamily="18" charset="0"/>
                                      <a:ea typeface="+mn-ea"/>
                                      <a:cs typeface="+mn-cs"/>
                                    </a:rPr>
                                  </m:ctrlPr>
                                </m:dPr>
                                <m:e>
                                  <m:r>
                                    <a:rPr kumimoji="0" lang="tr-TR" sz="1100" b="0" i="1" u="none" strike="noStrike" kern="0" cap="none" spc="0" normalizeH="0" baseline="0" noProof="0" smtClean="0">
                                      <a:ln>
                                        <a:noFill/>
                                      </a:ln>
                                      <a:solidFill>
                                        <a:sysClr val="windowText" lastClr="000000"/>
                                      </a:solidFill>
                                      <a:effectLst/>
                                      <a:uLnTx/>
                                      <a:uFillTx/>
                                      <a:latin typeface="Cambria Math" panose="02040503050406030204" pitchFamily="18" charset="0"/>
                                      <a:ea typeface="+mn-ea"/>
                                      <a:cs typeface="+mn-cs"/>
                                    </a:rPr>
                                    <m:t>𝑏𝑎𝑠𝑒</m:t>
                                  </m:r>
                                </m:e>
                              </m:d>
                            </m:sub>
                          </m:sSub>
                          <m:r>
                            <a:rPr kumimoji="0" lang="tr-TR" sz="1100" b="0" i="1" u="none" strike="noStrike" kern="0" cap="none" spc="0" normalizeH="0" baseline="0" noProof="0" smtClean="0">
                              <a:ln>
                                <a:noFill/>
                              </a:ln>
                              <a:solidFill>
                                <a:sysClr val="windowText" lastClr="000000"/>
                              </a:solidFill>
                              <a:effectLst/>
                              <a:uLnTx/>
                              <a:uFillTx/>
                              <a:latin typeface="Cambria Math" panose="02040503050406030204" pitchFamily="18" charset="0"/>
                              <a:ea typeface="+mn-ea"/>
                              <a:cs typeface="+mn-cs"/>
                            </a:rPr>
                            <m:t>%</m:t>
                          </m:r>
                          <m:r>
                            <a:rPr kumimoji="0" lang="en-US" sz="1100" b="0" i="1" u="none" strike="noStrike" kern="0" cap="none" spc="0" normalizeH="0" baseline="0" noProof="0" smtClean="0">
                              <a:ln>
                                <a:noFill/>
                              </a:ln>
                              <a:solidFill>
                                <a:sysClr val="windowText" lastClr="000000"/>
                              </a:solidFill>
                              <a:effectLst/>
                              <a:uLnTx/>
                              <a:uFillTx/>
                              <a:latin typeface="Cambria Math" panose="02040503050406030204" pitchFamily="18" charset="0"/>
                              <a:ea typeface="+mn-ea"/>
                              <a:cs typeface="+mn-cs"/>
                            </a:rPr>
                            <m:t>∗100</m:t>
                          </m:r>
                        </m:num>
                        <m:den>
                          <m:sSub>
                            <m:sSubPr>
                              <m:ctrlPr>
                                <a:rPr kumimoji="0" lang="en-US" sz="1100" b="0" i="1" u="none" strike="noStrike" kern="0" cap="none" spc="0" normalizeH="0" baseline="0" noProof="0" smtClean="0">
                                  <a:ln>
                                    <a:noFill/>
                                  </a:ln>
                                  <a:solidFill>
                                    <a:sysClr val="windowText" lastClr="000000"/>
                                  </a:solidFill>
                                  <a:effectLst/>
                                  <a:uLnTx/>
                                  <a:uFillTx/>
                                  <a:latin typeface="Cambria Math" panose="02040503050406030204" pitchFamily="18" charset="0"/>
                                  <a:ea typeface="+mn-ea"/>
                                  <a:cs typeface="+mn-cs"/>
                                </a:rPr>
                              </m:ctrlPr>
                            </m:sSubPr>
                            <m:e>
                              <m:r>
                                <a:rPr kumimoji="0" lang="tr-TR" sz="1100" b="0" i="1" u="none" strike="noStrike" kern="0" cap="none" spc="0" normalizeH="0" baseline="0" noProof="0" smtClean="0">
                                  <a:ln>
                                    <a:noFill/>
                                  </a:ln>
                                  <a:solidFill>
                                    <a:sysClr val="windowText" lastClr="000000"/>
                                  </a:solidFill>
                                  <a:effectLst/>
                                  <a:uLnTx/>
                                  <a:uFillTx/>
                                  <a:latin typeface="Cambria Math" panose="02040503050406030204" pitchFamily="18" charset="0"/>
                                  <a:ea typeface="+mn-ea"/>
                                  <a:cs typeface="+mn-cs"/>
                                </a:rPr>
                                <m:t>𝐿𝑎𝑏</m:t>
                              </m:r>
                            </m:e>
                            <m:sub>
                              <m:func>
                                <m:funcPr>
                                  <m:ctrlPr>
                                    <a:rPr kumimoji="0" lang="tr-TR" sz="1100" b="0" i="1" u="none" strike="noStrike" kern="0" cap="none" spc="0" normalizeH="0" baseline="0" noProof="0" smtClean="0">
                                      <a:ln>
                                        <a:noFill/>
                                      </a:ln>
                                      <a:solidFill>
                                        <a:sysClr val="windowText" lastClr="000000"/>
                                      </a:solidFill>
                                      <a:effectLst/>
                                      <a:uLnTx/>
                                      <a:uFillTx/>
                                      <a:latin typeface="Cambria Math" panose="02040503050406030204" pitchFamily="18" charset="0"/>
                                      <a:ea typeface="+mn-ea"/>
                                      <a:cs typeface="+mn-cs"/>
                                    </a:rPr>
                                  </m:ctrlPr>
                                </m:funcPr>
                                <m:fName>
                                  <m:r>
                                    <a:rPr kumimoji="0" lang="tr-TR" sz="1100" b="0" i="0" u="none" strike="noStrike" kern="0" cap="none" spc="0" normalizeH="0" baseline="0" noProof="0" smtClean="0">
                                      <a:ln>
                                        <a:noFill/>
                                      </a:ln>
                                      <a:solidFill>
                                        <a:sysClr val="windowText" lastClr="000000"/>
                                      </a:solidFill>
                                      <a:effectLst/>
                                      <a:uLnTx/>
                                      <a:uFillTx/>
                                      <a:latin typeface="Cambria Math" panose="02040503050406030204" pitchFamily="18" charset="0"/>
                                      <a:ea typeface="+mn-ea"/>
                                      <a:cs typeface="+mn-cs"/>
                                    </a:rPr>
                                    <m:t>(</m:t>
                                  </m:r>
                                  <m:r>
                                    <m:rPr>
                                      <m:sty m:val="p"/>
                                    </m:rPr>
                                    <a:rPr kumimoji="0" lang="tr-TR" sz="1100" b="0" i="0" u="none" strike="noStrike" kern="0" cap="none" spc="0" normalizeH="0" baseline="0" noProof="0" smtClean="0">
                                      <a:ln>
                                        <a:noFill/>
                                      </a:ln>
                                      <a:solidFill>
                                        <a:sysClr val="windowText" lastClr="000000"/>
                                      </a:solidFill>
                                      <a:effectLst/>
                                      <a:uLnTx/>
                                      <a:uFillTx/>
                                      <a:latin typeface="Cambria Math" panose="02040503050406030204" pitchFamily="18" charset="0"/>
                                      <a:ea typeface="+mn-ea"/>
                                      <a:cs typeface="+mn-cs"/>
                                    </a:rPr>
                                    <m:t>max</m:t>
                                  </m:r>
                                </m:fName>
                                <m:e>
                                  <m:r>
                                    <a:rPr kumimoji="0" lang="tr-TR" sz="1100" b="0" i="1" u="none" strike="noStrike" kern="0" cap="none" spc="0" normalizeH="0" baseline="0" noProof="0" smtClean="0">
                                      <a:ln>
                                        <a:noFill/>
                                      </a:ln>
                                      <a:solidFill>
                                        <a:sysClr val="windowText" lastClr="000000"/>
                                      </a:solidFill>
                                      <a:effectLst/>
                                      <a:uLnTx/>
                                      <a:uFillTx/>
                                      <a:latin typeface="Cambria Math" panose="02040503050406030204" pitchFamily="18" charset="0"/>
                                      <a:ea typeface="+mn-ea"/>
                                      <a:cs typeface="+mn-cs"/>
                                    </a:rPr>
                                    <m:t>𝑔𝑟𝑎𝑑𝑒</m:t>
                                  </m:r>
                                </m:e>
                              </m:func>
                              <m:r>
                                <a:rPr kumimoji="0" lang="tr-TR" sz="1100" b="0" i="1" u="none" strike="noStrike" kern="0" cap="none" spc="0" normalizeH="0" baseline="0" noProof="0" smtClean="0">
                                  <a:ln>
                                    <a:noFill/>
                                  </a:ln>
                                  <a:solidFill>
                                    <a:sysClr val="windowText" lastClr="000000"/>
                                  </a:solidFill>
                                  <a:effectLst/>
                                  <a:uLnTx/>
                                  <a:uFillTx/>
                                  <a:latin typeface="Cambria Math" panose="02040503050406030204" pitchFamily="18" charset="0"/>
                                  <a:ea typeface="+mn-ea"/>
                                  <a:cs typeface="+mn-cs"/>
                                </a:rPr>
                                <m:t>)</m:t>
                              </m:r>
                            </m:sub>
                          </m:sSub>
                        </m:den>
                      </m:f>
                    </m:e>
                  </m:d>
                  <m:r>
                    <a:rPr kumimoji="0" lang="en-US" sz="1100" b="0" i="1" u="none" strike="noStrike" kern="0" cap="none" spc="0" normalizeH="0" baseline="0" noProof="0" smtClean="0">
                      <a:ln>
                        <a:noFill/>
                      </a:ln>
                      <a:solidFill>
                        <a:sysClr val="windowText" lastClr="000000"/>
                      </a:solidFill>
                      <a:effectLst/>
                      <a:uLnTx/>
                      <a:uFillTx/>
                      <a:latin typeface="Cambria Math" panose="02040503050406030204" pitchFamily="18" charset="0"/>
                      <a:ea typeface="+mn-ea"/>
                      <a:cs typeface="+mn-cs"/>
                    </a:rPr>
                    <m:t>+</m:t>
                  </m:r>
                  <m:d>
                    <m:dPr>
                      <m:ctrlPr>
                        <a:rPr kumimoji="0" lang="en-US" sz="1100" b="0" i="1" u="none" strike="noStrike" kern="0" cap="none" spc="0" normalizeH="0" baseline="0" noProof="0" smtClean="0">
                          <a:ln>
                            <a:noFill/>
                          </a:ln>
                          <a:solidFill>
                            <a:sysClr val="windowText" lastClr="000000"/>
                          </a:solidFill>
                          <a:effectLst/>
                          <a:uLnTx/>
                          <a:uFillTx/>
                          <a:latin typeface="Cambria Math" panose="02040503050406030204" pitchFamily="18" charset="0"/>
                          <a:ea typeface="+mn-ea"/>
                          <a:cs typeface="+mn-cs"/>
                        </a:rPr>
                      </m:ctrlPr>
                    </m:dPr>
                    <m:e>
                      <m:f>
                        <m:fPr>
                          <m:ctrlPr>
                            <a:rPr kumimoji="0" lang="en-US" sz="1100" b="0" i="1" u="none" strike="noStrike" kern="0" cap="none" spc="0" normalizeH="0" baseline="0" noProof="0" smtClean="0">
                              <a:ln>
                                <a:noFill/>
                              </a:ln>
                              <a:solidFill>
                                <a:sysClr val="windowText" lastClr="000000"/>
                              </a:solidFill>
                              <a:effectLst/>
                              <a:uLnTx/>
                              <a:uFillTx/>
                              <a:latin typeface="Cambria Math" panose="02040503050406030204" pitchFamily="18" charset="0"/>
                              <a:ea typeface="+mn-ea"/>
                              <a:cs typeface="+mn-cs"/>
                            </a:rPr>
                          </m:ctrlPr>
                        </m:fPr>
                        <m:num>
                          <m:sSub>
                            <m:sSubPr>
                              <m:ctrlPr>
                                <a:rPr kumimoji="0" lang="en-US" sz="1100" b="0" i="1" u="none" strike="noStrike" kern="0" cap="none" spc="0" normalizeH="0" baseline="0" noProof="0" smtClean="0">
                                  <a:ln>
                                    <a:noFill/>
                                  </a:ln>
                                  <a:solidFill>
                                    <a:sysClr val="windowText" lastClr="000000"/>
                                  </a:solidFill>
                                  <a:effectLst/>
                                  <a:uLnTx/>
                                  <a:uFillTx/>
                                  <a:latin typeface="Cambria Math" panose="02040503050406030204" pitchFamily="18" charset="0"/>
                                  <a:ea typeface="+mn-ea"/>
                                  <a:cs typeface="+mn-cs"/>
                                </a:rPr>
                              </m:ctrlPr>
                            </m:sSubPr>
                            <m:e>
                              <m:r>
                                <a:rPr kumimoji="0" lang="tr-TR" sz="1100" b="0" i="1" u="none" strike="noStrike" kern="0" cap="none" spc="0" normalizeH="0" baseline="0" noProof="0" smtClean="0">
                                  <a:ln>
                                    <a:noFill/>
                                  </a:ln>
                                  <a:solidFill>
                                    <a:sysClr val="windowText" lastClr="000000"/>
                                  </a:solidFill>
                                  <a:effectLst/>
                                  <a:uLnTx/>
                                  <a:uFillTx/>
                                  <a:latin typeface="Cambria Math" panose="02040503050406030204" pitchFamily="18" charset="0"/>
                                  <a:ea typeface="+mn-ea"/>
                                  <a:cs typeface="+mn-cs"/>
                                </a:rPr>
                                <m:t>𝐻𝑜𝑚𝑒𝑤𝑜𝑟𝑘</m:t>
                              </m:r>
                            </m:e>
                            <m:sub>
                              <m:r>
                                <a:rPr kumimoji="0" lang="tr-TR" sz="1100" b="0" i="1" u="none" strike="noStrike" kern="0" cap="none" spc="0" normalizeH="0" baseline="0" noProof="0" smtClean="0">
                                  <a:ln>
                                    <a:noFill/>
                                  </a:ln>
                                  <a:solidFill>
                                    <a:sysClr val="windowText" lastClr="000000"/>
                                  </a:solidFill>
                                  <a:effectLst/>
                                  <a:uLnTx/>
                                  <a:uFillTx/>
                                  <a:latin typeface="Cambria Math" panose="02040503050406030204" pitchFamily="18" charset="0"/>
                                  <a:ea typeface="+mn-ea"/>
                                  <a:cs typeface="+mn-cs"/>
                                </a:rPr>
                                <m:t>(</m:t>
                              </m:r>
                              <m:r>
                                <a:rPr kumimoji="0" lang="tr-TR" sz="1100" b="0" i="1" u="none" strike="noStrike" kern="0" cap="none" spc="0" normalizeH="0" baseline="0" noProof="0" smtClean="0">
                                  <a:ln>
                                    <a:noFill/>
                                  </a:ln>
                                  <a:solidFill>
                                    <a:sysClr val="windowText" lastClr="000000"/>
                                  </a:solidFill>
                                  <a:effectLst/>
                                  <a:uLnTx/>
                                  <a:uFillTx/>
                                  <a:latin typeface="Cambria Math" panose="02040503050406030204" pitchFamily="18" charset="0"/>
                                  <a:ea typeface="+mn-ea"/>
                                  <a:cs typeface="+mn-cs"/>
                                </a:rPr>
                                <m:t>𝑔𝑟𝑎𝑑𝑒</m:t>
                              </m:r>
                              <m:r>
                                <a:rPr kumimoji="0" lang="tr-TR" sz="1100" b="0" i="1" u="none" strike="noStrike" kern="0" cap="none" spc="0" normalizeH="0" baseline="0" noProof="0" smtClean="0">
                                  <a:ln>
                                    <a:noFill/>
                                  </a:ln>
                                  <a:solidFill>
                                    <a:sysClr val="windowText" lastClr="000000"/>
                                  </a:solidFill>
                                  <a:effectLst/>
                                  <a:uLnTx/>
                                  <a:uFillTx/>
                                  <a:latin typeface="Cambria Math" panose="02040503050406030204" pitchFamily="18" charset="0"/>
                                  <a:ea typeface="+mn-ea"/>
                                  <a:cs typeface="+mn-cs"/>
                                </a:rPr>
                                <m:t>)</m:t>
                              </m:r>
                            </m:sub>
                          </m:sSub>
                          <m:r>
                            <a:rPr kumimoji="0" lang="en-US" sz="1100" b="0" i="1" u="none" strike="noStrike" kern="0" cap="none" spc="0" normalizeH="0" baseline="0" noProof="0" smtClean="0">
                              <a:ln>
                                <a:noFill/>
                              </a:ln>
                              <a:solidFill>
                                <a:sysClr val="windowText" lastClr="000000"/>
                              </a:solidFill>
                              <a:effectLst/>
                              <a:uLnTx/>
                              <a:uFillTx/>
                              <a:latin typeface="Cambria Math" panose="02040503050406030204" pitchFamily="18" charset="0"/>
                              <a:ea typeface="+mn-ea"/>
                              <a:cs typeface="+mn-cs"/>
                            </a:rPr>
                            <m:t>∗</m:t>
                          </m:r>
                          <m:sSub>
                            <m:sSubPr>
                              <m:ctrlPr>
                                <a:rPr kumimoji="0" lang="en-US" sz="1100" b="0" i="1" u="none" strike="noStrike" kern="0" cap="none" spc="0" normalizeH="0" baseline="0" noProof="0" smtClean="0">
                                  <a:ln>
                                    <a:noFill/>
                                  </a:ln>
                                  <a:solidFill>
                                    <a:sysClr val="windowText" lastClr="000000"/>
                                  </a:solidFill>
                                  <a:effectLst/>
                                  <a:uLnTx/>
                                  <a:uFillTx/>
                                  <a:latin typeface="Cambria Math" panose="02040503050406030204" pitchFamily="18" charset="0"/>
                                  <a:ea typeface="+mn-ea"/>
                                  <a:cs typeface="+mn-cs"/>
                                </a:rPr>
                              </m:ctrlPr>
                            </m:sSubPr>
                            <m:e>
                              <m:r>
                                <a:rPr kumimoji="0" lang="tr-TR" sz="1100" b="0" i="1" u="none" strike="noStrike" kern="0" cap="none" spc="0" normalizeH="0" baseline="0" noProof="0" smtClean="0">
                                  <a:ln>
                                    <a:noFill/>
                                  </a:ln>
                                  <a:solidFill>
                                    <a:sysClr val="windowText" lastClr="000000"/>
                                  </a:solidFill>
                                  <a:effectLst/>
                                  <a:uLnTx/>
                                  <a:uFillTx/>
                                  <a:latin typeface="Cambria Math" panose="02040503050406030204" pitchFamily="18" charset="0"/>
                                  <a:ea typeface="+mn-ea"/>
                                  <a:cs typeface="+mn-cs"/>
                                </a:rPr>
                                <m:t>𝐻𝑜𝑚𝑒𝑤𝑜𝑟𝑘</m:t>
                              </m:r>
                            </m:e>
                            <m:sub>
                              <m:d>
                                <m:dPr>
                                  <m:ctrlPr>
                                    <a:rPr kumimoji="0" lang="tr-TR" sz="1100" b="0" i="1" u="none" strike="noStrike" kern="0" cap="none" spc="0" normalizeH="0" baseline="0" noProof="0" smtClean="0">
                                      <a:ln>
                                        <a:noFill/>
                                      </a:ln>
                                      <a:solidFill>
                                        <a:sysClr val="windowText" lastClr="000000"/>
                                      </a:solidFill>
                                      <a:effectLst/>
                                      <a:uLnTx/>
                                      <a:uFillTx/>
                                      <a:latin typeface="Cambria Math" panose="02040503050406030204" pitchFamily="18" charset="0"/>
                                      <a:ea typeface="+mn-ea"/>
                                      <a:cs typeface="+mn-cs"/>
                                    </a:rPr>
                                  </m:ctrlPr>
                                </m:dPr>
                                <m:e>
                                  <m:r>
                                    <a:rPr kumimoji="0" lang="tr-TR" sz="1100" b="0" i="1" u="none" strike="noStrike" kern="0" cap="none" spc="0" normalizeH="0" baseline="0" noProof="0" smtClean="0">
                                      <a:ln>
                                        <a:noFill/>
                                      </a:ln>
                                      <a:solidFill>
                                        <a:sysClr val="windowText" lastClr="000000"/>
                                      </a:solidFill>
                                      <a:effectLst/>
                                      <a:uLnTx/>
                                      <a:uFillTx/>
                                      <a:latin typeface="Cambria Math" panose="02040503050406030204" pitchFamily="18" charset="0"/>
                                      <a:ea typeface="+mn-ea"/>
                                      <a:cs typeface="+mn-cs"/>
                                    </a:rPr>
                                    <m:t>𝑏𝑎𝑠𝑒</m:t>
                                  </m:r>
                                </m:e>
                              </m:d>
                            </m:sub>
                          </m:sSub>
                          <m:r>
                            <a:rPr kumimoji="0" lang="tr-TR" sz="1100" b="0" i="1" u="none" strike="noStrike" kern="0" cap="none" spc="0" normalizeH="0" baseline="0" noProof="0" smtClean="0">
                              <a:ln>
                                <a:noFill/>
                              </a:ln>
                              <a:solidFill>
                                <a:sysClr val="windowText" lastClr="000000"/>
                              </a:solidFill>
                              <a:effectLst/>
                              <a:uLnTx/>
                              <a:uFillTx/>
                              <a:latin typeface="Cambria Math" panose="02040503050406030204" pitchFamily="18" charset="0"/>
                              <a:ea typeface="+mn-ea"/>
                              <a:cs typeface="+mn-cs"/>
                            </a:rPr>
                            <m:t>%</m:t>
                          </m:r>
                          <m:r>
                            <a:rPr kumimoji="0" lang="en-US" sz="1100" b="0" i="1" u="none" strike="noStrike" kern="0" cap="none" spc="0" normalizeH="0" baseline="0" noProof="0" smtClean="0">
                              <a:ln>
                                <a:noFill/>
                              </a:ln>
                              <a:solidFill>
                                <a:sysClr val="windowText" lastClr="000000"/>
                              </a:solidFill>
                              <a:effectLst/>
                              <a:uLnTx/>
                              <a:uFillTx/>
                              <a:latin typeface="Cambria Math" panose="02040503050406030204" pitchFamily="18" charset="0"/>
                              <a:ea typeface="+mn-ea"/>
                              <a:cs typeface="+mn-cs"/>
                            </a:rPr>
                            <m:t>∗100</m:t>
                          </m:r>
                        </m:num>
                        <m:den>
                          <m:sSub>
                            <m:sSubPr>
                              <m:ctrlPr>
                                <a:rPr kumimoji="0" lang="en-US" sz="1100" b="0" i="1" u="none" strike="noStrike" kern="0" cap="none" spc="0" normalizeH="0" baseline="0" noProof="0" smtClean="0">
                                  <a:ln>
                                    <a:noFill/>
                                  </a:ln>
                                  <a:solidFill>
                                    <a:sysClr val="windowText" lastClr="000000"/>
                                  </a:solidFill>
                                  <a:effectLst/>
                                  <a:uLnTx/>
                                  <a:uFillTx/>
                                  <a:latin typeface="Cambria Math" panose="02040503050406030204" pitchFamily="18" charset="0"/>
                                  <a:ea typeface="+mn-ea"/>
                                  <a:cs typeface="+mn-cs"/>
                                </a:rPr>
                              </m:ctrlPr>
                            </m:sSubPr>
                            <m:e>
                              <m:r>
                                <a:rPr kumimoji="0" lang="tr-TR" sz="1100" b="0" i="1" u="none" strike="noStrike" kern="0" cap="none" spc="0" normalizeH="0" baseline="0" noProof="0" smtClean="0">
                                  <a:ln>
                                    <a:noFill/>
                                  </a:ln>
                                  <a:solidFill>
                                    <a:sysClr val="windowText" lastClr="000000"/>
                                  </a:solidFill>
                                  <a:effectLst/>
                                  <a:uLnTx/>
                                  <a:uFillTx/>
                                  <a:latin typeface="Cambria Math" panose="02040503050406030204" pitchFamily="18" charset="0"/>
                                  <a:ea typeface="+mn-ea"/>
                                  <a:cs typeface="+mn-cs"/>
                                </a:rPr>
                                <m:t>𝐻𝑜𝑚𝑒𝑤𝑜𝑟𝑘</m:t>
                              </m:r>
                            </m:e>
                            <m:sub>
                              <m:func>
                                <m:funcPr>
                                  <m:ctrlPr>
                                    <a:rPr kumimoji="0" lang="tr-TR" sz="1100" b="0" i="1" u="none" strike="noStrike" kern="0" cap="none" spc="0" normalizeH="0" baseline="0" noProof="0" smtClean="0">
                                      <a:ln>
                                        <a:noFill/>
                                      </a:ln>
                                      <a:solidFill>
                                        <a:sysClr val="windowText" lastClr="000000"/>
                                      </a:solidFill>
                                      <a:effectLst/>
                                      <a:uLnTx/>
                                      <a:uFillTx/>
                                      <a:latin typeface="Cambria Math" panose="02040503050406030204" pitchFamily="18" charset="0"/>
                                      <a:ea typeface="+mn-ea"/>
                                      <a:cs typeface="+mn-cs"/>
                                    </a:rPr>
                                  </m:ctrlPr>
                                </m:funcPr>
                                <m:fName>
                                  <m:r>
                                    <a:rPr kumimoji="0" lang="tr-TR" sz="1100" b="0" i="0" u="none" strike="noStrike" kern="0" cap="none" spc="0" normalizeH="0" baseline="0" noProof="0" smtClean="0">
                                      <a:ln>
                                        <a:noFill/>
                                      </a:ln>
                                      <a:solidFill>
                                        <a:sysClr val="windowText" lastClr="000000"/>
                                      </a:solidFill>
                                      <a:effectLst/>
                                      <a:uLnTx/>
                                      <a:uFillTx/>
                                      <a:latin typeface="Cambria Math" panose="02040503050406030204" pitchFamily="18" charset="0"/>
                                      <a:ea typeface="+mn-ea"/>
                                      <a:cs typeface="+mn-cs"/>
                                    </a:rPr>
                                    <m:t>(</m:t>
                                  </m:r>
                                  <m:r>
                                    <m:rPr>
                                      <m:sty m:val="p"/>
                                    </m:rPr>
                                    <a:rPr kumimoji="0" lang="tr-TR" sz="1100" b="0" i="0" u="none" strike="noStrike" kern="0" cap="none" spc="0" normalizeH="0" baseline="0" noProof="0" smtClean="0">
                                      <a:ln>
                                        <a:noFill/>
                                      </a:ln>
                                      <a:solidFill>
                                        <a:sysClr val="windowText" lastClr="000000"/>
                                      </a:solidFill>
                                      <a:effectLst/>
                                      <a:uLnTx/>
                                      <a:uFillTx/>
                                      <a:latin typeface="Cambria Math" panose="02040503050406030204" pitchFamily="18" charset="0"/>
                                      <a:ea typeface="+mn-ea"/>
                                      <a:cs typeface="+mn-cs"/>
                                    </a:rPr>
                                    <m:t>max</m:t>
                                  </m:r>
                                </m:fName>
                                <m:e>
                                  <m:r>
                                    <a:rPr kumimoji="0" lang="tr-TR" sz="1100" b="0" i="1" u="none" strike="noStrike" kern="0" cap="none" spc="0" normalizeH="0" baseline="0" noProof="0" smtClean="0">
                                      <a:ln>
                                        <a:noFill/>
                                      </a:ln>
                                      <a:solidFill>
                                        <a:sysClr val="windowText" lastClr="000000"/>
                                      </a:solidFill>
                                      <a:effectLst/>
                                      <a:uLnTx/>
                                      <a:uFillTx/>
                                      <a:latin typeface="Cambria Math" panose="02040503050406030204" pitchFamily="18" charset="0"/>
                                      <a:ea typeface="+mn-ea"/>
                                      <a:cs typeface="+mn-cs"/>
                                    </a:rPr>
                                    <m:t>𝑔𝑟𝑎𝑑𝑒</m:t>
                                  </m:r>
                                </m:e>
                              </m:func>
                              <m:r>
                                <a:rPr kumimoji="0" lang="tr-TR" sz="1100" b="0" i="1" u="none" strike="noStrike" kern="0" cap="none" spc="0" normalizeH="0" baseline="0" noProof="0" smtClean="0">
                                  <a:ln>
                                    <a:noFill/>
                                  </a:ln>
                                  <a:solidFill>
                                    <a:sysClr val="windowText" lastClr="000000"/>
                                  </a:solidFill>
                                  <a:effectLst/>
                                  <a:uLnTx/>
                                  <a:uFillTx/>
                                  <a:latin typeface="Cambria Math" panose="02040503050406030204" pitchFamily="18" charset="0"/>
                                  <a:ea typeface="+mn-ea"/>
                                  <a:cs typeface="+mn-cs"/>
                                </a:rPr>
                                <m:t>)</m:t>
                              </m:r>
                            </m:sub>
                          </m:sSub>
                        </m:den>
                      </m:f>
                    </m:e>
                  </m:d>
                  <m:r>
                    <a:rPr kumimoji="0" lang="en-US" sz="1100" b="0" i="1" u="none" strike="noStrike" kern="0" cap="none" spc="0" normalizeH="0" baseline="0" noProof="0" smtClean="0">
                      <a:ln>
                        <a:noFill/>
                      </a:ln>
                      <a:solidFill>
                        <a:sysClr val="windowText" lastClr="000000"/>
                      </a:solidFill>
                      <a:effectLst/>
                      <a:uLnTx/>
                      <a:uFillTx/>
                      <a:latin typeface="Cambria Math" panose="02040503050406030204" pitchFamily="18" charset="0"/>
                      <a:ea typeface="+mn-ea"/>
                      <a:cs typeface="+mn-cs"/>
                    </a:rPr>
                    <m:t>+</m:t>
                  </m:r>
                  <m:r>
                    <a:rPr kumimoji="0" lang="tr-TR" sz="1000" b="0" i="1" u="none" strike="noStrike" kern="0" cap="none" spc="0" normalizeH="0" baseline="0" noProof="0" smtClean="0">
                      <a:ln>
                        <a:noFill/>
                      </a:ln>
                      <a:solidFill>
                        <a:sysClr val="windowText" lastClr="000000"/>
                      </a:solidFill>
                      <a:effectLst/>
                      <a:uLnTx/>
                      <a:uFillTx/>
                      <a:latin typeface="Cambria Math" panose="02040503050406030204" pitchFamily="18" charset="0"/>
                      <a:ea typeface="+mn-ea"/>
                      <a:cs typeface="+mn-cs"/>
                    </a:rPr>
                    <m:t>𝐵𝑜𝑛𝑢𝑠𝑃𝑜𝑖𝑛𝑡</m:t>
                  </m:r>
                </m:oMath>
              </a14:m>
              <a:endParaRPr kumimoji="0" lang="en-US" sz="1000" b="0" i="0" u="none" strike="noStrike" kern="0" cap="none" spc="0" normalizeH="0" baseline="0" noProof="0">
                <a:ln>
                  <a:noFill/>
                </a:ln>
                <a:solidFill>
                  <a:sysClr val="windowText" lastClr="000000"/>
                </a:solidFill>
                <a:effectLst/>
                <a:uLnTx/>
                <a:uFillTx/>
                <a:latin typeface="Calibri" panose="020F0502020204030204"/>
                <a:ea typeface="+mn-ea"/>
                <a:cs typeface="+mn-cs"/>
              </a:endParaRPr>
            </a:p>
          </xdr:txBody>
        </xdr:sp>
      </mc:Choice>
      <mc:Fallback xmlns="">
        <xdr:sp macro="" textlink="">
          <xdr:nvSpPr>
            <xdr:cNvPr id="103" name="Metin kutusu 102">
              <a:extLst>
                <a:ext uri="{FF2B5EF4-FFF2-40B4-BE49-F238E27FC236}">
                  <a16:creationId xmlns:a16="http://schemas.microsoft.com/office/drawing/2014/main" id="{1A90F9FE-ACB8-452C-AAD8-BFF26D9E4CAE}"/>
                </a:ext>
              </a:extLst>
            </xdr:cNvPr>
            <xdr:cNvSpPr txBox="1"/>
          </xdr:nvSpPr>
          <xdr:spPr>
            <a:xfrm>
              <a:off x="11155680" y="23218140"/>
              <a:ext cx="9955307" cy="378502"/>
            </a:xfrm>
            <a:prstGeom prst="rect">
              <a:avLst/>
            </a:prstGeom>
            <a:noFill/>
            <a:ln>
              <a:noFill/>
            </a:ln>
            <a:effectLst/>
          </xdr:spPr>
          <xdr:txBody>
            <a:bodyPr vertOverflow="clip" horzOverflow="clip" wrap="squar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kumimoji="0" lang="tr-TR" sz="1000" b="0" i="0" u="none" strike="noStrike" kern="0" cap="none" spc="0" normalizeH="0" baseline="0" noProof="0">
                  <a:ln>
                    <a:noFill/>
                  </a:ln>
                  <a:solidFill>
                    <a:sysClr val="windowText" lastClr="000000"/>
                  </a:solidFill>
                  <a:effectLst/>
                  <a:uLnTx/>
                  <a:uFillTx/>
                  <a:latin typeface="Calibri" panose="020F0502020204030204"/>
                  <a:ea typeface="+mn-ea"/>
                  <a:cs typeface="+mn-cs"/>
                </a:rPr>
                <a:t>Total Point(s)</a:t>
              </a:r>
              <a:r>
                <a:rPr kumimoji="0" lang="en-US" sz="1000" b="0" i="0" u="none" strike="noStrike" kern="0" cap="none" spc="0" normalizeH="0" baseline="0" noProof="0">
                  <a:ln>
                    <a:noFill/>
                  </a:ln>
                  <a:solidFill>
                    <a:sysClr val="windowText" lastClr="000000"/>
                  </a:solidFill>
                  <a:effectLst/>
                  <a:uLnTx/>
                  <a:uFillTx/>
                  <a:latin typeface="Cambria Math" panose="02040503050406030204" pitchFamily="18" charset="0"/>
                  <a:ea typeface="+mn-ea"/>
                  <a:cs typeface="+mn-cs"/>
                </a:rPr>
                <a:t>=</a:t>
              </a:r>
              <a:r>
                <a:rPr kumimoji="0" lang="en-US" sz="1000" b="0" i="0" u="none" strike="noStrike" kern="0" cap="none" spc="0" normalizeH="0" baseline="0" noProof="0">
                  <a:ln>
                    <a:noFill/>
                  </a:ln>
                  <a:solidFill>
                    <a:srgbClr val="836967"/>
                  </a:solidFill>
                  <a:effectLst/>
                  <a:uLnTx/>
                  <a:uFillTx/>
                  <a:latin typeface="Cambria Math" panose="02040503050406030204" pitchFamily="18" charset="0"/>
                  <a:ea typeface="+mn-ea"/>
                  <a:cs typeface="+mn-cs"/>
                </a:rPr>
                <a:t>((〖</a:t>
              </a:r>
              <a:r>
                <a:rPr kumimoji="0" lang="en-US" sz="1000" b="0" i="0" u="none" strike="noStrike" kern="0" cap="none" spc="0" normalizeH="0" baseline="0" noProof="0">
                  <a:ln>
                    <a:noFill/>
                  </a:ln>
                  <a:solidFill>
                    <a:sysClr val="windowText" lastClr="000000"/>
                  </a:solidFill>
                  <a:effectLst/>
                  <a:uLnTx/>
                  <a:uFillTx/>
                  <a:latin typeface="Cambria Math" panose="02040503050406030204" pitchFamily="18" charset="0"/>
                  <a:ea typeface="+mn-ea"/>
                  <a:cs typeface="+mn-cs"/>
                </a:rPr>
                <a:t>𝑚</a:t>
              </a:r>
              <a:r>
                <a:rPr kumimoji="0" lang="tr-TR" sz="1000" b="0" i="0" u="none" strike="noStrike" kern="0" cap="none" spc="0" normalizeH="0" baseline="0" noProof="0">
                  <a:ln>
                    <a:noFill/>
                  </a:ln>
                  <a:solidFill>
                    <a:sysClr val="windowText" lastClr="000000"/>
                  </a:solidFill>
                  <a:effectLst/>
                  <a:uLnTx/>
                  <a:uFillTx/>
                  <a:latin typeface="Cambria Math" panose="02040503050406030204" pitchFamily="18" charset="0"/>
                  <a:ea typeface="+mn-ea"/>
                  <a:cs typeface="+mn-cs"/>
                </a:rPr>
                <a:t>𝑖𝑑𝑡𝑒𝑟𝑚</a:t>
              </a:r>
              <a:r>
                <a:rPr kumimoji="0" lang="en-US" sz="1000" b="0" i="0" u="none" strike="noStrike" kern="0" cap="none" spc="0" normalizeH="0" baseline="0" noProof="0">
                  <a:ln>
                    <a:noFill/>
                  </a:ln>
                  <a:solidFill>
                    <a:srgbClr val="836967"/>
                  </a:solidFill>
                  <a:effectLst/>
                  <a:uLnTx/>
                  <a:uFillTx/>
                  <a:latin typeface="Cambria Math" panose="02040503050406030204" pitchFamily="18" charset="0"/>
                  <a:ea typeface="+mn-ea"/>
                  <a:cs typeface="+mn-cs"/>
                </a:rPr>
                <a:t>〗_(</a:t>
              </a:r>
              <a:r>
                <a:rPr kumimoji="0" lang="tr-TR" sz="1000" b="0" i="0" u="none" strike="noStrike" kern="0" cap="none" spc="0" normalizeH="0" baseline="0" noProof="0">
                  <a:ln>
                    <a:noFill/>
                  </a:ln>
                  <a:solidFill>
                    <a:sysClr val="windowText" lastClr="000000"/>
                  </a:solidFill>
                  <a:effectLst/>
                  <a:uLnTx/>
                  <a:uFillTx/>
                  <a:latin typeface="Cambria Math" panose="02040503050406030204" pitchFamily="18" charset="0"/>
                  <a:ea typeface="+mn-ea"/>
                  <a:cs typeface="+mn-cs"/>
                </a:rPr>
                <a:t>(𝑔𝑟𝑎𝑑𝑒)</a:t>
              </a:r>
              <a:r>
                <a:rPr kumimoji="0" lang="en-US" sz="1000" b="0" i="0" u="none" strike="noStrike" kern="0" cap="none" spc="0" normalizeH="0" baseline="0" noProof="0">
                  <a:ln>
                    <a:noFill/>
                  </a:ln>
                  <a:solidFill>
                    <a:srgbClr val="836967"/>
                  </a:solidFill>
                  <a:effectLst/>
                  <a:uLnTx/>
                  <a:uFillTx/>
                  <a:latin typeface="Cambria Math" panose="02040503050406030204" pitchFamily="18" charset="0"/>
                  <a:ea typeface="+mn-ea"/>
                  <a:cs typeface="+mn-cs"/>
                </a:rPr>
                <a:t>)</a:t>
              </a:r>
              <a:r>
                <a:rPr kumimoji="0" lang="en-US" sz="1000" b="0" i="0" u="none" strike="noStrike" kern="0" cap="none" spc="0" normalizeH="0" baseline="0" noProof="0">
                  <a:ln>
                    <a:noFill/>
                  </a:ln>
                  <a:solidFill>
                    <a:sysClr val="windowText" lastClr="000000"/>
                  </a:solidFill>
                  <a:effectLst/>
                  <a:uLnTx/>
                  <a:uFillTx/>
                  <a:latin typeface="Cambria Math" panose="02040503050406030204" pitchFamily="18" charset="0"/>
                  <a:ea typeface="+mn-ea"/>
                  <a:cs typeface="+mn-cs"/>
                </a:rPr>
                <a:t>∗</a:t>
              </a:r>
              <a:r>
                <a:rPr kumimoji="0" lang="en-US" sz="1000" b="0" i="0" u="none" strike="noStrike" kern="0" cap="none" spc="0" normalizeH="0" baseline="0" noProof="0">
                  <a:ln>
                    <a:noFill/>
                  </a:ln>
                  <a:solidFill>
                    <a:srgbClr val="836967"/>
                  </a:solidFill>
                  <a:effectLst/>
                  <a:uLnTx/>
                  <a:uFillTx/>
                  <a:latin typeface="Cambria Math" panose="02040503050406030204" pitchFamily="18" charset="0"/>
                  <a:ea typeface="+mn-ea"/>
                  <a:cs typeface="+mn-cs"/>
                </a:rPr>
                <a:t>〖</a:t>
              </a:r>
              <a:r>
                <a:rPr kumimoji="0" lang="en-US" sz="1000" b="0" i="0" u="none" strike="noStrike" kern="0" cap="none" spc="0" normalizeH="0" baseline="0" noProof="0">
                  <a:ln>
                    <a:noFill/>
                  </a:ln>
                  <a:solidFill>
                    <a:sysClr val="windowText" lastClr="000000"/>
                  </a:solidFill>
                  <a:effectLst/>
                  <a:uLnTx/>
                  <a:uFillTx/>
                  <a:latin typeface="Cambria Math" panose="02040503050406030204" pitchFamily="18" charset="0"/>
                  <a:ea typeface="+mn-ea"/>
                  <a:cs typeface="+mn-cs"/>
                </a:rPr>
                <a:t>𝑚</a:t>
              </a:r>
              <a:r>
                <a:rPr kumimoji="0" lang="tr-TR" sz="1000" b="0" i="0" u="none" strike="noStrike" kern="0" cap="none" spc="0" normalizeH="0" baseline="0" noProof="0">
                  <a:ln>
                    <a:noFill/>
                  </a:ln>
                  <a:solidFill>
                    <a:sysClr val="windowText" lastClr="000000"/>
                  </a:solidFill>
                  <a:effectLst/>
                  <a:uLnTx/>
                  <a:uFillTx/>
                  <a:latin typeface="Cambria Math" panose="02040503050406030204" pitchFamily="18" charset="0"/>
                  <a:ea typeface="+mn-ea"/>
                  <a:cs typeface="+mn-cs"/>
                </a:rPr>
                <a:t>𝑖𝑑𝑡𝑒𝑟𝑚</a:t>
              </a:r>
              <a:r>
                <a:rPr kumimoji="0" lang="en-US" sz="1000" b="0" i="0" u="none" strike="noStrike" kern="0" cap="none" spc="0" normalizeH="0" baseline="0" noProof="0">
                  <a:ln>
                    <a:noFill/>
                  </a:ln>
                  <a:solidFill>
                    <a:srgbClr val="836967"/>
                  </a:solidFill>
                  <a:effectLst/>
                  <a:uLnTx/>
                  <a:uFillTx/>
                  <a:latin typeface="Cambria Math" panose="02040503050406030204" pitchFamily="18" charset="0"/>
                  <a:ea typeface="+mn-ea"/>
                  <a:cs typeface="+mn-cs"/>
                </a:rPr>
                <a:t>〗_(</a:t>
              </a:r>
              <a:r>
                <a:rPr kumimoji="0" lang="tr-TR" sz="1000" b="0" i="0" u="none" strike="noStrike" kern="0" cap="none" spc="0" normalizeH="0" baseline="0" noProof="0">
                  <a:ln>
                    <a:noFill/>
                  </a:ln>
                  <a:solidFill>
                    <a:sysClr val="windowText" lastClr="000000"/>
                  </a:solidFill>
                  <a:effectLst/>
                  <a:uLnTx/>
                  <a:uFillTx/>
                  <a:latin typeface="Cambria Math" panose="02040503050406030204" pitchFamily="18" charset="0"/>
                  <a:ea typeface="+mn-ea"/>
                  <a:cs typeface="+mn-cs"/>
                </a:rPr>
                <a:t>(𝑏𝑎𝑠𝑒) </a:t>
              </a:r>
              <a:r>
                <a:rPr kumimoji="0" lang="en-US" sz="1000" b="0" i="0" u="none" strike="noStrike" kern="0" cap="none" spc="0" normalizeH="0" baseline="0" noProof="0">
                  <a:ln>
                    <a:noFill/>
                  </a:ln>
                  <a:solidFill>
                    <a:srgbClr val="836967"/>
                  </a:solidFill>
                  <a:effectLst/>
                  <a:uLnTx/>
                  <a:uFillTx/>
                  <a:latin typeface="Cambria Math" panose="02040503050406030204" pitchFamily="18" charset="0"/>
                  <a:ea typeface="+mn-ea"/>
                  <a:cs typeface="+mn-cs"/>
                </a:rPr>
                <a:t>)</a:t>
              </a:r>
              <a:r>
                <a:rPr kumimoji="0" lang="tr-TR" sz="1000" b="0" i="0" u="none" strike="noStrike" kern="0" cap="none" spc="0" normalizeH="0" baseline="0" noProof="0">
                  <a:ln>
                    <a:noFill/>
                  </a:ln>
                  <a:solidFill>
                    <a:sysClr val="windowText" lastClr="000000"/>
                  </a:solidFill>
                  <a:effectLst/>
                  <a:uLnTx/>
                  <a:uFillTx/>
                  <a:latin typeface="Cambria Math" panose="02040503050406030204" pitchFamily="18" charset="0"/>
                  <a:ea typeface="+mn-ea"/>
                  <a:cs typeface="+mn-cs"/>
                </a:rPr>
                <a:t>%</a:t>
              </a:r>
              <a:r>
                <a:rPr kumimoji="0" lang="en-US" sz="1000" b="0" i="0" u="none" strike="noStrike" kern="0" cap="none" spc="0" normalizeH="0" baseline="0" noProof="0">
                  <a:ln>
                    <a:noFill/>
                  </a:ln>
                  <a:solidFill>
                    <a:sysClr val="windowText" lastClr="000000"/>
                  </a:solidFill>
                  <a:effectLst/>
                  <a:uLnTx/>
                  <a:uFillTx/>
                  <a:latin typeface="Cambria Math" panose="02040503050406030204" pitchFamily="18" charset="0"/>
                  <a:ea typeface="+mn-ea"/>
                  <a:cs typeface="+mn-cs"/>
                </a:rPr>
                <a:t>∗100</a:t>
              </a:r>
              <a:r>
                <a:rPr kumimoji="0" lang="en-US" sz="1000" b="0" i="0" u="none" strike="noStrike" kern="0" cap="none" spc="0" normalizeH="0" baseline="0" noProof="0">
                  <a:ln>
                    <a:noFill/>
                  </a:ln>
                  <a:solidFill>
                    <a:srgbClr val="836967"/>
                  </a:solidFill>
                  <a:effectLst/>
                  <a:uLnTx/>
                  <a:uFillTx/>
                  <a:latin typeface="Cambria Math" panose="02040503050406030204" pitchFamily="18" charset="0"/>
                  <a:ea typeface="+mn-ea"/>
                  <a:cs typeface="+mn-cs"/>
                </a:rPr>
                <a:t>)/〖</a:t>
              </a:r>
              <a:r>
                <a:rPr kumimoji="0" lang="en-US" sz="1000" b="0" i="0" u="none" strike="noStrike" kern="0" cap="none" spc="0" normalizeH="0" baseline="0" noProof="0">
                  <a:ln>
                    <a:noFill/>
                  </a:ln>
                  <a:solidFill>
                    <a:sysClr val="windowText" lastClr="000000"/>
                  </a:solidFill>
                  <a:effectLst/>
                  <a:uLnTx/>
                  <a:uFillTx/>
                  <a:latin typeface="Cambria Math" panose="02040503050406030204" pitchFamily="18" charset="0"/>
                  <a:ea typeface="+mn-ea"/>
                  <a:cs typeface="+mn-cs"/>
                </a:rPr>
                <a:t>𝑚</a:t>
              </a:r>
              <a:r>
                <a:rPr kumimoji="0" lang="tr-TR" sz="1000" b="0" i="0" u="none" strike="noStrike" kern="0" cap="none" spc="0" normalizeH="0" baseline="0" noProof="0">
                  <a:ln>
                    <a:noFill/>
                  </a:ln>
                  <a:solidFill>
                    <a:sysClr val="windowText" lastClr="000000"/>
                  </a:solidFill>
                  <a:effectLst/>
                  <a:uLnTx/>
                  <a:uFillTx/>
                  <a:latin typeface="Cambria Math" panose="02040503050406030204" pitchFamily="18" charset="0"/>
                  <a:ea typeface="+mn-ea"/>
                  <a:cs typeface="+mn-cs"/>
                </a:rPr>
                <a:t>𝑖𝑑𝑡𝑒𝑟𝑚</a:t>
              </a:r>
              <a:r>
                <a:rPr kumimoji="0" lang="en-US" sz="1000" b="0" i="0" u="none" strike="noStrike" kern="0" cap="none" spc="0" normalizeH="0" baseline="0" noProof="0">
                  <a:ln>
                    <a:noFill/>
                  </a:ln>
                  <a:solidFill>
                    <a:srgbClr val="836967"/>
                  </a:solidFill>
                  <a:effectLst/>
                  <a:uLnTx/>
                  <a:uFillTx/>
                  <a:latin typeface="Cambria Math" panose="02040503050406030204" pitchFamily="18" charset="0"/>
                  <a:ea typeface="+mn-ea"/>
                  <a:cs typeface="+mn-cs"/>
                </a:rPr>
                <a:t>〗_(</a:t>
              </a:r>
              <a:r>
                <a:rPr kumimoji="0" lang="tr-TR" sz="1000" b="0" i="0" u="none" strike="noStrike" kern="0" cap="none" spc="0" normalizeH="0" baseline="0" noProof="0">
                  <a:ln>
                    <a:noFill/>
                  </a:ln>
                  <a:solidFill>
                    <a:sysClr val="windowText" lastClr="000000"/>
                  </a:solidFill>
                  <a:effectLst/>
                  <a:uLnTx/>
                  <a:uFillTx/>
                  <a:latin typeface="Cambria Math" panose="02040503050406030204" pitchFamily="18" charset="0"/>
                  <a:ea typeface="+mn-ea"/>
                  <a:cs typeface="+mn-cs"/>
                </a:rPr>
                <a:t>〖(max〗⁡𝑔𝑟𝑎𝑑𝑒)</a:t>
              </a:r>
              <a:r>
                <a:rPr kumimoji="0" lang="en-US" sz="1000" b="0" i="0" u="none" strike="noStrike" kern="0" cap="none" spc="0" normalizeH="0" baseline="0" noProof="0">
                  <a:ln>
                    <a:noFill/>
                  </a:ln>
                  <a:solidFill>
                    <a:srgbClr val="836967"/>
                  </a:solidFill>
                  <a:effectLst/>
                  <a:uLnTx/>
                  <a:uFillTx/>
                  <a:latin typeface="Cambria Math" panose="02040503050406030204" pitchFamily="18" charset="0"/>
                  <a:ea typeface="+mn-ea"/>
                  <a:cs typeface="+mn-cs"/>
                </a:rPr>
                <a:t>)</a:t>
              </a:r>
              <a:r>
                <a:rPr kumimoji="0" lang="tr-TR" sz="1000" b="0" i="0" u="none" strike="noStrike" kern="0" cap="none" spc="0" normalizeH="0" baseline="0" noProof="0">
                  <a:ln>
                    <a:noFill/>
                  </a:ln>
                  <a:solidFill>
                    <a:sysClr val="windowText" lastClr="000000"/>
                  </a:solidFill>
                  <a:effectLst/>
                  <a:uLnTx/>
                  <a:uFillTx/>
                  <a:latin typeface="Cambria Math" panose="02040503050406030204" pitchFamily="18" charset="0"/>
                  <a:ea typeface="+mn-ea"/>
                  <a:cs typeface="+mn-cs"/>
                </a:rPr>
                <a:t> )</a:t>
              </a:r>
              <a:r>
                <a:rPr kumimoji="0" lang="en-US" sz="1000" b="0" i="0" u="none" strike="noStrike" kern="0" cap="none" spc="0" normalizeH="0" baseline="0" noProof="0">
                  <a:ln>
                    <a:noFill/>
                  </a:ln>
                  <a:solidFill>
                    <a:sysClr val="windowText" lastClr="000000"/>
                  </a:solidFill>
                  <a:effectLst/>
                  <a:uLnTx/>
                  <a:uFillTx/>
                  <a:latin typeface="Cambria Math" panose="02040503050406030204" pitchFamily="18" charset="0"/>
                  <a:ea typeface="+mn-ea"/>
                  <a:cs typeface="+mn-cs"/>
                </a:rPr>
                <a:t>+</a:t>
              </a:r>
              <a:r>
                <a:rPr kumimoji="0" lang="en-US" sz="1100" b="0" i="0" u="none" strike="noStrike" kern="0" cap="none" spc="0" normalizeH="0" baseline="0" noProof="0">
                  <a:ln>
                    <a:noFill/>
                  </a:ln>
                  <a:solidFill>
                    <a:sysClr val="windowText" lastClr="000000"/>
                  </a:solidFill>
                  <a:effectLst/>
                  <a:uLnTx/>
                  <a:uFillTx/>
                  <a:latin typeface="Cambria Math" panose="02040503050406030204" pitchFamily="18" charset="0"/>
                  <a:ea typeface="+mn-ea"/>
                  <a:cs typeface="+mn-cs"/>
                </a:rPr>
                <a:t>((〖</a:t>
              </a:r>
              <a:r>
                <a:rPr kumimoji="0" lang="tr-TR" sz="1100" b="0" i="0" u="none" strike="noStrike" kern="0" cap="none" spc="0" normalizeH="0" baseline="0" noProof="0">
                  <a:ln>
                    <a:noFill/>
                  </a:ln>
                  <a:solidFill>
                    <a:sysClr val="windowText" lastClr="000000"/>
                  </a:solidFill>
                  <a:effectLst/>
                  <a:uLnTx/>
                  <a:uFillTx/>
                  <a:latin typeface="Cambria Math" panose="02040503050406030204" pitchFamily="18" charset="0"/>
                  <a:ea typeface="+mn-ea"/>
                  <a:cs typeface="+mn-cs"/>
                </a:rPr>
                <a:t>𝑓𝑖𝑛𝑎𝑙</a:t>
              </a:r>
              <a:r>
                <a:rPr kumimoji="0" lang="en-US" sz="1100" b="0" i="0" u="none" strike="noStrike" kern="0" cap="none" spc="0" normalizeH="0" baseline="0" noProof="0">
                  <a:ln>
                    <a:noFill/>
                  </a:ln>
                  <a:solidFill>
                    <a:sysClr val="windowText" lastClr="000000"/>
                  </a:solidFill>
                  <a:effectLst/>
                  <a:uLnTx/>
                  <a:uFillTx/>
                  <a:latin typeface="Cambria Math" panose="02040503050406030204" pitchFamily="18" charset="0"/>
                  <a:ea typeface="+mn-ea"/>
                  <a:cs typeface="+mn-cs"/>
                </a:rPr>
                <a:t>〗_(</a:t>
              </a:r>
              <a:r>
                <a:rPr kumimoji="0" lang="tr-TR" sz="1100" b="0" i="0" u="none" strike="noStrike" kern="0" cap="none" spc="0" normalizeH="0" baseline="0" noProof="0">
                  <a:ln>
                    <a:noFill/>
                  </a:ln>
                  <a:solidFill>
                    <a:sysClr val="windowText" lastClr="000000"/>
                  </a:solidFill>
                  <a:effectLst/>
                  <a:uLnTx/>
                  <a:uFillTx/>
                  <a:latin typeface="Cambria Math" panose="02040503050406030204" pitchFamily="18" charset="0"/>
                  <a:ea typeface="+mn-ea"/>
                  <a:cs typeface="+mn-cs"/>
                </a:rPr>
                <a:t>(𝑔𝑟𝑎𝑑𝑒)</a:t>
              </a:r>
              <a:r>
                <a:rPr kumimoji="0" lang="en-US" sz="1100" b="0" i="0" u="none" strike="noStrike" kern="0" cap="none" spc="0" normalizeH="0" baseline="0" noProof="0">
                  <a:ln>
                    <a:noFill/>
                  </a:ln>
                  <a:solidFill>
                    <a:sysClr val="windowText" lastClr="000000"/>
                  </a:solidFill>
                  <a:effectLst/>
                  <a:uLnTx/>
                  <a:uFillTx/>
                  <a:latin typeface="Cambria Math" panose="02040503050406030204" pitchFamily="18" charset="0"/>
                  <a:ea typeface="+mn-ea"/>
                  <a:cs typeface="+mn-cs"/>
                </a:rPr>
                <a:t>)∗〖</a:t>
              </a:r>
              <a:r>
                <a:rPr kumimoji="0" lang="tr-TR" sz="1100" b="0" i="0" u="none" strike="noStrike" kern="0" cap="none" spc="0" normalizeH="0" baseline="0" noProof="0">
                  <a:ln>
                    <a:noFill/>
                  </a:ln>
                  <a:solidFill>
                    <a:sysClr val="windowText" lastClr="000000"/>
                  </a:solidFill>
                  <a:effectLst/>
                  <a:uLnTx/>
                  <a:uFillTx/>
                  <a:latin typeface="Cambria Math" panose="02040503050406030204" pitchFamily="18" charset="0"/>
                  <a:ea typeface="+mn-ea"/>
                  <a:cs typeface="+mn-cs"/>
                </a:rPr>
                <a:t>𝑓𝑖𝑛𝑎𝑙</a:t>
              </a:r>
              <a:r>
                <a:rPr kumimoji="0" lang="en-US" sz="1100" b="0" i="0" u="none" strike="noStrike" kern="0" cap="none" spc="0" normalizeH="0" baseline="0" noProof="0">
                  <a:ln>
                    <a:noFill/>
                  </a:ln>
                  <a:solidFill>
                    <a:sysClr val="windowText" lastClr="000000"/>
                  </a:solidFill>
                  <a:effectLst/>
                  <a:uLnTx/>
                  <a:uFillTx/>
                  <a:latin typeface="Cambria Math" panose="02040503050406030204" pitchFamily="18" charset="0"/>
                  <a:ea typeface="+mn-ea"/>
                  <a:cs typeface="+mn-cs"/>
                </a:rPr>
                <a:t>〗_(</a:t>
              </a:r>
              <a:r>
                <a:rPr kumimoji="0" lang="tr-TR" sz="1100" b="0" i="0" u="none" strike="noStrike" kern="0" cap="none" spc="0" normalizeH="0" baseline="0" noProof="0">
                  <a:ln>
                    <a:noFill/>
                  </a:ln>
                  <a:solidFill>
                    <a:sysClr val="windowText" lastClr="000000"/>
                  </a:solidFill>
                  <a:effectLst/>
                  <a:uLnTx/>
                  <a:uFillTx/>
                  <a:latin typeface="Cambria Math" panose="02040503050406030204" pitchFamily="18" charset="0"/>
                  <a:ea typeface="+mn-ea"/>
                  <a:cs typeface="+mn-cs"/>
                </a:rPr>
                <a:t>(𝑏𝑎𝑠𝑒) </a:t>
              </a:r>
              <a:r>
                <a:rPr kumimoji="0" lang="en-US" sz="1100" b="0" i="0" u="none" strike="noStrike" kern="0" cap="none" spc="0" normalizeH="0" baseline="0" noProof="0">
                  <a:ln>
                    <a:noFill/>
                  </a:ln>
                  <a:solidFill>
                    <a:sysClr val="windowText" lastClr="000000"/>
                  </a:solidFill>
                  <a:effectLst/>
                  <a:uLnTx/>
                  <a:uFillTx/>
                  <a:latin typeface="Cambria Math" panose="02040503050406030204" pitchFamily="18" charset="0"/>
                  <a:ea typeface="+mn-ea"/>
                  <a:cs typeface="+mn-cs"/>
                </a:rPr>
                <a:t>)</a:t>
              </a:r>
              <a:r>
                <a:rPr kumimoji="0" lang="tr-TR" sz="1100" b="0" i="0" u="none" strike="noStrike" kern="0" cap="none" spc="0" normalizeH="0" baseline="0" noProof="0">
                  <a:ln>
                    <a:noFill/>
                  </a:ln>
                  <a:solidFill>
                    <a:sysClr val="windowText" lastClr="000000"/>
                  </a:solidFill>
                  <a:effectLst/>
                  <a:uLnTx/>
                  <a:uFillTx/>
                  <a:latin typeface="Cambria Math" panose="02040503050406030204" pitchFamily="18" charset="0"/>
                  <a:ea typeface="+mn-ea"/>
                  <a:cs typeface="+mn-cs"/>
                </a:rPr>
                <a:t>%</a:t>
              </a:r>
              <a:r>
                <a:rPr kumimoji="0" lang="en-US" sz="1100" b="0" i="0" u="none" strike="noStrike" kern="0" cap="none" spc="0" normalizeH="0" baseline="0" noProof="0">
                  <a:ln>
                    <a:noFill/>
                  </a:ln>
                  <a:solidFill>
                    <a:sysClr val="windowText" lastClr="000000"/>
                  </a:solidFill>
                  <a:effectLst/>
                  <a:uLnTx/>
                  <a:uFillTx/>
                  <a:latin typeface="Cambria Math" panose="02040503050406030204" pitchFamily="18" charset="0"/>
                  <a:ea typeface="+mn-ea"/>
                  <a:cs typeface="+mn-cs"/>
                </a:rPr>
                <a:t>∗100)/〖</a:t>
              </a:r>
              <a:r>
                <a:rPr kumimoji="0" lang="tr-TR" sz="1100" b="0" i="0" u="none" strike="noStrike" kern="0" cap="none" spc="0" normalizeH="0" baseline="0" noProof="0">
                  <a:ln>
                    <a:noFill/>
                  </a:ln>
                  <a:solidFill>
                    <a:sysClr val="windowText" lastClr="000000"/>
                  </a:solidFill>
                  <a:effectLst/>
                  <a:uLnTx/>
                  <a:uFillTx/>
                  <a:latin typeface="Cambria Math" panose="02040503050406030204" pitchFamily="18" charset="0"/>
                  <a:ea typeface="+mn-ea"/>
                  <a:cs typeface="+mn-cs"/>
                </a:rPr>
                <a:t>𝑓𝑖𝑛𝑎𝑙</a:t>
              </a:r>
              <a:r>
                <a:rPr kumimoji="0" lang="en-US" sz="1100" b="0" i="0" u="none" strike="noStrike" kern="0" cap="none" spc="0" normalizeH="0" baseline="0" noProof="0">
                  <a:ln>
                    <a:noFill/>
                  </a:ln>
                  <a:solidFill>
                    <a:sysClr val="windowText" lastClr="000000"/>
                  </a:solidFill>
                  <a:effectLst/>
                  <a:uLnTx/>
                  <a:uFillTx/>
                  <a:latin typeface="Cambria Math" panose="02040503050406030204" pitchFamily="18" charset="0"/>
                  <a:ea typeface="+mn-ea"/>
                  <a:cs typeface="+mn-cs"/>
                </a:rPr>
                <a:t>〗_(</a:t>
              </a:r>
              <a:r>
                <a:rPr kumimoji="0" lang="tr-TR" sz="1100" b="0" i="0" u="none" strike="noStrike" kern="0" cap="none" spc="0" normalizeH="0" baseline="0" noProof="0">
                  <a:ln>
                    <a:noFill/>
                  </a:ln>
                  <a:solidFill>
                    <a:sysClr val="windowText" lastClr="000000"/>
                  </a:solidFill>
                  <a:effectLst/>
                  <a:uLnTx/>
                  <a:uFillTx/>
                  <a:latin typeface="Cambria Math" panose="02040503050406030204" pitchFamily="18" charset="0"/>
                  <a:ea typeface="+mn-ea"/>
                  <a:cs typeface="+mn-cs"/>
                </a:rPr>
                <a:t>〖(max〗⁡𝑔𝑟𝑎𝑑𝑒)</a:t>
              </a:r>
              <a:r>
                <a:rPr kumimoji="0" lang="en-US" sz="1100" b="0" i="0" u="none" strike="noStrike" kern="0" cap="none" spc="0" normalizeH="0" baseline="0" noProof="0">
                  <a:ln>
                    <a:noFill/>
                  </a:ln>
                  <a:solidFill>
                    <a:sysClr val="windowText" lastClr="000000"/>
                  </a:solidFill>
                  <a:effectLst/>
                  <a:uLnTx/>
                  <a:uFillTx/>
                  <a:latin typeface="Cambria Math" panose="02040503050406030204" pitchFamily="18" charset="0"/>
                  <a:ea typeface="+mn-ea"/>
                  <a:cs typeface="+mn-cs"/>
                </a:rPr>
                <a:t>)</a:t>
              </a:r>
              <a:r>
                <a:rPr kumimoji="0" lang="tr-TR" sz="1100" b="0" i="0" u="none" strike="noStrike" kern="0" cap="none" spc="0" normalizeH="0" baseline="0" noProof="0">
                  <a:ln>
                    <a:noFill/>
                  </a:ln>
                  <a:solidFill>
                    <a:sysClr val="windowText" lastClr="000000"/>
                  </a:solidFill>
                  <a:effectLst/>
                  <a:uLnTx/>
                  <a:uFillTx/>
                  <a:latin typeface="Cambria Math" panose="02040503050406030204" pitchFamily="18" charset="0"/>
                  <a:ea typeface="+mn-ea"/>
                  <a:cs typeface="+mn-cs"/>
                </a:rPr>
                <a:t> )</a:t>
              </a:r>
              <a:r>
                <a:rPr kumimoji="0" lang="en-US" sz="1100" b="0" i="0" u="none" strike="noStrike" kern="0" cap="none" spc="0" normalizeH="0" baseline="0" noProof="0">
                  <a:ln>
                    <a:noFill/>
                  </a:ln>
                  <a:solidFill>
                    <a:sysClr val="windowText" lastClr="000000"/>
                  </a:solidFill>
                  <a:effectLst/>
                  <a:uLnTx/>
                  <a:uFillTx/>
                  <a:latin typeface="Cambria Math" panose="02040503050406030204" pitchFamily="18" charset="0"/>
                  <a:ea typeface="+mn-ea"/>
                  <a:cs typeface="+mn-cs"/>
                </a:rPr>
                <a:t>+((〖</a:t>
              </a:r>
              <a:r>
                <a:rPr kumimoji="0" lang="tr-TR" sz="1100" b="0" i="0" u="none" strike="noStrike" kern="0" cap="none" spc="0" normalizeH="0" baseline="0" noProof="0">
                  <a:ln>
                    <a:noFill/>
                  </a:ln>
                  <a:solidFill>
                    <a:sysClr val="windowText" lastClr="000000"/>
                  </a:solidFill>
                  <a:effectLst/>
                  <a:uLnTx/>
                  <a:uFillTx/>
                  <a:latin typeface="Cambria Math" panose="02040503050406030204" pitchFamily="18" charset="0"/>
                  <a:ea typeface="+mn-ea"/>
                  <a:cs typeface="+mn-cs"/>
                </a:rPr>
                <a:t>𝐿𝑎𝑏</a:t>
              </a:r>
              <a:r>
                <a:rPr kumimoji="0" lang="en-US" sz="1100" b="0" i="0" u="none" strike="noStrike" kern="0" cap="none" spc="0" normalizeH="0" baseline="0" noProof="0">
                  <a:ln>
                    <a:noFill/>
                  </a:ln>
                  <a:solidFill>
                    <a:sysClr val="windowText" lastClr="000000"/>
                  </a:solidFill>
                  <a:effectLst/>
                  <a:uLnTx/>
                  <a:uFillTx/>
                  <a:latin typeface="Cambria Math" panose="02040503050406030204" pitchFamily="18" charset="0"/>
                  <a:ea typeface="+mn-ea"/>
                  <a:cs typeface="+mn-cs"/>
                </a:rPr>
                <a:t>〗_(</a:t>
              </a:r>
              <a:r>
                <a:rPr kumimoji="0" lang="tr-TR" sz="1100" b="0" i="0" u="none" strike="noStrike" kern="0" cap="none" spc="0" normalizeH="0" baseline="0" noProof="0">
                  <a:ln>
                    <a:noFill/>
                  </a:ln>
                  <a:solidFill>
                    <a:sysClr val="windowText" lastClr="000000"/>
                  </a:solidFill>
                  <a:effectLst/>
                  <a:uLnTx/>
                  <a:uFillTx/>
                  <a:latin typeface="Cambria Math" panose="02040503050406030204" pitchFamily="18" charset="0"/>
                  <a:ea typeface="+mn-ea"/>
                  <a:cs typeface="+mn-cs"/>
                </a:rPr>
                <a:t>(𝑔𝑟𝑎𝑑𝑒)</a:t>
              </a:r>
              <a:r>
                <a:rPr kumimoji="0" lang="en-US" sz="1100" b="0" i="0" u="none" strike="noStrike" kern="0" cap="none" spc="0" normalizeH="0" baseline="0" noProof="0">
                  <a:ln>
                    <a:noFill/>
                  </a:ln>
                  <a:solidFill>
                    <a:sysClr val="windowText" lastClr="000000"/>
                  </a:solidFill>
                  <a:effectLst/>
                  <a:uLnTx/>
                  <a:uFillTx/>
                  <a:latin typeface="Cambria Math" panose="02040503050406030204" pitchFamily="18" charset="0"/>
                  <a:ea typeface="+mn-ea"/>
                  <a:cs typeface="+mn-cs"/>
                </a:rPr>
                <a:t>)∗〖</a:t>
              </a:r>
              <a:r>
                <a:rPr kumimoji="0" lang="tr-TR" sz="1100" b="0" i="0" u="none" strike="noStrike" kern="0" cap="none" spc="0" normalizeH="0" baseline="0" noProof="0">
                  <a:ln>
                    <a:noFill/>
                  </a:ln>
                  <a:solidFill>
                    <a:sysClr val="windowText" lastClr="000000"/>
                  </a:solidFill>
                  <a:effectLst/>
                  <a:uLnTx/>
                  <a:uFillTx/>
                  <a:latin typeface="Cambria Math" panose="02040503050406030204" pitchFamily="18" charset="0"/>
                  <a:ea typeface="+mn-ea"/>
                  <a:cs typeface="+mn-cs"/>
                </a:rPr>
                <a:t>𝐿𝑎𝑏</a:t>
              </a:r>
              <a:r>
                <a:rPr kumimoji="0" lang="en-US" sz="1100" b="0" i="0" u="none" strike="noStrike" kern="0" cap="none" spc="0" normalizeH="0" baseline="0" noProof="0">
                  <a:ln>
                    <a:noFill/>
                  </a:ln>
                  <a:solidFill>
                    <a:sysClr val="windowText" lastClr="000000"/>
                  </a:solidFill>
                  <a:effectLst/>
                  <a:uLnTx/>
                  <a:uFillTx/>
                  <a:latin typeface="Cambria Math" panose="02040503050406030204" pitchFamily="18" charset="0"/>
                  <a:ea typeface="+mn-ea"/>
                  <a:cs typeface="+mn-cs"/>
                </a:rPr>
                <a:t>〗_(</a:t>
              </a:r>
              <a:r>
                <a:rPr kumimoji="0" lang="tr-TR" sz="1100" b="0" i="0" u="none" strike="noStrike" kern="0" cap="none" spc="0" normalizeH="0" baseline="0" noProof="0">
                  <a:ln>
                    <a:noFill/>
                  </a:ln>
                  <a:solidFill>
                    <a:sysClr val="windowText" lastClr="000000"/>
                  </a:solidFill>
                  <a:effectLst/>
                  <a:uLnTx/>
                  <a:uFillTx/>
                  <a:latin typeface="Cambria Math" panose="02040503050406030204" pitchFamily="18" charset="0"/>
                  <a:ea typeface="+mn-ea"/>
                  <a:cs typeface="+mn-cs"/>
                </a:rPr>
                <a:t>(𝑏𝑎𝑠𝑒) </a:t>
              </a:r>
              <a:r>
                <a:rPr kumimoji="0" lang="en-US" sz="1100" b="0" i="0" u="none" strike="noStrike" kern="0" cap="none" spc="0" normalizeH="0" baseline="0" noProof="0">
                  <a:ln>
                    <a:noFill/>
                  </a:ln>
                  <a:solidFill>
                    <a:sysClr val="windowText" lastClr="000000"/>
                  </a:solidFill>
                  <a:effectLst/>
                  <a:uLnTx/>
                  <a:uFillTx/>
                  <a:latin typeface="Cambria Math" panose="02040503050406030204" pitchFamily="18" charset="0"/>
                  <a:ea typeface="+mn-ea"/>
                  <a:cs typeface="+mn-cs"/>
                </a:rPr>
                <a:t>)</a:t>
              </a:r>
              <a:r>
                <a:rPr kumimoji="0" lang="tr-TR" sz="1100" b="0" i="0" u="none" strike="noStrike" kern="0" cap="none" spc="0" normalizeH="0" baseline="0" noProof="0">
                  <a:ln>
                    <a:noFill/>
                  </a:ln>
                  <a:solidFill>
                    <a:sysClr val="windowText" lastClr="000000"/>
                  </a:solidFill>
                  <a:effectLst/>
                  <a:uLnTx/>
                  <a:uFillTx/>
                  <a:latin typeface="Cambria Math" panose="02040503050406030204" pitchFamily="18" charset="0"/>
                  <a:ea typeface="+mn-ea"/>
                  <a:cs typeface="+mn-cs"/>
                </a:rPr>
                <a:t>%</a:t>
              </a:r>
              <a:r>
                <a:rPr kumimoji="0" lang="en-US" sz="1100" b="0" i="0" u="none" strike="noStrike" kern="0" cap="none" spc="0" normalizeH="0" baseline="0" noProof="0">
                  <a:ln>
                    <a:noFill/>
                  </a:ln>
                  <a:solidFill>
                    <a:sysClr val="windowText" lastClr="000000"/>
                  </a:solidFill>
                  <a:effectLst/>
                  <a:uLnTx/>
                  <a:uFillTx/>
                  <a:latin typeface="Cambria Math" panose="02040503050406030204" pitchFamily="18" charset="0"/>
                  <a:ea typeface="+mn-ea"/>
                  <a:cs typeface="+mn-cs"/>
                </a:rPr>
                <a:t>∗100)/〖</a:t>
              </a:r>
              <a:r>
                <a:rPr kumimoji="0" lang="tr-TR" sz="1100" b="0" i="0" u="none" strike="noStrike" kern="0" cap="none" spc="0" normalizeH="0" baseline="0" noProof="0">
                  <a:ln>
                    <a:noFill/>
                  </a:ln>
                  <a:solidFill>
                    <a:sysClr val="windowText" lastClr="000000"/>
                  </a:solidFill>
                  <a:effectLst/>
                  <a:uLnTx/>
                  <a:uFillTx/>
                  <a:latin typeface="Cambria Math" panose="02040503050406030204" pitchFamily="18" charset="0"/>
                  <a:ea typeface="+mn-ea"/>
                  <a:cs typeface="+mn-cs"/>
                </a:rPr>
                <a:t>𝐿𝑎𝑏</a:t>
              </a:r>
              <a:r>
                <a:rPr kumimoji="0" lang="en-US" sz="1100" b="0" i="0" u="none" strike="noStrike" kern="0" cap="none" spc="0" normalizeH="0" baseline="0" noProof="0">
                  <a:ln>
                    <a:noFill/>
                  </a:ln>
                  <a:solidFill>
                    <a:sysClr val="windowText" lastClr="000000"/>
                  </a:solidFill>
                  <a:effectLst/>
                  <a:uLnTx/>
                  <a:uFillTx/>
                  <a:latin typeface="Cambria Math" panose="02040503050406030204" pitchFamily="18" charset="0"/>
                  <a:ea typeface="+mn-ea"/>
                  <a:cs typeface="+mn-cs"/>
                </a:rPr>
                <a:t>〗_(</a:t>
              </a:r>
              <a:r>
                <a:rPr kumimoji="0" lang="tr-TR" sz="1100" b="0" i="0" u="none" strike="noStrike" kern="0" cap="none" spc="0" normalizeH="0" baseline="0" noProof="0">
                  <a:ln>
                    <a:noFill/>
                  </a:ln>
                  <a:solidFill>
                    <a:sysClr val="windowText" lastClr="000000"/>
                  </a:solidFill>
                  <a:effectLst/>
                  <a:uLnTx/>
                  <a:uFillTx/>
                  <a:latin typeface="Cambria Math" panose="02040503050406030204" pitchFamily="18" charset="0"/>
                  <a:ea typeface="+mn-ea"/>
                  <a:cs typeface="+mn-cs"/>
                </a:rPr>
                <a:t>〖(max〗⁡𝑔𝑟𝑎𝑑𝑒)</a:t>
              </a:r>
              <a:r>
                <a:rPr kumimoji="0" lang="en-US" sz="1100" b="0" i="0" u="none" strike="noStrike" kern="0" cap="none" spc="0" normalizeH="0" baseline="0" noProof="0">
                  <a:ln>
                    <a:noFill/>
                  </a:ln>
                  <a:solidFill>
                    <a:sysClr val="windowText" lastClr="000000"/>
                  </a:solidFill>
                  <a:effectLst/>
                  <a:uLnTx/>
                  <a:uFillTx/>
                  <a:latin typeface="Cambria Math" panose="02040503050406030204" pitchFamily="18" charset="0"/>
                  <a:ea typeface="+mn-ea"/>
                  <a:cs typeface="+mn-cs"/>
                </a:rPr>
                <a:t>)</a:t>
              </a:r>
              <a:r>
                <a:rPr kumimoji="0" lang="tr-TR" sz="1100" b="0" i="0" u="none" strike="noStrike" kern="0" cap="none" spc="0" normalizeH="0" baseline="0" noProof="0">
                  <a:ln>
                    <a:noFill/>
                  </a:ln>
                  <a:solidFill>
                    <a:sysClr val="windowText" lastClr="000000"/>
                  </a:solidFill>
                  <a:effectLst/>
                  <a:uLnTx/>
                  <a:uFillTx/>
                  <a:latin typeface="Cambria Math" panose="02040503050406030204" pitchFamily="18" charset="0"/>
                  <a:ea typeface="+mn-ea"/>
                  <a:cs typeface="+mn-cs"/>
                </a:rPr>
                <a:t> )</a:t>
              </a:r>
              <a:r>
                <a:rPr kumimoji="0" lang="en-US" sz="1100" b="0" i="0" u="none" strike="noStrike" kern="0" cap="none" spc="0" normalizeH="0" baseline="0" noProof="0">
                  <a:ln>
                    <a:noFill/>
                  </a:ln>
                  <a:solidFill>
                    <a:sysClr val="windowText" lastClr="000000"/>
                  </a:solidFill>
                  <a:effectLst/>
                  <a:uLnTx/>
                  <a:uFillTx/>
                  <a:latin typeface="Cambria Math" panose="02040503050406030204" pitchFamily="18" charset="0"/>
                  <a:ea typeface="+mn-ea"/>
                  <a:cs typeface="+mn-cs"/>
                </a:rPr>
                <a:t>+((〖</a:t>
              </a:r>
              <a:r>
                <a:rPr kumimoji="0" lang="tr-TR" sz="1100" b="0" i="0" u="none" strike="noStrike" kern="0" cap="none" spc="0" normalizeH="0" baseline="0" noProof="0">
                  <a:ln>
                    <a:noFill/>
                  </a:ln>
                  <a:solidFill>
                    <a:sysClr val="windowText" lastClr="000000"/>
                  </a:solidFill>
                  <a:effectLst/>
                  <a:uLnTx/>
                  <a:uFillTx/>
                  <a:latin typeface="Cambria Math" panose="02040503050406030204" pitchFamily="18" charset="0"/>
                  <a:ea typeface="+mn-ea"/>
                  <a:cs typeface="+mn-cs"/>
                </a:rPr>
                <a:t>𝐻𝑜𝑚𝑒𝑤𝑜𝑟𝑘</a:t>
              </a:r>
              <a:r>
                <a:rPr kumimoji="0" lang="en-US" sz="1100" b="0" i="0" u="none" strike="noStrike" kern="0" cap="none" spc="0" normalizeH="0" baseline="0" noProof="0">
                  <a:ln>
                    <a:noFill/>
                  </a:ln>
                  <a:solidFill>
                    <a:sysClr val="windowText" lastClr="000000"/>
                  </a:solidFill>
                  <a:effectLst/>
                  <a:uLnTx/>
                  <a:uFillTx/>
                  <a:latin typeface="Cambria Math" panose="02040503050406030204" pitchFamily="18" charset="0"/>
                  <a:ea typeface="+mn-ea"/>
                  <a:cs typeface="+mn-cs"/>
                </a:rPr>
                <a:t>〗_(</a:t>
              </a:r>
              <a:r>
                <a:rPr kumimoji="0" lang="tr-TR" sz="1100" b="0" i="0" u="none" strike="noStrike" kern="0" cap="none" spc="0" normalizeH="0" baseline="0" noProof="0">
                  <a:ln>
                    <a:noFill/>
                  </a:ln>
                  <a:solidFill>
                    <a:sysClr val="windowText" lastClr="000000"/>
                  </a:solidFill>
                  <a:effectLst/>
                  <a:uLnTx/>
                  <a:uFillTx/>
                  <a:latin typeface="Cambria Math" panose="02040503050406030204" pitchFamily="18" charset="0"/>
                  <a:ea typeface="+mn-ea"/>
                  <a:cs typeface="+mn-cs"/>
                </a:rPr>
                <a:t>(𝑔𝑟𝑎𝑑𝑒)</a:t>
              </a:r>
              <a:r>
                <a:rPr kumimoji="0" lang="en-US" sz="1100" b="0" i="0" u="none" strike="noStrike" kern="0" cap="none" spc="0" normalizeH="0" baseline="0" noProof="0">
                  <a:ln>
                    <a:noFill/>
                  </a:ln>
                  <a:solidFill>
                    <a:sysClr val="windowText" lastClr="000000"/>
                  </a:solidFill>
                  <a:effectLst/>
                  <a:uLnTx/>
                  <a:uFillTx/>
                  <a:latin typeface="Cambria Math" panose="02040503050406030204" pitchFamily="18" charset="0"/>
                  <a:ea typeface="+mn-ea"/>
                  <a:cs typeface="+mn-cs"/>
                </a:rPr>
                <a:t>)∗〖</a:t>
              </a:r>
              <a:r>
                <a:rPr kumimoji="0" lang="tr-TR" sz="1100" b="0" i="0" u="none" strike="noStrike" kern="0" cap="none" spc="0" normalizeH="0" baseline="0" noProof="0">
                  <a:ln>
                    <a:noFill/>
                  </a:ln>
                  <a:solidFill>
                    <a:sysClr val="windowText" lastClr="000000"/>
                  </a:solidFill>
                  <a:effectLst/>
                  <a:uLnTx/>
                  <a:uFillTx/>
                  <a:latin typeface="Cambria Math" panose="02040503050406030204" pitchFamily="18" charset="0"/>
                  <a:ea typeface="+mn-ea"/>
                  <a:cs typeface="+mn-cs"/>
                </a:rPr>
                <a:t>𝐻𝑜𝑚𝑒𝑤𝑜𝑟𝑘</a:t>
              </a:r>
              <a:r>
                <a:rPr kumimoji="0" lang="en-US" sz="1100" b="0" i="0" u="none" strike="noStrike" kern="0" cap="none" spc="0" normalizeH="0" baseline="0" noProof="0">
                  <a:ln>
                    <a:noFill/>
                  </a:ln>
                  <a:solidFill>
                    <a:sysClr val="windowText" lastClr="000000"/>
                  </a:solidFill>
                  <a:effectLst/>
                  <a:uLnTx/>
                  <a:uFillTx/>
                  <a:latin typeface="Cambria Math" panose="02040503050406030204" pitchFamily="18" charset="0"/>
                  <a:ea typeface="+mn-ea"/>
                  <a:cs typeface="+mn-cs"/>
                </a:rPr>
                <a:t>〗_(</a:t>
              </a:r>
              <a:r>
                <a:rPr kumimoji="0" lang="tr-TR" sz="1100" b="0" i="0" u="none" strike="noStrike" kern="0" cap="none" spc="0" normalizeH="0" baseline="0" noProof="0">
                  <a:ln>
                    <a:noFill/>
                  </a:ln>
                  <a:solidFill>
                    <a:sysClr val="windowText" lastClr="000000"/>
                  </a:solidFill>
                  <a:effectLst/>
                  <a:uLnTx/>
                  <a:uFillTx/>
                  <a:latin typeface="Cambria Math" panose="02040503050406030204" pitchFamily="18" charset="0"/>
                  <a:ea typeface="+mn-ea"/>
                  <a:cs typeface="+mn-cs"/>
                </a:rPr>
                <a:t>(𝑏𝑎𝑠𝑒) </a:t>
              </a:r>
              <a:r>
                <a:rPr kumimoji="0" lang="en-US" sz="1100" b="0" i="0" u="none" strike="noStrike" kern="0" cap="none" spc="0" normalizeH="0" baseline="0" noProof="0">
                  <a:ln>
                    <a:noFill/>
                  </a:ln>
                  <a:solidFill>
                    <a:sysClr val="windowText" lastClr="000000"/>
                  </a:solidFill>
                  <a:effectLst/>
                  <a:uLnTx/>
                  <a:uFillTx/>
                  <a:latin typeface="Cambria Math" panose="02040503050406030204" pitchFamily="18" charset="0"/>
                  <a:ea typeface="+mn-ea"/>
                  <a:cs typeface="+mn-cs"/>
                </a:rPr>
                <a:t>)</a:t>
              </a:r>
              <a:r>
                <a:rPr kumimoji="0" lang="tr-TR" sz="1100" b="0" i="0" u="none" strike="noStrike" kern="0" cap="none" spc="0" normalizeH="0" baseline="0" noProof="0">
                  <a:ln>
                    <a:noFill/>
                  </a:ln>
                  <a:solidFill>
                    <a:sysClr val="windowText" lastClr="000000"/>
                  </a:solidFill>
                  <a:effectLst/>
                  <a:uLnTx/>
                  <a:uFillTx/>
                  <a:latin typeface="Cambria Math" panose="02040503050406030204" pitchFamily="18" charset="0"/>
                  <a:ea typeface="+mn-ea"/>
                  <a:cs typeface="+mn-cs"/>
                </a:rPr>
                <a:t>%</a:t>
              </a:r>
              <a:r>
                <a:rPr kumimoji="0" lang="en-US" sz="1100" b="0" i="0" u="none" strike="noStrike" kern="0" cap="none" spc="0" normalizeH="0" baseline="0" noProof="0">
                  <a:ln>
                    <a:noFill/>
                  </a:ln>
                  <a:solidFill>
                    <a:sysClr val="windowText" lastClr="000000"/>
                  </a:solidFill>
                  <a:effectLst/>
                  <a:uLnTx/>
                  <a:uFillTx/>
                  <a:latin typeface="Cambria Math" panose="02040503050406030204" pitchFamily="18" charset="0"/>
                  <a:ea typeface="+mn-ea"/>
                  <a:cs typeface="+mn-cs"/>
                </a:rPr>
                <a:t>∗100)/〖</a:t>
              </a:r>
              <a:r>
                <a:rPr kumimoji="0" lang="tr-TR" sz="1100" b="0" i="0" u="none" strike="noStrike" kern="0" cap="none" spc="0" normalizeH="0" baseline="0" noProof="0">
                  <a:ln>
                    <a:noFill/>
                  </a:ln>
                  <a:solidFill>
                    <a:sysClr val="windowText" lastClr="000000"/>
                  </a:solidFill>
                  <a:effectLst/>
                  <a:uLnTx/>
                  <a:uFillTx/>
                  <a:latin typeface="Cambria Math" panose="02040503050406030204" pitchFamily="18" charset="0"/>
                  <a:ea typeface="+mn-ea"/>
                  <a:cs typeface="+mn-cs"/>
                </a:rPr>
                <a:t>𝐻𝑜𝑚𝑒𝑤𝑜𝑟𝑘</a:t>
              </a:r>
              <a:r>
                <a:rPr kumimoji="0" lang="en-US" sz="1100" b="0" i="0" u="none" strike="noStrike" kern="0" cap="none" spc="0" normalizeH="0" baseline="0" noProof="0">
                  <a:ln>
                    <a:noFill/>
                  </a:ln>
                  <a:solidFill>
                    <a:sysClr val="windowText" lastClr="000000"/>
                  </a:solidFill>
                  <a:effectLst/>
                  <a:uLnTx/>
                  <a:uFillTx/>
                  <a:latin typeface="Cambria Math" panose="02040503050406030204" pitchFamily="18" charset="0"/>
                  <a:ea typeface="+mn-ea"/>
                  <a:cs typeface="+mn-cs"/>
                </a:rPr>
                <a:t>〗_(</a:t>
              </a:r>
              <a:r>
                <a:rPr kumimoji="0" lang="tr-TR" sz="1100" b="0" i="0" u="none" strike="noStrike" kern="0" cap="none" spc="0" normalizeH="0" baseline="0" noProof="0">
                  <a:ln>
                    <a:noFill/>
                  </a:ln>
                  <a:solidFill>
                    <a:sysClr val="windowText" lastClr="000000"/>
                  </a:solidFill>
                  <a:effectLst/>
                  <a:uLnTx/>
                  <a:uFillTx/>
                  <a:latin typeface="Cambria Math" panose="02040503050406030204" pitchFamily="18" charset="0"/>
                  <a:ea typeface="+mn-ea"/>
                  <a:cs typeface="+mn-cs"/>
                </a:rPr>
                <a:t>〖(max〗⁡𝑔𝑟𝑎𝑑𝑒)</a:t>
              </a:r>
              <a:r>
                <a:rPr kumimoji="0" lang="en-US" sz="1100" b="0" i="0" u="none" strike="noStrike" kern="0" cap="none" spc="0" normalizeH="0" baseline="0" noProof="0">
                  <a:ln>
                    <a:noFill/>
                  </a:ln>
                  <a:solidFill>
                    <a:sysClr val="windowText" lastClr="000000"/>
                  </a:solidFill>
                  <a:effectLst/>
                  <a:uLnTx/>
                  <a:uFillTx/>
                  <a:latin typeface="Cambria Math" panose="02040503050406030204" pitchFamily="18" charset="0"/>
                  <a:ea typeface="+mn-ea"/>
                  <a:cs typeface="+mn-cs"/>
                </a:rPr>
                <a:t>)</a:t>
              </a:r>
              <a:r>
                <a:rPr kumimoji="0" lang="tr-TR" sz="1100" b="0" i="0" u="none" strike="noStrike" kern="0" cap="none" spc="0" normalizeH="0" baseline="0" noProof="0">
                  <a:ln>
                    <a:noFill/>
                  </a:ln>
                  <a:solidFill>
                    <a:sysClr val="windowText" lastClr="000000"/>
                  </a:solidFill>
                  <a:effectLst/>
                  <a:uLnTx/>
                  <a:uFillTx/>
                  <a:latin typeface="Cambria Math" panose="02040503050406030204" pitchFamily="18" charset="0"/>
                  <a:ea typeface="+mn-ea"/>
                  <a:cs typeface="+mn-cs"/>
                </a:rPr>
                <a:t> )</a:t>
              </a:r>
              <a:r>
                <a:rPr kumimoji="0" lang="en-US" sz="1100" b="0" i="0" u="none" strike="noStrike" kern="0" cap="none" spc="0" normalizeH="0" baseline="0" noProof="0">
                  <a:ln>
                    <a:noFill/>
                  </a:ln>
                  <a:solidFill>
                    <a:sysClr val="windowText" lastClr="000000"/>
                  </a:solidFill>
                  <a:effectLst/>
                  <a:uLnTx/>
                  <a:uFillTx/>
                  <a:latin typeface="Cambria Math" panose="02040503050406030204" pitchFamily="18" charset="0"/>
                  <a:ea typeface="+mn-ea"/>
                  <a:cs typeface="+mn-cs"/>
                </a:rPr>
                <a:t>+</a:t>
              </a:r>
              <a:r>
                <a:rPr kumimoji="0" lang="tr-TR" sz="1000" b="0" i="0" u="none" strike="noStrike" kern="0" cap="none" spc="0" normalizeH="0" baseline="0" noProof="0">
                  <a:ln>
                    <a:noFill/>
                  </a:ln>
                  <a:solidFill>
                    <a:sysClr val="windowText" lastClr="000000"/>
                  </a:solidFill>
                  <a:effectLst/>
                  <a:uLnTx/>
                  <a:uFillTx/>
                  <a:latin typeface="Cambria Math" panose="02040503050406030204" pitchFamily="18" charset="0"/>
                  <a:ea typeface="+mn-ea"/>
                  <a:cs typeface="+mn-cs"/>
                </a:rPr>
                <a:t>𝐵𝑜𝑛𝑢𝑠𝑃𝑜𝑖𝑛𝑡</a:t>
              </a:r>
              <a:endParaRPr kumimoji="0" lang="en-US" sz="1000" b="0" i="0" u="none" strike="noStrike" kern="0" cap="none" spc="0" normalizeH="0" baseline="0" noProof="0">
                <a:ln>
                  <a:noFill/>
                </a:ln>
                <a:solidFill>
                  <a:sysClr val="windowText" lastClr="000000"/>
                </a:solidFill>
                <a:effectLst/>
                <a:uLnTx/>
                <a:uFillTx/>
                <a:latin typeface="Calibri" panose="020F0502020204030204"/>
                <a:ea typeface="+mn-ea"/>
                <a:cs typeface="+mn-cs"/>
              </a:endParaRPr>
            </a:p>
          </xdr:txBody>
        </xdr:sp>
      </mc:Fallback>
    </mc:AlternateContent>
    <xdr:clientData/>
  </xdr:oneCellAnchor>
  <xdr:oneCellAnchor>
    <xdr:from>
      <xdr:col>10</xdr:col>
      <xdr:colOff>353715</xdr:colOff>
      <xdr:row>132</xdr:row>
      <xdr:rowOff>185336</xdr:rowOff>
    </xdr:from>
    <xdr:ext cx="5006790" cy="311111"/>
    <mc:AlternateContent xmlns:mc="http://schemas.openxmlformats.org/markup-compatibility/2006" xmlns:a14="http://schemas.microsoft.com/office/drawing/2010/main">
      <mc:Choice Requires="a14">
        <xdr:sp macro="" textlink="">
          <xdr:nvSpPr>
            <xdr:cNvPr id="104" name="Metin kutusu 103">
              <a:extLst>
                <a:ext uri="{FF2B5EF4-FFF2-40B4-BE49-F238E27FC236}">
                  <a16:creationId xmlns:a16="http://schemas.microsoft.com/office/drawing/2014/main" id="{00000000-0008-0000-0000-000068000000}"/>
                </a:ext>
              </a:extLst>
            </xdr:cNvPr>
            <xdr:cNvSpPr txBox="1"/>
          </xdr:nvSpPr>
          <xdr:spPr>
            <a:xfrm>
              <a:off x="11509395" y="25049396"/>
              <a:ext cx="5006790" cy="31111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r>
                <a:rPr lang="tr-TR" sz="1100">
                  <a:solidFill>
                    <a:sysClr val="windowText" lastClr="000000"/>
                  </a:solidFill>
                </a:rPr>
                <a:t>DÇ</a:t>
              </a:r>
              <a14:m>
                <m:oMath xmlns:m="http://schemas.openxmlformats.org/officeDocument/2006/math">
                  <m:d>
                    <m:dPr>
                      <m:ctrlPr>
                        <a:rPr lang="en-US" sz="1100" i="1">
                          <a:solidFill>
                            <a:sysClr val="windowText" lastClr="000000"/>
                          </a:solidFill>
                          <a:latin typeface="Cambria Math" panose="02040503050406030204" pitchFamily="18" charset="0"/>
                        </a:rPr>
                      </m:ctrlPr>
                    </m:dPr>
                    <m:e>
                      <m:r>
                        <a:rPr lang="en-US" sz="1100" i="1">
                          <a:solidFill>
                            <a:sysClr val="windowText" lastClr="000000"/>
                          </a:solidFill>
                          <a:latin typeface="Cambria Math" panose="02040503050406030204" pitchFamily="18" charset="0"/>
                        </a:rPr>
                        <m:t>𝑛</m:t>
                      </m:r>
                    </m:e>
                  </m:d>
                  <m:r>
                    <a:rPr lang="en-US" sz="1100" i="0">
                      <a:solidFill>
                        <a:sysClr val="windowText" lastClr="000000"/>
                      </a:solidFill>
                      <a:latin typeface="Cambria Math" panose="02040503050406030204" pitchFamily="18" charset="0"/>
                    </a:rPr>
                    <m:t>=</m:t>
                  </m:r>
                  <m:f>
                    <m:fPr>
                      <m:type m:val="lin"/>
                      <m:ctrlPr>
                        <a:rPr lang="en-US" sz="1100" i="1">
                          <a:solidFill>
                            <a:sysClr val="windowText" lastClr="000000"/>
                          </a:solidFill>
                          <a:latin typeface="Cambria Math" panose="02040503050406030204" pitchFamily="18" charset="0"/>
                        </a:rPr>
                      </m:ctrlPr>
                    </m:fPr>
                    <m:num>
                      <m:d>
                        <m:dPr>
                          <m:ctrlPr>
                            <a:rPr lang="en-US" sz="1100" i="1">
                              <a:solidFill>
                                <a:sysClr val="windowText" lastClr="000000"/>
                              </a:solidFill>
                              <a:latin typeface="Cambria Math" panose="02040503050406030204" pitchFamily="18" charset="0"/>
                            </a:rPr>
                          </m:ctrlPr>
                        </m:dPr>
                        <m:e>
                          <m:f>
                            <m:fPr>
                              <m:ctrlPr>
                                <a:rPr lang="en-US" sz="1100" i="1">
                                  <a:solidFill>
                                    <a:sysClr val="windowText" lastClr="000000"/>
                                  </a:solidFill>
                                  <a:latin typeface="Cambria Math" panose="02040503050406030204" pitchFamily="18" charset="0"/>
                                </a:rPr>
                              </m:ctrlPr>
                            </m:fPr>
                            <m:num>
                              <m:sSub>
                                <m:sSubPr>
                                  <m:ctrlPr>
                                    <a:rPr lang="en-US" sz="1100" i="1">
                                      <a:solidFill>
                                        <a:sysClr val="windowText" lastClr="000000"/>
                                      </a:solidFill>
                                      <a:latin typeface="Cambria Math" panose="02040503050406030204" pitchFamily="18" charset="0"/>
                                    </a:rPr>
                                  </m:ctrlPr>
                                </m:sSubPr>
                                <m:e>
                                  <m:r>
                                    <a:rPr lang="en-US" sz="1100" i="1">
                                      <a:solidFill>
                                        <a:sysClr val="windowText" lastClr="000000"/>
                                      </a:solidFill>
                                      <a:latin typeface="Cambria Math" panose="02040503050406030204" pitchFamily="18" charset="0"/>
                                    </a:rPr>
                                    <m:t>𝑚</m:t>
                                  </m:r>
                                  <m:r>
                                    <a:rPr lang="tr-TR" sz="1100" b="0" i="1">
                                      <a:solidFill>
                                        <a:sysClr val="windowText" lastClr="000000"/>
                                      </a:solidFill>
                                      <a:latin typeface="Cambria Math" panose="02040503050406030204" pitchFamily="18" charset="0"/>
                                    </a:rPr>
                                    <m:t>𝑖𝑑𝑡𝑒𝑟𝑚</m:t>
                                  </m:r>
                                </m:e>
                                <m:sub>
                                  <m:r>
                                    <a:rPr lang="en-US" sz="1100" i="1">
                                      <a:solidFill>
                                        <a:sysClr val="windowText" lastClr="000000"/>
                                      </a:solidFill>
                                      <a:latin typeface="Cambria Math" panose="02040503050406030204" pitchFamily="18" charset="0"/>
                                    </a:rPr>
                                    <m:t>𝑑</m:t>
                                  </m:r>
                                  <m:r>
                                    <a:rPr lang="tr-TR" sz="1100" b="0" i="1">
                                      <a:solidFill>
                                        <a:sysClr val="windowText" lastClr="000000"/>
                                      </a:solidFill>
                                      <a:latin typeface="Cambria Math" panose="02040503050406030204" pitchFamily="18" charset="0"/>
                                    </a:rPr>
                                    <m:t>ç(</m:t>
                                  </m:r>
                                  <m:r>
                                    <a:rPr lang="tr-TR" sz="1100" b="0" i="1">
                                      <a:solidFill>
                                        <a:sysClr val="windowText" lastClr="000000"/>
                                      </a:solidFill>
                                      <a:latin typeface="Cambria Math" panose="02040503050406030204" pitchFamily="18" charset="0"/>
                                    </a:rPr>
                                    <m:t>𝑛</m:t>
                                  </m:r>
                                  <m:r>
                                    <a:rPr lang="tr-TR" sz="1100" b="0" i="1">
                                      <a:solidFill>
                                        <a:sysClr val="windowText" lastClr="000000"/>
                                      </a:solidFill>
                                      <a:latin typeface="Cambria Math" panose="02040503050406030204" pitchFamily="18" charset="0"/>
                                    </a:rPr>
                                    <m:t>)</m:t>
                                  </m:r>
                                </m:sub>
                              </m:sSub>
                            </m:num>
                            <m:den>
                              <m:sSub>
                                <m:sSubPr>
                                  <m:ctrlPr>
                                    <a:rPr lang="en-US" sz="1100" i="1">
                                      <a:solidFill>
                                        <a:sysClr val="windowText" lastClr="000000"/>
                                      </a:solidFill>
                                      <a:latin typeface="Cambria Math" panose="02040503050406030204" pitchFamily="18" charset="0"/>
                                    </a:rPr>
                                  </m:ctrlPr>
                                </m:sSubPr>
                                <m:e>
                                  <m:r>
                                    <a:rPr lang="en-US" sz="1100" i="1">
                                      <a:solidFill>
                                        <a:sysClr val="windowText" lastClr="000000"/>
                                      </a:solidFill>
                                      <a:latin typeface="Cambria Math" panose="02040503050406030204" pitchFamily="18" charset="0"/>
                                    </a:rPr>
                                    <m:t>𝑇</m:t>
                                  </m:r>
                                  <m:r>
                                    <a:rPr lang="tr-TR" sz="1100" b="0" i="1">
                                      <a:solidFill>
                                        <a:sysClr val="windowText" lastClr="000000"/>
                                      </a:solidFill>
                                      <a:latin typeface="Cambria Math" panose="02040503050406030204" pitchFamily="18" charset="0"/>
                                    </a:rPr>
                                    <m:t>𝑜𝑡𝑎𝑙</m:t>
                                  </m:r>
                                  <m:r>
                                    <a:rPr lang="tr-TR" sz="1100" b="0" i="1">
                                      <a:solidFill>
                                        <a:sysClr val="windowText" lastClr="000000"/>
                                      </a:solidFill>
                                      <a:latin typeface="Cambria Math" panose="02040503050406030204" pitchFamily="18" charset="0"/>
                                    </a:rPr>
                                    <m:t> </m:t>
                                  </m:r>
                                  <m:r>
                                    <a:rPr lang="tr-TR" sz="1100" b="0" i="1">
                                      <a:solidFill>
                                        <a:sysClr val="windowText" lastClr="000000"/>
                                      </a:solidFill>
                                      <a:latin typeface="Cambria Math" panose="02040503050406030204" pitchFamily="18" charset="0"/>
                                    </a:rPr>
                                    <m:t>𝑑</m:t>
                                  </m:r>
                                  <m:r>
                                    <a:rPr lang="tr-TR" sz="1100" b="0" i="1">
                                      <a:solidFill>
                                        <a:sysClr val="windowText" lastClr="000000"/>
                                      </a:solidFill>
                                      <a:latin typeface="Cambria Math" panose="02040503050406030204" pitchFamily="18" charset="0"/>
                                    </a:rPr>
                                    <m:t>ç(</m:t>
                                  </m:r>
                                  <m:r>
                                    <a:rPr lang="tr-TR" sz="1100" b="0" i="1">
                                      <a:solidFill>
                                        <a:sysClr val="windowText" lastClr="000000"/>
                                      </a:solidFill>
                                      <a:latin typeface="Cambria Math" panose="02040503050406030204" pitchFamily="18" charset="0"/>
                                    </a:rPr>
                                    <m:t>𝑛</m:t>
                                  </m:r>
                                  <m:r>
                                    <a:rPr lang="tr-TR" sz="1100" b="0" i="1">
                                      <a:solidFill>
                                        <a:sysClr val="windowText" lastClr="000000"/>
                                      </a:solidFill>
                                      <a:latin typeface="Cambria Math" panose="02040503050406030204" pitchFamily="18" charset="0"/>
                                    </a:rPr>
                                    <m:t>)</m:t>
                                  </m:r>
                                </m:e>
                                <m:sub>
                                  <m:r>
                                    <a:rPr lang="en-US" sz="1100" i="1">
                                      <a:solidFill>
                                        <a:sysClr val="windowText" lastClr="000000"/>
                                      </a:solidFill>
                                      <a:latin typeface="Cambria Math" panose="02040503050406030204" pitchFamily="18" charset="0"/>
                                    </a:rPr>
                                    <m:t>𝑚</m:t>
                                  </m:r>
                                  <m:r>
                                    <a:rPr lang="tr-TR" sz="1100" b="0" i="1">
                                      <a:solidFill>
                                        <a:sysClr val="windowText" lastClr="000000"/>
                                      </a:solidFill>
                                      <a:latin typeface="Cambria Math" panose="02040503050406030204" pitchFamily="18" charset="0"/>
                                    </a:rPr>
                                    <m:t>𝑖𝑑𝑡𝑒𝑟𝑚</m:t>
                                  </m:r>
                                </m:sub>
                              </m:sSub>
                            </m:den>
                          </m:f>
                          <m:r>
                            <a:rPr lang="en-US" sz="1100" i="0">
                              <a:solidFill>
                                <a:sysClr val="windowText" lastClr="000000"/>
                              </a:solidFill>
                              <a:latin typeface="Cambria Math" panose="02040503050406030204" pitchFamily="18" charset="0"/>
                            </a:rPr>
                            <m:t>+</m:t>
                          </m:r>
                          <m:f>
                            <m:fPr>
                              <m:ctrlPr>
                                <a:rPr lang="en-US" sz="1100" i="1">
                                  <a:solidFill>
                                    <a:sysClr val="windowText" lastClr="000000"/>
                                  </a:solidFill>
                                  <a:latin typeface="Cambria Math" panose="02040503050406030204" pitchFamily="18" charset="0"/>
                                </a:rPr>
                              </m:ctrlPr>
                            </m:fPr>
                            <m:num>
                              <m:sSub>
                                <m:sSubPr>
                                  <m:ctrlPr>
                                    <a:rPr lang="en-US" sz="1100" i="1">
                                      <a:solidFill>
                                        <a:sysClr val="windowText" lastClr="000000"/>
                                      </a:solidFill>
                                      <a:latin typeface="Cambria Math" panose="02040503050406030204" pitchFamily="18" charset="0"/>
                                    </a:rPr>
                                  </m:ctrlPr>
                                </m:sSubPr>
                                <m:e>
                                  <m:r>
                                    <a:rPr lang="en-US" sz="1100" i="1">
                                      <a:solidFill>
                                        <a:sysClr val="windowText" lastClr="000000"/>
                                      </a:solidFill>
                                      <a:latin typeface="Cambria Math" panose="02040503050406030204" pitchFamily="18" charset="0"/>
                                    </a:rPr>
                                    <m:t>𝑓</m:t>
                                  </m:r>
                                  <m:r>
                                    <a:rPr lang="tr-TR" sz="1100" b="0" i="1">
                                      <a:solidFill>
                                        <a:sysClr val="windowText" lastClr="000000"/>
                                      </a:solidFill>
                                      <a:latin typeface="Cambria Math" panose="02040503050406030204" pitchFamily="18" charset="0"/>
                                    </a:rPr>
                                    <m:t>𝑖𝑛𝑎𝑙</m:t>
                                  </m:r>
                                </m:e>
                                <m:sub>
                                  <m:r>
                                    <a:rPr lang="en-US" sz="1100" i="1">
                                      <a:solidFill>
                                        <a:sysClr val="windowText" lastClr="000000"/>
                                      </a:solidFill>
                                      <a:latin typeface="Cambria Math" panose="02040503050406030204" pitchFamily="18" charset="0"/>
                                    </a:rPr>
                                    <m:t>𝑑</m:t>
                                  </m:r>
                                  <m:r>
                                    <a:rPr lang="tr-TR" sz="1100" b="0" i="1">
                                      <a:solidFill>
                                        <a:sysClr val="windowText" lastClr="000000"/>
                                      </a:solidFill>
                                      <a:latin typeface="Cambria Math" panose="02040503050406030204" pitchFamily="18" charset="0"/>
                                    </a:rPr>
                                    <m:t>ç(</m:t>
                                  </m:r>
                                  <m:r>
                                    <a:rPr lang="tr-TR" sz="1100" b="0" i="1">
                                      <a:solidFill>
                                        <a:sysClr val="windowText" lastClr="000000"/>
                                      </a:solidFill>
                                      <a:latin typeface="Cambria Math" panose="02040503050406030204" pitchFamily="18" charset="0"/>
                                    </a:rPr>
                                    <m:t>𝑛</m:t>
                                  </m:r>
                                  <m:r>
                                    <a:rPr lang="tr-TR" sz="1100" b="0" i="1">
                                      <a:solidFill>
                                        <a:sysClr val="windowText" lastClr="000000"/>
                                      </a:solidFill>
                                      <a:latin typeface="Cambria Math" panose="02040503050406030204" pitchFamily="18" charset="0"/>
                                    </a:rPr>
                                    <m:t>)</m:t>
                                  </m:r>
                                </m:sub>
                              </m:sSub>
                            </m:num>
                            <m:den>
                              <m:sSub>
                                <m:sSubPr>
                                  <m:ctrlPr>
                                    <a:rPr lang="en-US" sz="1100" i="1">
                                      <a:solidFill>
                                        <a:sysClr val="windowText" lastClr="000000"/>
                                      </a:solidFill>
                                      <a:latin typeface="Cambria Math" panose="02040503050406030204" pitchFamily="18" charset="0"/>
                                    </a:rPr>
                                  </m:ctrlPr>
                                </m:sSubPr>
                                <m:e>
                                  <m:r>
                                    <a:rPr lang="en-US" sz="1100" i="1">
                                      <a:solidFill>
                                        <a:sysClr val="windowText" lastClr="000000"/>
                                      </a:solidFill>
                                      <a:latin typeface="Cambria Math" panose="02040503050406030204" pitchFamily="18" charset="0"/>
                                    </a:rPr>
                                    <m:t>𝑇</m:t>
                                  </m:r>
                                  <m:r>
                                    <a:rPr lang="tr-TR" sz="1100" b="0" i="1">
                                      <a:solidFill>
                                        <a:sysClr val="windowText" lastClr="000000"/>
                                      </a:solidFill>
                                      <a:latin typeface="Cambria Math" panose="02040503050406030204" pitchFamily="18" charset="0"/>
                                    </a:rPr>
                                    <m:t>𝑜𝑡𝑎𝑙</m:t>
                                  </m:r>
                                  <m:r>
                                    <a:rPr lang="tr-TR" sz="1100" b="0" i="1">
                                      <a:solidFill>
                                        <a:sysClr val="windowText" lastClr="000000"/>
                                      </a:solidFill>
                                      <a:latin typeface="Cambria Math" panose="02040503050406030204" pitchFamily="18" charset="0"/>
                                    </a:rPr>
                                    <m:t> </m:t>
                                  </m:r>
                                  <m:r>
                                    <a:rPr lang="tr-TR" sz="1100" b="0" i="1">
                                      <a:solidFill>
                                        <a:sysClr val="windowText" lastClr="000000"/>
                                      </a:solidFill>
                                      <a:latin typeface="Cambria Math" panose="02040503050406030204" pitchFamily="18" charset="0"/>
                                    </a:rPr>
                                    <m:t>𝑑</m:t>
                                  </m:r>
                                  <m:r>
                                    <a:rPr lang="tr-TR" sz="1100" b="0" i="1">
                                      <a:solidFill>
                                        <a:sysClr val="windowText" lastClr="000000"/>
                                      </a:solidFill>
                                      <a:latin typeface="Cambria Math" panose="02040503050406030204" pitchFamily="18" charset="0"/>
                                    </a:rPr>
                                    <m:t>ç(</m:t>
                                  </m:r>
                                  <m:r>
                                    <a:rPr lang="tr-TR" sz="1100" b="0" i="1">
                                      <a:solidFill>
                                        <a:sysClr val="windowText" lastClr="000000"/>
                                      </a:solidFill>
                                      <a:latin typeface="Cambria Math" panose="02040503050406030204" pitchFamily="18" charset="0"/>
                                    </a:rPr>
                                    <m:t>𝑛</m:t>
                                  </m:r>
                                  <m:r>
                                    <a:rPr lang="tr-TR" sz="1100" b="0" i="1">
                                      <a:solidFill>
                                        <a:sysClr val="windowText" lastClr="000000"/>
                                      </a:solidFill>
                                      <a:latin typeface="Cambria Math" panose="02040503050406030204" pitchFamily="18" charset="0"/>
                                    </a:rPr>
                                    <m:t>)</m:t>
                                  </m:r>
                                </m:e>
                                <m:sub>
                                  <m:r>
                                    <a:rPr lang="en-US" sz="1100" i="1">
                                      <a:solidFill>
                                        <a:sysClr val="windowText" lastClr="000000"/>
                                      </a:solidFill>
                                      <a:latin typeface="Cambria Math" panose="02040503050406030204" pitchFamily="18" charset="0"/>
                                    </a:rPr>
                                    <m:t>𝑓</m:t>
                                  </m:r>
                                  <m:r>
                                    <a:rPr lang="tr-TR" sz="1100" b="0" i="1">
                                      <a:solidFill>
                                        <a:sysClr val="windowText" lastClr="000000"/>
                                      </a:solidFill>
                                      <a:latin typeface="Cambria Math" panose="02040503050406030204" pitchFamily="18" charset="0"/>
                                    </a:rPr>
                                    <m:t>𝑖𝑛𝑎𝑙</m:t>
                                  </m:r>
                                </m:sub>
                              </m:sSub>
                            </m:den>
                          </m:f>
                          <m:r>
                            <a:rPr lang="en-US" sz="1100" i="0">
                              <a:solidFill>
                                <a:sysClr val="windowText" lastClr="000000"/>
                              </a:solidFill>
                              <a:effectLst/>
                              <a:latin typeface="Cambria Math" panose="02040503050406030204" pitchFamily="18" charset="0"/>
                              <a:ea typeface="+mn-ea"/>
                              <a:cs typeface="+mn-cs"/>
                            </a:rPr>
                            <m:t>+</m:t>
                          </m:r>
                          <m:f>
                            <m:fPr>
                              <m:ctrlPr>
                                <a:rPr lang="en-US" sz="1100" i="1">
                                  <a:solidFill>
                                    <a:sysClr val="windowText" lastClr="000000"/>
                                  </a:solidFill>
                                  <a:effectLst/>
                                  <a:latin typeface="Cambria Math" panose="02040503050406030204" pitchFamily="18" charset="0"/>
                                  <a:ea typeface="+mn-ea"/>
                                  <a:cs typeface="+mn-cs"/>
                                </a:rPr>
                              </m:ctrlPr>
                            </m:fPr>
                            <m:num>
                              <m:sSub>
                                <m:sSubPr>
                                  <m:ctrlPr>
                                    <a:rPr lang="en-US" sz="1100" i="1">
                                      <a:solidFill>
                                        <a:sysClr val="windowText" lastClr="000000"/>
                                      </a:solidFill>
                                      <a:effectLst/>
                                      <a:latin typeface="Cambria Math" panose="02040503050406030204" pitchFamily="18" charset="0"/>
                                      <a:ea typeface="+mn-ea"/>
                                      <a:cs typeface="+mn-cs"/>
                                    </a:rPr>
                                  </m:ctrlPr>
                                </m:sSubPr>
                                <m:e>
                                  <m:r>
                                    <a:rPr lang="tr-TR" sz="1100" i="1">
                                      <a:solidFill>
                                        <a:sysClr val="windowText" lastClr="000000"/>
                                      </a:solidFill>
                                      <a:effectLst/>
                                      <a:latin typeface="Cambria Math" panose="02040503050406030204" pitchFamily="18" charset="0"/>
                                      <a:ea typeface="+mn-ea"/>
                                      <a:cs typeface="+mn-cs"/>
                                    </a:rPr>
                                    <m:t>𝐿</m:t>
                                  </m:r>
                                  <m:r>
                                    <a:rPr lang="tr-TR" sz="1100" b="0" i="1">
                                      <a:solidFill>
                                        <a:sysClr val="windowText" lastClr="000000"/>
                                      </a:solidFill>
                                      <a:effectLst/>
                                      <a:latin typeface="Cambria Math" panose="02040503050406030204" pitchFamily="18" charset="0"/>
                                      <a:ea typeface="+mn-ea"/>
                                      <a:cs typeface="+mn-cs"/>
                                    </a:rPr>
                                    <m:t>𝑎𝑏</m:t>
                                  </m:r>
                                </m:e>
                                <m:sub>
                                  <m:r>
                                    <a:rPr lang="en-US" sz="1100" i="1">
                                      <a:solidFill>
                                        <a:sysClr val="windowText" lastClr="000000"/>
                                      </a:solidFill>
                                      <a:effectLst/>
                                      <a:latin typeface="Cambria Math" panose="02040503050406030204" pitchFamily="18" charset="0"/>
                                      <a:ea typeface="+mn-ea"/>
                                      <a:cs typeface="+mn-cs"/>
                                    </a:rPr>
                                    <m:t>𝑑</m:t>
                                  </m:r>
                                  <m:r>
                                    <a:rPr lang="tr-TR" sz="1100" b="0" i="1">
                                      <a:solidFill>
                                        <a:sysClr val="windowText" lastClr="000000"/>
                                      </a:solidFill>
                                      <a:effectLst/>
                                      <a:latin typeface="Cambria Math" panose="02040503050406030204" pitchFamily="18" charset="0"/>
                                      <a:ea typeface="+mn-ea"/>
                                      <a:cs typeface="+mn-cs"/>
                                    </a:rPr>
                                    <m:t>ç(</m:t>
                                  </m:r>
                                  <m:r>
                                    <a:rPr lang="tr-TR" sz="1100" b="0" i="1">
                                      <a:solidFill>
                                        <a:sysClr val="windowText" lastClr="000000"/>
                                      </a:solidFill>
                                      <a:effectLst/>
                                      <a:latin typeface="Cambria Math" panose="02040503050406030204" pitchFamily="18" charset="0"/>
                                      <a:ea typeface="+mn-ea"/>
                                      <a:cs typeface="+mn-cs"/>
                                    </a:rPr>
                                    <m:t>𝑛</m:t>
                                  </m:r>
                                  <m:r>
                                    <a:rPr lang="tr-TR" sz="1100" b="0" i="1">
                                      <a:solidFill>
                                        <a:sysClr val="windowText" lastClr="000000"/>
                                      </a:solidFill>
                                      <a:effectLst/>
                                      <a:latin typeface="Cambria Math" panose="02040503050406030204" pitchFamily="18" charset="0"/>
                                      <a:ea typeface="+mn-ea"/>
                                      <a:cs typeface="+mn-cs"/>
                                    </a:rPr>
                                    <m:t>)</m:t>
                                  </m:r>
                                </m:sub>
                              </m:sSub>
                            </m:num>
                            <m:den>
                              <m:sSub>
                                <m:sSubPr>
                                  <m:ctrlPr>
                                    <a:rPr lang="en-US" sz="1100" i="1">
                                      <a:solidFill>
                                        <a:sysClr val="windowText" lastClr="000000"/>
                                      </a:solidFill>
                                      <a:effectLst/>
                                      <a:latin typeface="Cambria Math" panose="02040503050406030204" pitchFamily="18" charset="0"/>
                                      <a:ea typeface="+mn-ea"/>
                                      <a:cs typeface="+mn-cs"/>
                                    </a:rPr>
                                  </m:ctrlPr>
                                </m:sSubPr>
                                <m:e>
                                  <m:r>
                                    <a:rPr lang="en-US" sz="1100" i="1">
                                      <a:solidFill>
                                        <a:sysClr val="windowText" lastClr="000000"/>
                                      </a:solidFill>
                                      <a:effectLst/>
                                      <a:latin typeface="Cambria Math" panose="02040503050406030204" pitchFamily="18" charset="0"/>
                                      <a:ea typeface="+mn-ea"/>
                                      <a:cs typeface="+mn-cs"/>
                                    </a:rPr>
                                    <m:t>𝑇</m:t>
                                  </m:r>
                                  <m:r>
                                    <a:rPr lang="tr-TR" sz="1100" b="0" i="1">
                                      <a:solidFill>
                                        <a:sysClr val="windowText" lastClr="000000"/>
                                      </a:solidFill>
                                      <a:effectLst/>
                                      <a:latin typeface="Cambria Math" panose="02040503050406030204" pitchFamily="18" charset="0"/>
                                      <a:ea typeface="+mn-ea"/>
                                      <a:cs typeface="+mn-cs"/>
                                    </a:rPr>
                                    <m:t>𝑜𝑡𝑎𝑙</m:t>
                                  </m:r>
                                  <m:r>
                                    <a:rPr lang="tr-TR" sz="1100" b="0" i="1">
                                      <a:solidFill>
                                        <a:sysClr val="windowText" lastClr="000000"/>
                                      </a:solidFill>
                                      <a:effectLst/>
                                      <a:latin typeface="Cambria Math" panose="02040503050406030204" pitchFamily="18" charset="0"/>
                                      <a:ea typeface="+mn-ea"/>
                                      <a:cs typeface="+mn-cs"/>
                                    </a:rPr>
                                    <m:t> </m:t>
                                  </m:r>
                                  <m:r>
                                    <a:rPr lang="tr-TR" sz="1100" b="0" i="1">
                                      <a:solidFill>
                                        <a:sysClr val="windowText" lastClr="000000"/>
                                      </a:solidFill>
                                      <a:effectLst/>
                                      <a:latin typeface="Cambria Math" panose="02040503050406030204" pitchFamily="18" charset="0"/>
                                      <a:ea typeface="+mn-ea"/>
                                      <a:cs typeface="+mn-cs"/>
                                    </a:rPr>
                                    <m:t>𝑑</m:t>
                                  </m:r>
                                  <m:r>
                                    <a:rPr lang="tr-TR" sz="1100" b="0" i="1">
                                      <a:solidFill>
                                        <a:sysClr val="windowText" lastClr="000000"/>
                                      </a:solidFill>
                                      <a:effectLst/>
                                      <a:latin typeface="Cambria Math" panose="02040503050406030204" pitchFamily="18" charset="0"/>
                                      <a:ea typeface="+mn-ea"/>
                                      <a:cs typeface="+mn-cs"/>
                                    </a:rPr>
                                    <m:t>ç(</m:t>
                                  </m:r>
                                  <m:r>
                                    <a:rPr lang="tr-TR" sz="1100" b="0" i="1">
                                      <a:solidFill>
                                        <a:sysClr val="windowText" lastClr="000000"/>
                                      </a:solidFill>
                                      <a:effectLst/>
                                      <a:latin typeface="Cambria Math" panose="02040503050406030204" pitchFamily="18" charset="0"/>
                                      <a:ea typeface="+mn-ea"/>
                                      <a:cs typeface="+mn-cs"/>
                                    </a:rPr>
                                    <m:t>𝑛</m:t>
                                  </m:r>
                                  <m:r>
                                    <a:rPr lang="tr-TR" sz="1100" b="0" i="1">
                                      <a:solidFill>
                                        <a:sysClr val="windowText" lastClr="000000"/>
                                      </a:solidFill>
                                      <a:effectLst/>
                                      <a:latin typeface="Cambria Math" panose="02040503050406030204" pitchFamily="18" charset="0"/>
                                      <a:ea typeface="+mn-ea"/>
                                      <a:cs typeface="+mn-cs"/>
                                    </a:rPr>
                                    <m:t>)</m:t>
                                  </m:r>
                                </m:e>
                                <m:sub>
                                  <m:r>
                                    <a:rPr lang="tr-TR" sz="1100" b="0" i="1">
                                      <a:solidFill>
                                        <a:sysClr val="windowText" lastClr="000000"/>
                                      </a:solidFill>
                                      <a:effectLst/>
                                      <a:latin typeface="Cambria Math" panose="02040503050406030204" pitchFamily="18" charset="0"/>
                                      <a:ea typeface="+mn-ea"/>
                                      <a:cs typeface="+mn-cs"/>
                                    </a:rPr>
                                    <m:t>𝑙𝑎𝑏</m:t>
                                  </m:r>
                                </m:sub>
                              </m:sSub>
                            </m:den>
                          </m:f>
                          <m:r>
                            <a:rPr lang="en-US" sz="1100" i="0">
                              <a:solidFill>
                                <a:sysClr val="windowText" lastClr="000000"/>
                              </a:solidFill>
                              <a:effectLst/>
                              <a:latin typeface="Cambria Math" panose="02040503050406030204" pitchFamily="18" charset="0"/>
                              <a:ea typeface="+mn-ea"/>
                              <a:cs typeface="+mn-cs"/>
                            </a:rPr>
                            <m:t>+</m:t>
                          </m:r>
                          <m:f>
                            <m:fPr>
                              <m:ctrlPr>
                                <a:rPr lang="en-US" sz="1100" i="1">
                                  <a:solidFill>
                                    <a:sysClr val="windowText" lastClr="000000"/>
                                  </a:solidFill>
                                  <a:effectLst/>
                                  <a:latin typeface="Cambria Math" panose="02040503050406030204" pitchFamily="18" charset="0"/>
                                  <a:ea typeface="+mn-ea"/>
                                  <a:cs typeface="+mn-cs"/>
                                </a:rPr>
                              </m:ctrlPr>
                            </m:fPr>
                            <m:num>
                              <m:sSub>
                                <m:sSubPr>
                                  <m:ctrlPr>
                                    <a:rPr lang="en-US" sz="1100" i="1">
                                      <a:solidFill>
                                        <a:sysClr val="windowText" lastClr="000000"/>
                                      </a:solidFill>
                                      <a:effectLst/>
                                      <a:latin typeface="Cambria Math" panose="02040503050406030204" pitchFamily="18" charset="0"/>
                                      <a:ea typeface="+mn-ea"/>
                                      <a:cs typeface="+mn-cs"/>
                                    </a:rPr>
                                  </m:ctrlPr>
                                </m:sSubPr>
                                <m:e>
                                  <m:r>
                                    <a:rPr lang="tr-TR" sz="1100" i="1">
                                      <a:solidFill>
                                        <a:sysClr val="windowText" lastClr="000000"/>
                                      </a:solidFill>
                                      <a:effectLst/>
                                      <a:latin typeface="Cambria Math" panose="02040503050406030204" pitchFamily="18" charset="0"/>
                                      <a:ea typeface="+mn-ea"/>
                                      <a:cs typeface="+mn-cs"/>
                                    </a:rPr>
                                    <m:t>𝐻</m:t>
                                  </m:r>
                                  <m:r>
                                    <a:rPr lang="tr-TR" sz="1100" b="0" i="1">
                                      <a:solidFill>
                                        <a:sysClr val="windowText" lastClr="000000"/>
                                      </a:solidFill>
                                      <a:effectLst/>
                                      <a:latin typeface="Cambria Math" panose="02040503050406030204" pitchFamily="18" charset="0"/>
                                      <a:ea typeface="+mn-ea"/>
                                      <a:cs typeface="+mn-cs"/>
                                    </a:rPr>
                                    <m:t>𝑜𝑚𝑒𝑤𝑜𝑟𝑘</m:t>
                                  </m:r>
                                </m:e>
                                <m:sub>
                                  <m:r>
                                    <a:rPr lang="en-US" sz="1100" i="1">
                                      <a:solidFill>
                                        <a:sysClr val="windowText" lastClr="000000"/>
                                      </a:solidFill>
                                      <a:effectLst/>
                                      <a:latin typeface="Cambria Math" panose="02040503050406030204" pitchFamily="18" charset="0"/>
                                      <a:ea typeface="+mn-ea"/>
                                      <a:cs typeface="+mn-cs"/>
                                    </a:rPr>
                                    <m:t>𝑑</m:t>
                                  </m:r>
                                  <m:r>
                                    <a:rPr lang="tr-TR" sz="1100" b="0" i="1">
                                      <a:solidFill>
                                        <a:sysClr val="windowText" lastClr="000000"/>
                                      </a:solidFill>
                                      <a:effectLst/>
                                      <a:latin typeface="Cambria Math" panose="02040503050406030204" pitchFamily="18" charset="0"/>
                                      <a:ea typeface="+mn-ea"/>
                                      <a:cs typeface="+mn-cs"/>
                                    </a:rPr>
                                    <m:t>ç(</m:t>
                                  </m:r>
                                  <m:r>
                                    <a:rPr lang="tr-TR" sz="1100" b="0" i="1">
                                      <a:solidFill>
                                        <a:sysClr val="windowText" lastClr="000000"/>
                                      </a:solidFill>
                                      <a:effectLst/>
                                      <a:latin typeface="Cambria Math" panose="02040503050406030204" pitchFamily="18" charset="0"/>
                                      <a:ea typeface="+mn-ea"/>
                                      <a:cs typeface="+mn-cs"/>
                                    </a:rPr>
                                    <m:t>𝑛</m:t>
                                  </m:r>
                                  <m:r>
                                    <a:rPr lang="tr-TR" sz="1100" b="0" i="1">
                                      <a:solidFill>
                                        <a:sysClr val="windowText" lastClr="000000"/>
                                      </a:solidFill>
                                      <a:effectLst/>
                                      <a:latin typeface="Cambria Math" panose="02040503050406030204" pitchFamily="18" charset="0"/>
                                      <a:ea typeface="+mn-ea"/>
                                      <a:cs typeface="+mn-cs"/>
                                    </a:rPr>
                                    <m:t>)</m:t>
                                  </m:r>
                                </m:sub>
                              </m:sSub>
                            </m:num>
                            <m:den>
                              <m:sSub>
                                <m:sSubPr>
                                  <m:ctrlPr>
                                    <a:rPr lang="en-US" sz="1100" i="1">
                                      <a:solidFill>
                                        <a:sysClr val="windowText" lastClr="000000"/>
                                      </a:solidFill>
                                      <a:effectLst/>
                                      <a:latin typeface="Cambria Math" panose="02040503050406030204" pitchFamily="18" charset="0"/>
                                      <a:ea typeface="+mn-ea"/>
                                      <a:cs typeface="+mn-cs"/>
                                    </a:rPr>
                                  </m:ctrlPr>
                                </m:sSubPr>
                                <m:e>
                                  <m:r>
                                    <a:rPr lang="en-US" sz="1100" i="1">
                                      <a:solidFill>
                                        <a:sysClr val="windowText" lastClr="000000"/>
                                      </a:solidFill>
                                      <a:effectLst/>
                                      <a:latin typeface="Cambria Math" panose="02040503050406030204" pitchFamily="18" charset="0"/>
                                      <a:ea typeface="+mn-ea"/>
                                      <a:cs typeface="+mn-cs"/>
                                    </a:rPr>
                                    <m:t>𝑇</m:t>
                                  </m:r>
                                  <m:r>
                                    <a:rPr lang="tr-TR" sz="1100" b="0" i="1">
                                      <a:solidFill>
                                        <a:sysClr val="windowText" lastClr="000000"/>
                                      </a:solidFill>
                                      <a:effectLst/>
                                      <a:latin typeface="Cambria Math" panose="02040503050406030204" pitchFamily="18" charset="0"/>
                                      <a:ea typeface="+mn-ea"/>
                                      <a:cs typeface="+mn-cs"/>
                                    </a:rPr>
                                    <m:t>𝑜𝑡𝑎𝑙</m:t>
                                  </m:r>
                                  <m:r>
                                    <a:rPr lang="tr-TR" sz="1100" b="0" i="1">
                                      <a:solidFill>
                                        <a:sysClr val="windowText" lastClr="000000"/>
                                      </a:solidFill>
                                      <a:effectLst/>
                                      <a:latin typeface="Cambria Math" panose="02040503050406030204" pitchFamily="18" charset="0"/>
                                      <a:ea typeface="+mn-ea"/>
                                      <a:cs typeface="+mn-cs"/>
                                    </a:rPr>
                                    <m:t> </m:t>
                                  </m:r>
                                  <m:r>
                                    <a:rPr lang="tr-TR" sz="1100" b="0" i="1">
                                      <a:solidFill>
                                        <a:sysClr val="windowText" lastClr="000000"/>
                                      </a:solidFill>
                                      <a:effectLst/>
                                      <a:latin typeface="Cambria Math" panose="02040503050406030204" pitchFamily="18" charset="0"/>
                                      <a:ea typeface="+mn-ea"/>
                                      <a:cs typeface="+mn-cs"/>
                                    </a:rPr>
                                    <m:t>𝑑</m:t>
                                  </m:r>
                                  <m:r>
                                    <a:rPr lang="tr-TR" sz="1100" b="0" i="1">
                                      <a:solidFill>
                                        <a:sysClr val="windowText" lastClr="000000"/>
                                      </a:solidFill>
                                      <a:effectLst/>
                                      <a:latin typeface="Cambria Math" panose="02040503050406030204" pitchFamily="18" charset="0"/>
                                      <a:ea typeface="+mn-ea"/>
                                      <a:cs typeface="+mn-cs"/>
                                    </a:rPr>
                                    <m:t>ç(</m:t>
                                  </m:r>
                                  <m:r>
                                    <a:rPr lang="tr-TR" sz="1100" b="0" i="1">
                                      <a:solidFill>
                                        <a:sysClr val="windowText" lastClr="000000"/>
                                      </a:solidFill>
                                      <a:effectLst/>
                                      <a:latin typeface="Cambria Math" panose="02040503050406030204" pitchFamily="18" charset="0"/>
                                      <a:ea typeface="+mn-ea"/>
                                      <a:cs typeface="+mn-cs"/>
                                    </a:rPr>
                                    <m:t>𝑛</m:t>
                                  </m:r>
                                  <m:r>
                                    <a:rPr lang="tr-TR" sz="1100" b="0" i="1">
                                      <a:solidFill>
                                        <a:sysClr val="windowText" lastClr="000000"/>
                                      </a:solidFill>
                                      <a:effectLst/>
                                      <a:latin typeface="Cambria Math" panose="02040503050406030204" pitchFamily="18" charset="0"/>
                                      <a:ea typeface="+mn-ea"/>
                                      <a:cs typeface="+mn-cs"/>
                                    </a:rPr>
                                    <m:t>)</m:t>
                                  </m:r>
                                </m:e>
                                <m:sub>
                                  <m:r>
                                    <a:rPr lang="tr-TR" sz="1100" b="0" i="1">
                                      <a:solidFill>
                                        <a:sysClr val="windowText" lastClr="000000"/>
                                      </a:solidFill>
                                      <a:effectLst/>
                                      <a:latin typeface="Cambria Math" panose="02040503050406030204" pitchFamily="18" charset="0"/>
                                      <a:ea typeface="+mn-ea"/>
                                      <a:cs typeface="+mn-cs"/>
                                    </a:rPr>
                                    <m:t>h𝑜𝑚𝑒𝑤𝑜𝑟𝑘</m:t>
                                  </m:r>
                                </m:sub>
                              </m:sSub>
                            </m:den>
                          </m:f>
                        </m:e>
                      </m:d>
                    </m:num>
                    <m:den>
                      <m:r>
                        <a:rPr lang="en-US" sz="1100" i="0">
                          <a:solidFill>
                            <a:sysClr val="windowText" lastClr="000000"/>
                          </a:solidFill>
                          <a:latin typeface="Cambria Math" panose="02040503050406030204" pitchFamily="18" charset="0"/>
                        </a:rPr>
                        <m:t>4</m:t>
                      </m:r>
                    </m:den>
                  </m:f>
                </m:oMath>
              </a14:m>
              <a:endParaRPr lang="en-US" sz="1100">
                <a:solidFill>
                  <a:sysClr val="windowText" lastClr="000000"/>
                </a:solidFill>
              </a:endParaRPr>
            </a:p>
          </xdr:txBody>
        </xdr:sp>
      </mc:Choice>
      <mc:Fallback xmlns="">
        <xdr:sp macro="" textlink="">
          <xdr:nvSpPr>
            <xdr:cNvPr id="104" name="Metin kutusu 103">
              <a:extLst>
                <a:ext uri="{FF2B5EF4-FFF2-40B4-BE49-F238E27FC236}">
                  <a16:creationId xmlns:a16="http://schemas.microsoft.com/office/drawing/2014/main" id="{84DDA0AC-19E0-4E7E-9AD8-EED3DAECB898}"/>
                </a:ext>
              </a:extLst>
            </xdr:cNvPr>
            <xdr:cNvSpPr txBox="1"/>
          </xdr:nvSpPr>
          <xdr:spPr>
            <a:xfrm>
              <a:off x="11509395" y="25049396"/>
              <a:ext cx="5006790" cy="31111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r>
                <a:rPr lang="tr-TR" sz="1100">
                  <a:solidFill>
                    <a:sysClr val="windowText" lastClr="000000"/>
                  </a:solidFill>
                </a:rPr>
                <a:t>DÇ</a:t>
              </a:r>
              <a:r>
                <a:rPr lang="en-US" sz="1100" i="0">
                  <a:solidFill>
                    <a:sysClr val="windowText" lastClr="000000"/>
                  </a:solidFill>
                  <a:latin typeface="Cambria Math" panose="02040503050406030204" pitchFamily="18" charset="0"/>
                </a:rPr>
                <a:t>(𝑛)=(〖𝑚</a:t>
              </a:r>
              <a:r>
                <a:rPr lang="tr-TR" sz="1100" b="0" i="0">
                  <a:solidFill>
                    <a:sysClr val="windowText" lastClr="000000"/>
                  </a:solidFill>
                  <a:latin typeface="Cambria Math" panose="02040503050406030204" pitchFamily="18" charset="0"/>
                </a:rPr>
                <a:t>𝑖𝑑𝑡𝑒𝑟𝑚</a:t>
              </a:r>
              <a:r>
                <a:rPr lang="en-US" sz="1100" b="0" i="0">
                  <a:solidFill>
                    <a:sysClr val="windowText" lastClr="000000"/>
                  </a:solidFill>
                  <a:latin typeface="Cambria Math" panose="02040503050406030204" pitchFamily="18" charset="0"/>
                </a:rPr>
                <a:t>〗_(</a:t>
              </a:r>
              <a:r>
                <a:rPr lang="en-US" sz="1100" i="0">
                  <a:solidFill>
                    <a:sysClr val="windowText" lastClr="000000"/>
                  </a:solidFill>
                  <a:latin typeface="Cambria Math" panose="02040503050406030204" pitchFamily="18" charset="0"/>
                </a:rPr>
                <a:t>𝑑</a:t>
              </a:r>
              <a:r>
                <a:rPr lang="tr-TR" sz="1100" b="0" i="0">
                  <a:solidFill>
                    <a:sysClr val="windowText" lastClr="000000"/>
                  </a:solidFill>
                  <a:latin typeface="Cambria Math" panose="02040503050406030204" pitchFamily="18" charset="0"/>
                </a:rPr>
                <a:t>ç(𝑛)</a:t>
              </a:r>
              <a:r>
                <a:rPr lang="en-US" sz="1100" b="0" i="0">
                  <a:solidFill>
                    <a:sysClr val="windowText" lastClr="000000"/>
                  </a:solidFill>
                  <a:latin typeface="Cambria Math" panose="02040503050406030204" pitchFamily="18" charset="0"/>
                </a:rPr>
                <a:t>)/〖</a:t>
              </a:r>
              <a:r>
                <a:rPr lang="en-US" sz="1100" i="0">
                  <a:solidFill>
                    <a:sysClr val="windowText" lastClr="000000"/>
                  </a:solidFill>
                  <a:latin typeface="Cambria Math" panose="02040503050406030204" pitchFamily="18" charset="0"/>
                </a:rPr>
                <a:t>𝑇</a:t>
              </a:r>
              <a:r>
                <a:rPr lang="tr-TR" sz="1100" b="0" i="0">
                  <a:solidFill>
                    <a:sysClr val="windowText" lastClr="000000"/>
                  </a:solidFill>
                  <a:latin typeface="Cambria Math" panose="02040503050406030204" pitchFamily="18" charset="0"/>
                </a:rPr>
                <a:t>𝑜𝑡𝑎𝑙 𝑑ç(𝑛)</a:t>
              </a:r>
              <a:r>
                <a:rPr lang="en-US" sz="1100" b="0" i="0">
                  <a:solidFill>
                    <a:sysClr val="windowText" lastClr="000000"/>
                  </a:solidFill>
                  <a:latin typeface="Cambria Math" panose="02040503050406030204" pitchFamily="18" charset="0"/>
                </a:rPr>
                <a:t>〗_</a:t>
              </a:r>
              <a:r>
                <a:rPr lang="en-US" sz="1100" i="0">
                  <a:solidFill>
                    <a:sysClr val="windowText" lastClr="000000"/>
                  </a:solidFill>
                  <a:latin typeface="Cambria Math" panose="02040503050406030204" pitchFamily="18" charset="0"/>
                </a:rPr>
                <a:t>𝑚</a:t>
              </a:r>
              <a:r>
                <a:rPr lang="tr-TR" sz="1100" b="0" i="0">
                  <a:solidFill>
                    <a:sysClr val="windowText" lastClr="000000"/>
                  </a:solidFill>
                  <a:latin typeface="Cambria Math" panose="02040503050406030204" pitchFamily="18" charset="0"/>
                </a:rPr>
                <a:t>𝑖𝑑𝑡𝑒𝑟𝑚 </a:t>
              </a:r>
              <a:r>
                <a:rPr lang="en-US" sz="1100" i="0">
                  <a:solidFill>
                    <a:sysClr val="windowText" lastClr="000000"/>
                  </a:solidFill>
                  <a:latin typeface="Cambria Math" panose="02040503050406030204" pitchFamily="18" charset="0"/>
                </a:rPr>
                <a:t>+〖𝑓</a:t>
              </a:r>
              <a:r>
                <a:rPr lang="tr-TR" sz="1100" b="0" i="0">
                  <a:solidFill>
                    <a:sysClr val="windowText" lastClr="000000"/>
                  </a:solidFill>
                  <a:latin typeface="Cambria Math" panose="02040503050406030204" pitchFamily="18" charset="0"/>
                </a:rPr>
                <a:t>𝑖𝑛𝑎𝑙</a:t>
              </a:r>
              <a:r>
                <a:rPr lang="en-US" sz="1100" b="0" i="0">
                  <a:solidFill>
                    <a:sysClr val="windowText" lastClr="000000"/>
                  </a:solidFill>
                  <a:latin typeface="Cambria Math" panose="02040503050406030204" pitchFamily="18" charset="0"/>
                </a:rPr>
                <a:t>〗_(</a:t>
              </a:r>
              <a:r>
                <a:rPr lang="en-US" sz="1100" i="0">
                  <a:solidFill>
                    <a:sysClr val="windowText" lastClr="000000"/>
                  </a:solidFill>
                  <a:latin typeface="Cambria Math" panose="02040503050406030204" pitchFamily="18" charset="0"/>
                </a:rPr>
                <a:t>𝑑</a:t>
              </a:r>
              <a:r>
                <a:rPr lang="tr-TR" sz="1100" b="0" i="0">
                  <a:solidFill>
                    <a:sysClr val="windowText" lastClr="000000"/>
                  </a:solidFill>
                  <a:latin typeface="Cambria Math" panose="02040503050406030204" pitchFamily="18" charset="0"/>
                </a:rPr>
                <a:t>ç(𝑛)</a:t>
              </a:r>
              <a:r>
                <a:rPr lang="en-US" sz="1100" b="0" i="0">
                  <a:solidFill>
                    <a:sysClr val="windowText" lastClr="000000"/>
                  </a:solidFill>
                  <a:latin typeface="Cambria Math" panose="02040503050406030204" pitchFamily="18" charset="0"/>
                </a:rPr>
                <a:t>)/〖</a:t>
              </a:r>
              <a:r>
                <a:rPr lang="en-US" sz="1100" i="0">
                  <a:solidFill>
                    <a:sysClr val="windowText" lastClr="000000"/>
                  </a:solidFill>
                  <a:latin typeface="Cambria Math" panose="02040503050406030204" pitchFamily="18" charset="0"/>
                </a:rPr>
                <a:t>𝑇</a:t>
              </a:r>
              <a:r>
                <a:rPr lang="tr-TR" sz="1100" b="0" i="0">
                  <a:solidFill>
                    <a:sysClr val="windowText" lastClr="000000"/>
                  </a:solidFill>
                  <a:latin typeface="Cambria Math" panose="02040503050406030204" pitchFamily="18" charset="0"/>
                </a:rPr>
                <a:t>𝑜𝑡𝑎𝑙 𝑑ç(𝑛)</a:t>
              </a:r>
              <a:r>
                <a:rPr lang="en-US" sz="1100" b="0" i="0">
                  <a:solidFill>
                    <a:sysClr val="windowText" lastClr="000000"/>
                  </a:solidFill>
                  <a:latin typeface="Cambria Math" panose="02040503050406030204" pitchFamily="18" charset="0"/>
                </a:rPr>
                <a:t>〗_</a:t>
              </a:r>
              <a:r>
                <a:rPr lang="en-US" sz="1100" i="0">
                  <a:solidFill>
                    <a:sysClr val="windowText" lastClr="000000"/>
                  </a:solidFill>
                  <a:latin typeface="Cambria Math" panose="02040503050406030204" pitchFamily="18" charset="0"/>
                </a:rPr>
                <a:t>𝑓</a:t>
              </a:r>
              <a:r>
                <a:rPr lang="tr-TR" sz="1100" b="0" i="0">
                  <a:solidFill>
                    <a:sysClr val="windowText" lastClr="000000"/>
                  </a:solidFill>
                  <a:latin typeface="Cambria Math" panose="02040503050406030204" pitchFamily="18" charset="0"/>
                </a:rPr>
                <a:t>𝑖𝑛𝑎𝑙 </a:t>
              </a:r>
              <a:r>
                <a:rPr lang="en-US" sz="1100" i="0">
                  <a:solidFill>
                    <a:sysClr val="windowText" lastClr="000000"/>
                  </a:solidFill>
                  <a:effectLst/>
                  <a:latin typeface="Cambria Math" panose="02040503050406030204" pitchFamily="18" charset="0"/>
                  <a:ea typeface="+mn-ea"/>
                  <a:cs typeface="+mn-cs"/>
                </a:rPr>
                <a:t>+〖</a:t>
              </a:r>
              <a:r>
                <a:rPr lang="tr-TR" sz="1100" i="0">
                  <a:solidFill>
                    <a:sysClr val="windowText" lastClr="000000"/>
                  </a:solidFill>
                  <a:effectLst/>
                  <a:latin typeface="Cambria Math" panose="02040503050406030204" pitchFamily="18" charset="0"/>
                  <a:ea typeface="+mn-ea"/>
                  <a:cs typeface="+mn-cs"/>
                </a:rPr>
                <a:t>𝐿</a:t>
              </a:r>
              <a:r>
                <a:rPr lang="tr-TR" sz="1100" b="0" i="0">
                  <a:solidFill>
                    <a:sysClr val="windowText" lastClr="000000"/>
                  </a:solidFill>
                  <a:effectLst/>
                  <a:latin typeface="Cambria Math" panose="02040503050406030204" pitchFamily="18" charset="0"/>
                  <a:ea typeface="+mn-ea"/>
                  <a:cs typeface="+mn-cs"/>
                </a:rPr>
                <a:t>𝑎𝑏</a:t>
              </a:r>
              <a:r>
                <a:rPr lang="en-US" sz="1100" b="0" i="0">
                  <a:solidFill>
                    <a:sysClr val="windowText" lastClr="000000"/>
                  </a:solidFill>
                  <a:effectLst/>
                  <a:latin typeface="Cambria Math" panose="02040503050406030204" pitchFamily="18" charset="0"/>
                  <a:ea typeface="+mn-ea"/>
                  <a:cs typeface="+mn-cs"/>
                </a:rPr>
                <a:t>〗_(</a:t>
              </a:r>
              <a:r>
                <a:rPr lang="en-US" sz="1100" i="0">
                  <a:solidFill>
                    <a:sysClr val="windowText" lastClr="000000"/>
                  </a:solidFill>
                  <a:effectLst/>
                  <a:latin typeface="Cambria Math" panose="02040503050406030204" pitchFamily="18" charset="0"/>
                  <a:ea typeface="+mn-ea"/>
                  <a:cs typeface="+mn-cs"/>
                </a:rPr>
                <a:t>𝑑</a:t>
              </a:r>
              <a:r>
                <a:rPr lang="tr-TR" sz="1100" b="0" i="0">
                  <a:solidFill>
                    <a:sysClr val="windowText" lastClr="000000"/>
                  </a:solidFill>
                  <a:effectLst/>
                  <a:latin typeface="Cambria Math" panose="02040503050406030204" pitchFamily="18" charset="0"/>
                  <a:ea typeface="+mn-ea"/>
                  <a:cs typeface="+mn-cs"/>
                </a:rPr>
                <a:t>ç(𝑛)</a:t>
              </a:r>
              <a:r>
                <a:rPr lang="en-US" sz="1100" b="0" i="0">
                  <a:solidFill>
                    <a:sysClr val="windowText" lastClr="000000"/>
                  </a:solidFill>
                  <a:effectLst/>
                  <a:latin typeface="Cambria Math" panose="02040503050406030204" pitchFamily="18" charset="0"/>
                  <a:ea typeface="+mn-ea"/>
                  <a:cs typeface="+mn-cs"/>
                </a:rPr>
                <a:t>)/〖</a:t>
              </a:r>
              <a:r>
                <a:rPr lang="en-US" sz="1100" i="0">
                  <a:solidFill>
                    <a:sysClr val="windowText" lastClr="000000"/>
                  </a:solidFill>
                  <a:effectLst/>
                  <a:latin typeface="Cambria Math" panose="02040503050406030204" pitchFamily="18" charset="0"/>
                  <a:ea typeface="+mn-ea"/>
                  <a:cs typeface="+mn-cs"/>
                </a:rPr>
                <a:t>𝑇</a:t>
              </a:r>
              <a:r>
                <a:rPr lang="tr-TR" sz="1100" b="0" i="0">
                  <a:solidFill>
                    <a:sysClr val="windowText" lastClr="000000"/>
                  </a:solidFill>
                  <a:effectLst/>
                  <a:latin typeface="Cambria Math" panose="02040503050406030204" pitchFamily="18" charset="0"/>
                  <a:ea typeface="+mn-ea"/>
                  <a:cs typeface="+mn-cs"/>
                </a:rPr>
                <a:t>𝑜𝑡𝑎𝑙 𝑑ç(𝑛)</a:t>
              </a:r>
              <a:r>
                <a:rPr lang="en-US" sz="1100" b="0" i="0">
                  <a:solidFill>
                    <a:sysClr val="windowText" lastClr="000000"/>
                  </a:solidFill>
                  <a:effectLst/>
                  <a:latin typeface="Cambria Math" panose="02040503050406030204" pitchFamily="18" charset="0"/>
                  <a:ea typeface="+mn-ea"/>
                  <a:cs typeface="+mn-cs"/>
                </a:rPr>
                <a:t>〗_</a:t>
              </a:r>
              <a:r>
                <a:rPr lang="tr-TR" sz="1100" b="0" i="0">
                  <a:solidFill>
                    <a:sysClr val="windowText" lastClr="000000"/>
                  </a:solidFill>
                  <a:effectLst/>
                  <a:latin typeface="Cambria Math" panose="02040503050406030204" pitchFamily="18" charset="0"/>
                  <a:ea typeface="+mn-ea"/>
                  <a:cs typeface="+mn-cs"/>
                </a:rPr>
                <a:t>𝑙𝑎𝑏 </a:t>
              </a:r>
              <a:r>
                <a:rPr lang="en-US" sz="1100" i="0">
                  <a:solidFill>
                    <a:sysClr val="windowText" lastClr="000000"/>
                  </a:solidFill>
                  <a:effectLst/>
                  <a:latin typeface="Cambria Math" panose="02040503050406030204" pitchFamily="18" charset="0"/>
                  <a:ea typeface="+mn-ea"/>
                  <a:cs typeface="+mn-cs"/>
                </a:rPr>
                <a:t>+〖</a:t>
              </a:r>
              <a:r>
                <a:rPr lang="tr-TR" sz="1100" i="0">
                  <a:solidFill>
                    <a:sysClr val="windowText" lastClr="000000"/>
                  </a:solidFill>
                  <a:effectLst/>
                  <a:latin typeface="Cambria Math" panose="02040503050406030204" pitchFamily="18" charset="0"/>
                  <a:ea typeface="+mn-ea"/>
                  <a:cs typeface="+mn-cs"/>
                </a:rPr>
                <a:t>𝐻</a:t>
              </a:r>
              <a:r>
                <a:rPr lang="tr-TR" sz="1100" b="0" i="0">
                  <a:solidFill>
                    <a:sysClr val="windowText" lastClr="000000"/>
                  </a:solidFill>
                  <a:effectLst/>
                  <a:latin typeface="Cambria Math" panose="02040503050406030204" pitchFamily="18" charset="0"/>
                  <a:ea typeface="+mn-ea"/>
                  <a:cs typeface="+mn-cs"/>
                </a:rPr>
                <a:t>𝑜𝑚𝑒𝑤𝑜𝑟𝑘</a:t>
              </a:r>
              <a:r>
                <a:rPr lang="en-US" sz="1100" b="0" i="0">
                  <a:solidFill>
                    <a:sysClr val="windowText" lastClr="000000"/>
                  </a:solidFill>
                  <a:effectLst/>
                  <a:latin typeface="Cambria Math" panose="02040503050406030204" pitchFamily="18" charset="0"/>
                  <a:ea typeface="+mn-ea"/>
                  <a:cs typeface="+mn-cs"/>
                </a:rPr>
                <a:t>〗_(</a:t>
              </a:r>
              <a:r>
                <a:rPr lang="en-US" sz="1100" i="0">
                  <a:solidFill>
                    <a:sysClr val="windowText" lastClr="000000"/>
                  </a:solidFill>
                  <a:effectLst/>
                  <a:latin typeface="Cambria Math" panose="02040503050406030204" pitchFamily="18" charset="0"/>
                  <a:ea typeface="+mn-ea"/>
                  <a:cs typeface="+mn-cs"/>
                </a:rPr>
                <a:t>𝑑</a:t>
              </a:r>
              <a:r>
                <a:rPr lang="tr-TR" sz="1100" b="0" i="0">
                  <a:solidFill>
                    <a:sysClr val="windowText" lastClr="000000"/>
                  </a:solidFill>
                  <a:effectLst/>
                  <a:latin typeface="Cambria Math" panose="02040503050406030204" pitchFamily="18" charset="0"/>
                  <a:ea typeface="+mn-ea"/>
                  <a:cs typeface="+mn-cs"/>
                </a:rPr>
                <a:t>ç(𝑛)</a:t>
              </a:r>
              <a:r>
                <a:rPr lang="en-US" sz="1100" b="0" i="0">
                  <a:solidFill>
                    <a:sysClr val="windowText" lastClr="000000"/>
                  </a:solidFill>
                  <a:effectLst/>
                  <a:latin typeface="Cambria Math" panose="02040503050406030204" pitchFamily="18" charset="0"/>
                  <a:ea typeface="+mn-ea"/>
                  <a:cs typeface="+mn-cs"/>
                </a:rPr>
                <a:t>)/〖</a:t>
              </a:r>
              <a:r>
                <a:rPr lang="en-US" sz="1100" i="0">
                  <a:solidFill>
                    <a:sysClr val="windowText" lastClr="000000"/>
                  </a:solidFill>
                  <a:effectLst/>
                  <a:latin typeface="Cambria Math" panose="02040503050406030204" pitchFamily="18" charset="0"/>
                  <a:ea typeface="+mn-ea"/>
                  <a:cs typeface="+mn-cs"/>
                </a:rPr>
                <a:t>𝑇</a:t>
              </a:r>
              <a:r>
                <a:rPr lang="tr-TR" sz="1100" b="0" i="0">
                  <a:solidFill>
                    <a:sysClr val="windowText" lastClr="000000"/>
                  </a:solidFill>
                  <a:effectLst/>
                  <a:latin typeface="Cambria Math" panose="02040503050406030204" pitchFamily="18" charset="0"/>
                  <a:ea typeface="+mn-ea"/>
                  <a:cs typeface="+mn-cs"/>
                </a:rPr>
                <a:t>𝑜𝑡𝑎𝑙 𝑑ç(𝑛)</a:t>
              </a:r>
              <a:r>
                <a:rPr lang="en-US" sz="1100" b="0" i="0">
                  <a:solidFill>
                    <a:sysClr val="windowText" lastClr="000000"/>
                  </a:solidFill>
                  <a:effectLst/>
                  <a:latin typeface="Cambria Math" panose="02040503050406030204" pitchFamily="18" charset="0"/>
                  <a:ea typeface="+mn-ea"/>
                  <a:cs typeface="+mn-cs"/>
                </a:rPr>
                <a:t>〗_</a:t>
              </a:r>
              <a:r>
                <a:rPr lang="tr-TR" sz="1100" b="0" i="0">
                  <a:solidFill>
                    <a:sysClr val="windowText" lastClr="000000"/>
                  </a:solidFill>
                  <a:effectLst/>
                  <a:latin typeface="Cambria Math" panose="02040503050406030204" pitchFamily="18" charset="0"/>
                  <a:ea typeface="+mn-ea"/>
                  <a:cs typeface="+mn-cs"/>
                </a:rPr>
                <a:t>ℎ𝑜𝑚𝑒𝑤𝑜𝑟𝑘 )</a:t>
              </a:r>
              <a:r>
                <a:rPr lang="en-US" sz="1100" b="0" i="0">
                  <a:solidFill>
                    <a:sysClr val="windowText" lastClr="000000"/>
                  </a:solidFill>
                  <a:effectLst/>
                  <a:latin typeface="Cambria Math" panose="02040503050406030204" pitchFamily="18" charset="0"/>
                  <a:ea typeface="+mn-ea"/>
                  <a:cs typeface="+mn-cs"/>
                </a:rPr>
                <a:t>∕</a:t>
              </a:r>
              <a:r>
                <a:rPr lang="en-US" sz="1100" i="0">
                  <a:solidFill>
                    <a:sysClr val="windowText" lastClr="000000"/>
                  </a:solidFill>
                  <a:latin typeface="Cambria Math" panose="02040503050406030204" pitchFamily="18" charset="0"/>
                </a:rPr>
                <a:t>4</a:t>
              </a:r>
              <a:endParaRPr lang="en-US" sz="1100">
                <a:solidFill>
                  <a:sysClr val="windowText" lastClr="000000"/>
                </a:solidFill>
              </a:endParaRPr>
            </a:p>
          </xdr:txBody>
        </xdr:sp>
      </mc:Fallback>
    </mc:AlternateContent>
    <xdr:clientData/>
  </xdr:oneCellAnchor>
  <xdr:twoCellAnchor>
    <xdr:from>
      <xdr:col>8</xdr:col>
      <xdr:colOff>1205947</xdr:colOff>
      <xdr:row>134</xdr:row>
      <xdr:rowOff>178904</xdr:rowOff>
    </xdr:from>
    <xdr:to>
      <xdr:col>9</xdr:col>
      <xdr:colOff>178904</xdr:colOff>
      <xdr:row>136</xdr:row>
      <xdr:rowOff>165706</xdr:rowOff>
    </xdr:to>
    <xdr:sp macro="" textlink="">
      <xdr:nvSpPr>
        <xdr:cNvPr id="105" name="Serbest Form: Şekil 104">
          <a:extLst>
            <a:ext uri="{FF2B5EF4-FFF2-40B4-BE49-F238E27FC236}">
              <a16:creationId xmlns:a16="http://schemas.microsoft.com/office/drawing/2014/main" id="{00000000-0008-0000-0000-000069000000}"/>
            </a:ext>
          </a:extLst>
        </xdr:cNvPr>
        <xdr:cNvSpPr/>
      </xdr:nvSpPr>
      <xdr:spPr>
        <a:xfrm>
          <a:off x="10388047" y="25553504"/>
          <a:ext cx="199777" cy="352562"/>
        </a:xfrm>
        <a:custGeom>
          <a:avLst/>
          <a:gdLst>
            <a:gd name="connsiteX0" fmla="*/ 0 w 198783"/>
            <a:gd name="connsiteY0" fmla="*/ 0 h 364489"/>
            <a:gd name="connsiteX1" fmla="*/ 66261 w 198783"/>
            <a:gd name="connsiteY1" fmla="*/ 6626 h 364489"/>
            <a:gd name="connsiteX2" fmla="*/ 119270 w 198783"/>
            <a:gd name="connsiteY2" fmla="*/ 53009 h 364489"/>
            <a:gd name="connsiteX3" fmla="*/ 125896 w 198783"/>
            <a:gd name="connsiteY3" fmla="*/ 72887 h 364489"/>
            <a:gd name="connsiteX4" fmla="*/ 132522 w 198783"/>
            <a:gd name="connsiteY4" fmla="*/ 99392 h 364489"/>
            <a:gd name="connsiteX5" fmla="*/ 152400 w 198783"/>
            <a:gd name="connsiteY5" fmla="*/ 112644 h 364489"/>
            <a:gd name="connsiteX6" fmla="*/ 198783 w 198783"/>
            <a:gd name="connsiteY6" fmla="*/ 139148 h 364489"/>
            <a:gd name="connsiteX7" fmla="*/ 178905 w 198783"/>
            <a:gd name="connsiteY7" fmla="*/ 165652 h 364489"/>
            <a:gd name="connsiteX8" fmla="*/ 172279 w 198783"/>
            <a:gd name="connsiteY8" fmla="*/ 205409 h 364489"/>
            <a:gd name="connsiteX9" fmla="*/ 165653 w 198783"/>
            <a:gd name="connsiteY9" fmla="*/ 231913 h 364489"/>
            <a:gd name="connsiteX10" fmla="*/ 159027 w 198783"/>
            <a:gd name="connsiteY10" fmla="*/ 265044 h 364489"/>
            <a:gd name="connsiteX11" fmla="*/ 165653 w 198783"/>
            <a:gd name="connsiteY11" fmla="*/ 324678 h 364489"/>
            <a:gd name="connsiteX12" fmla="*/ 159027 w 198783"/>
            <a:gd name="connsiteY12" fmla="*/ 357809 h 364489"/>
            <a:gd name="connsiteX13" fmla="*/ 39757 w 198783"/>
            <a:gd name="connsiteY13" fmla="*/ 364435 h 364489"/>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Lst>
          <a:rect l="l" t="t" r="r" b="b"/>
          <a:pathLst>
            <a:path w="198783" h="364489">
              <a:moveTo>
                <a:pt x="0" y="0"/>
              </a:moveTo>
              <a:cubicBezTo>
                <a:pt x="22087" y="2209"/>
                <a:pt x="44918" y="528"/>
                <a:pt x="66261" y="6626"/>
              </a:cubicBezTo>
              <a:cubicBezTo>
                <a:pt x="79036" y="10276"/>
                <a:pt x="111798" y="45537"/>
                <a:pt x="119270" y="53009"/>
              </a:cubicBezTo>
              <a:cubicBezTo>
                <a:pt x="121479" y="59635"/>
                <a:pt x="123977" y="66171"/>
                <a:pt x="125896" y="72887"/>
              </a:cubicBezTo>
              <a:cubicBezTo>
                <a:pt x="128398" y="81644"/>
                <a:pt x="127470" y="91815"/>
                <a:pt x="132522" y="99392"/>
              </a:cubicBezTo>
              <a:cubicBezTo>
                <a:pt x="136939" y="106018"/>
                <a:pt x="145571" y="108547"/>
                <a:pt x="152400" y="112644"/>
              </a:cubicBezTo>
              <a:cubicBezTo>
                <a:pt x="167670" y="121806"/>
                <a:pt x="183322" y="130313"/>
                <a:pt x="198783" y="139148"/>
              </a:cubicBezTo>
              <a:cubicBezTo>
                <a:pt x="192157" y="147983"/>
                <a:pt x="183006" y="155399"/>
                <a:pt x="178905" y="165652"/>
              </a:cubicBezTo>
              <a:cubicBezTo>
                <a:pt x="173915" y="178126"/>
                <a:pt x="174914" y="192235"/>
                <a:pt x="172279" y="205409"/>
              </a:cubicBezTo>
              <a:cubicBezTo>
                <a:pt x="170493" y="214339"/>
                <a:pt x="167628" y="223023"/>
                <a:pt x="165653" y="231913"/>
              </a:cubicBezTo>
              <a:cubicBezTo>
                <a:pt x="163210" y="242907"/>
                <a:pt x="161236" y="254000"/>
                <a:pt x="159027" y="265044"/>
              </a:cubicBezTo>
              <a:cubicBezTo>
                <a:pt x="161236" y="284922"/>
                <a:pt x="165653" y="304678"/>
                <a:pt x="165653" y="324678"/>
              </a:cubicBezTo>
              <a:cubicBezTo>
                <a:pt x="165653" y="335940"/>
                <a:pt x="169253" y="353089"/>
                <a:pt x="159027" y="357809"/>
              </a:cubicBezTo>
              <a:cubicBezTo>
                <a:pt x="142286" y="365535"/>
                <a:pt x="68252" y="364435"/>
                <a:pt x="39757" y="364435"/>
              </a:cubicBezTo>
            </a:path>
          </a:pathLst>
        </a:cu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178904</xdr:colOff>
      <xdr:row>133</xdr:row>
      <xdr:rowOff>178904</xdr:rowOff>
    </xdr:from>
    <xdr:to>
      <xdr:col>10</xdr:col>
      <xdr:colOff>13252</xdr:colOff>
      <xdr:row>135</xdr:row>
      <xdr:rowOff>132522</xdr:rowOff>
    </xdr:to>
    <xdr:cxnSp macro="">
      <xdr:nvCxnSpPr>
        <xdr:cNvPr id="106" name="Düz Ok Bağlayıcısı 105">
          <a:extLst>
            <a:ext uri="{FF2B5EF4-FFF2-40B4-BE49-F238E27FC236}">
              <a16:creationId xmlns:a16="http://schemas.microsoft.com/office/drawing/2014/main" id="{00000000-0008-0000-0000-00006A000000}"/>
            </a:ext>
          </a:extLst>
        </xdr:cNvPr>
        <xdr:cNvCxnSpPr>
          <a:stCxn id="105" idx="6"/>
        </xdr:cNvCxnSpPr>
      </xdr:nvCxnSpPr>
      <xdr:spPr>
        <a:xfrm flipV="1">
          <a:off x="10587824" y="25225844"/>
          <a:ext cx="581108" cy="46415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10</xdr:col>
      <xdr:colOff>39756</xdr:colOff>
      <xdr:row>135</xdr:row>
      <xdr:rowOff>19878</xdr:rowOff>
    </xdr:from>
    <xdr:ext cx="4018664" cy="184731"/>
    <mc:AlternateContent xmlns:mc="http://schemas.openxmlformats.org/markup-compatibility/2006" xmlns:a14="http://schemas.microsoft.com/office/drawing/2010/main">
      <mc:Choice Requires="a14">
        <xdr:sp macro="" textlink="">
          <xdr:nvSpPr>
            <xdr:cNvPr id="107" name="Metin kutusu 106">
              <a:extLst>
                <a:ext uri="{FF2B5EF4-FFF2-40B4-BE49-F238E27FC236}">
                  <a16:creationId xmlns:a16="http://schemas.microsoft.com/office/drawing/2014/main" id="{00000000-0008-0000-0000-00006B000000}"/>
                </a:ext>
              </a:extLst>
            </xdr:cNvPr>
            <xdr:cNvSpPr txBox="1"/>
          </xdr:nvSpPr>
          <xdr:spPr>
            <a:xfrm>
              <a:off x="11195436" y="25577358"/>
              <a:ext cx="4018664" cy="18473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100" i="1">
                            <a:solidFill>
                              <a:srgbClr val="836967"/>
                            </a:solidFill>
                            <a:latin typeface="Cambria Math" panose="02040503050406030204" pitchFamily="18" charset="0"/>
                          </a:rPr>
                        </m:ctrlPr>
                      </m:sSubPr>
                      <m:e>
                        <m:r>
                          <a:rPr lang="tr-TR" sz="1100" b="0" i="1">
                            <a:latin typeface="Cambria Math" panose="02040503050406030204" pitchFamily="18" charset="0"/>
                          </a:rPr>
                          <m:t>𝑋</m:t>
                        </m:r>
                      </m:e>
                      <m:sub>
                        <m:r>
                          <a:rPr lang="en-US" sz="1100" i="1">
                            <a:latin typeface="Cambria Math" panose="02040503050406030204" pitchFamily="18" charset="0"/>
                          </a:rPr>
                          <m:t>ⅆ</m:t>
                        </m:r>
                        <m:r>
                          <a:rPr lang="tr-TR" sz="1100" b="0" i="1">
                            <a:latin typeface="Cambria Math" panose="02040503050406030204" pitchFamily="18" charset="0"/>
                          </a:rPr>
                          <m:t>ç</m:t>
                        </m:r>
                        <m:d>
                          <m:dPr>
                            <m:ctrlPr>
                              <a:rPr lang="en-US" sz="1100" i="1">
                                <a:solidFill>
                                  <a:srgbClr val="836967"/>
                                </a:solidFill>
                                <a:latin typeface="Cambria Math" panose="02040503050406030204" pitchFamily="18" charset="0"/>
                              </a:rPr>
                            </m:ctrlPr>
                          </m:dPr>
                          <m:e>
                            <m:r>
                              <a:rPr lang="en-US" sz="1100" i="1">
                                <a:latin typeface="Cambria Math" panose="02040503050406030204" pitchFamily="18" charset="0"/>
                              </a:rPr>
                              <m:t>𝑛</m:t>
                            </m:r>
                          </m:e>
                        </m:d>
                      </m:sub>
                    </m:sSub>
                    <m:r>
                      <a:rPr lang="tr-TR" sz="1100" b="0" i="1">
                        <a:latin typeface="Cambria Math" panose="02040503050406030204" pitchFamily="18" charset="0"/>
                      </a:rPr>
                      <m:t>=</m:t>
                    </m:r>
                    <m:r>
                      <a:rPr lang="tr-TR" sz="1100" b="0" i="1">
                        <a:latin typeface="Cambria Math" panose="02040503050406030204" pitchFamily="18" charset="0"/>
                      </a:rPr>
                      <m:t>𝐼𝑛</m:t>
                    </m:r>
                    <m:r>
                      <a:rPr lang="tr-TR" sz="1100" b="0" i="1">
                        <a:latin typeface="Cambria Math" panose="02040503050406030204" pitchFamily="18" charset="0"/>
                      </a:rPr>
                      <m:t> </m:t>
                    </m:r>
                    <m:r>
                      <a:rPr lang="tr-TR" sz="1100" b="0" i="1">
                        <a:latin typeface="Cambria Math" panose="02040503050406030204" pitchFamily="18" charset="0"/>
                      </a:rPr>
                      <m:t>𝑋</m:t>
                    </m:r>
                    <m:r>
                      <a:rPr lang="tr-TR" sz="1100" b="0" i="1">
                        <a:latin typeface="Cambria Math" panose="02040503050406030204" pitchFamily="18" charset="0"/>
                      </a:rPr>
                      <m:t>(</m:t>
                    </m:r>
                    <m:r>
                      <a:rPr lang="tr-TR" sz="1100" b="0" i="1">
                        <a:latin typeface="Cambria Math" panose="02040503050406030204" pitchFamily="18" charset="0"/>
                      </a:rPr>
                      <m:t>𝐸𝑋</m:t>
                    </m:r>
                    <m:r>
                      <a:rPr lang="tr-TR" sz="1100" b="0" i="1">
                        <a:latin typeface="Cambria Math" panose="02040503050406030204" pitchFamily="18" charset="0"/>
                      </a:rPr>
                      <m:t>:</m:t>
                    </m:r>
                    <m:r>
                      <a:rPr lang="tr-TR" sz="1100" b="0" i="1">
                        <a:latin typeface="Cambria Math" panose="02040503050406030204" pitchFamily="18" charset="0"/>
                      </a:rPr>
                      <m:t>𝑚𝑖𝑑𝑡𝑒𝑟𝑚</m:t>
                    </m:r>
                    <m:r>
                      <a:rPr lang="tr-TR" sz="1100" b="0" i="1">
                        <a:latin typeface="Cambria Math" panose="02040503050406030204" pitchFamily="18" charset="0"/>
                      </a:rPr>
                      <m:t> </m:t>
                    </m:r>
                    <m:r>
                      <a:rPr lang="tr-TR" sz="1100" b="0" i="1">
                        <a:latin typeface="Cambria Math" panose="02040503050406030204" pitchFamily="18" charset="0"/>
                      </a:rPr>
                      <m:t>𝑒𝑥𝑎𝑚</m:t>
                    </m:r>
                    <m:r>
                      <a:rPr lang="tr-TR" sz="1100" b="0" i="1">
                        <a:latin typeface="Cambria Math" panose="02040503050406030204" pitchFamily="18" charset="0"/>
                      </a:rPr>
                      <m:t>) </m:t>
                    </m:r>
                    <m:r>
                      <a:rPr lang="tr-TR" sz="1100" b="0" i="1">
                        <a:latin typeface="Cambria Math" panose="02040503050406030204" pitchFamily="18" charset="0"/>
                      </a:rPr>
                      <m:t>𝑠𝑡𝑢𝑑𝑒𝑛</m:t>
                    </m:r>
                    <m:sSup>
                      <m:sSupPr>
                        <m:ctrlPr>
                          <a:rPr lang="tr-TR" sz="1100" b="0" i="1">
                            <a:latin typeface="Cambria Math" panose="02040503050406030204" pitchFamily="18" charset="0"/>
                          </a:rPr>
                        </m:ctrlPr>
                      </m:sSupPr>
                      <m:e>
                        <m:r>
                          <a:rPr lang="tr-TR" sz="1100" b="0" i="1">
                            <a:latin typeface="Cambria Math" panose="02040503050406030204" pitchFamily="18" charset="0"/>
                          </a:rPr>
                          <m:t>𝑡</m:t>
                        </m:r>
                      </m:e>
                      <m:sup>
                        <m:r>
                          <a:rPr lang="tr-TR" sz="1100" b="0" i="1">
                            <a:latin typeface="Cambria Math" panose="02040503050406030204" pitchFamily="18" charset="0"/>
                          </a:rPr>
                          <m:t>′</m:t>
                        </m:r>
                      </m:sup>
                    </m:sSup>
                    <m:r>
                      <a:rPr lang="tr-TR" sz="1100" b="0" i="1">
                        <a:latin typeface="Cambria Math" panose="02040503050406030204" pitchFamily="18" charset="0"/>
                      </a:rPr>
                      <m:t>𝑠</m:t>
                    </m:r>
                    <m:r>
                      <a:rPr lang="tr-TR" sz="1100" b="0" i="1">
                        <a:latin typeface="Cambria Math" panose="02040503050406030204" pitchFamily="18" charset="0"/>
                      </a:rPr>
                      <m:t> </m:t>
                    </m:r>
                    <m:r>
                      <a:rPr lang="tr-TR" sz="1100" b="0" i="1">
                        <a:latin typeface="Cambria Math" panose="02040503050406030204" pitchFamily="18" charset="0"/>
                      </a:rPr>
                      <m:t>𝑑</m:t>
                    </m:r>
                    <m:r>
                      <a:rPr lang="tr-TR" sz="1100" b="0" i="1">
                        <a:latin typeface="Cambria Math" panose="02040503050406030204" pitchFamily="18" charset="0"/>
                      </a:rPr>
                      <m:t>ç(</m:t>
                    </m:r>
                    <m:r>
                      <a:rPr lang="tr-TR" sz="1100" b="0" i="1">
                        <a:latin typeface="Cambria Math" panose="02040503050406030204" pitchFamily="18" charset="0"/>
                      </a:rPr>
                      <m:t>𝑛</m:t>
                    </m:r>
                    <m:r>
                      <a:rPr lang="tr-TR" sz="1100" b="0" i="1">
                        <a:latin typeface="Cambria Math" panose="02040503050406030204" pitchFamily="18" charset="0"/>
                      </a:rPr>
                      <m:t>) </m:t>
                    </m:r>
                    <m:r>
                      <a:rPr lang="tr-TR" sz="1100" b="0" i="1">
                        <a:latin typeface="Cambria Math" panose="02040503050406030204" pitchFamily="18" charset="0"/>
                      </a:rPr>
                      <m:t>𝑐𝑜𝑛𝑡𝑟𝑖𝑏𝑢𝑡𝑖𝑜𝑛</m:t>
                    </m:r>
                    <m:r>
                      <a:rPr lang="tr-TR" sz="1100" b="0" i="1">
                        <a:latin typeface="Cambria Math" panose="02040503050406030204" pitchFamily="18" charset="0"/>
                      </a:rPr>
                      <m:t>.</m:t>
                    </m:r>
                  </m:oMath>
                </m:oMathPara>
              </a14:m>
              <a:endParaRPr lang="en-US" sz="1100"/>
            </a:p>
          </xdr:txBody>
        </xdr:sp>
      </mc:Choice>
      <mc:Fallback xmlns="">
        <xdr:sp macro="" textlink="">
          <xdr:nvSpPr>
            <xdr:cNvPr id="107" name="Metin kutusu 106">
              <a:extLst>
                <a:ext uri="{FF2B5EF4-FFF2-40B4-BE49-F238E27FC236}">
                  <a16:creationId xmlns:a16="http://schemas.microsoft.com/office/drawing/2014/main" id="{06FB965B-091C-4FDE-B638-D6FF1FFA4F32}"/>
                </a:ext>
              </a:extLst>
            </xdr:cNvPr>
            <xdr:cNvSpPr txBox="1"/>
          </xdr:nvSpPr>
          <xdr:spPr>
            <a:xfrm>
              <a:off x="11195436" y="25577358"/>
              <a:ext cx="4018664" cy="18473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tr-TR" sz="1100" b="0" i="0">
                  <a:latin typeface="Cambria Math" panose="02040503050406030204" pitchFamily="18" charset="0"/>
                </a:rPr>
                <a:t>𝑋</a:t>
              </a:r>
              <a:r>
                <a:rPr lang="en-US" sz="1100" b="0" i="0">
                  <a:solidFill>
                    <a:srgbClr val="836967"/>
                  </a:solidFill>
                  <a:latin typeface="Cambria Math" panose="02040503050406030204" pitchFamily="18" charset="0"/>
                </a:rPr>
                <a:t>_</a:t>
              </a:r>
              <a:r>
                <a:rPr lang="en-US" sz="1100" i="0">
                  <a:latin typeface="Cambria Math" panose="02040503050406030204" pitchFamily="18" charset="0"/>
                </a:rPr>
                <a:t>ⅆ</a:t>
              </a:r>
              <a:r>
                <a:rPr lang="tr-TR" sz="1100" b="0" i="0">
                  <a:latin typeface="Cambria Math" panose="02040503050406030204" pitchFamily="18" charset="0"/>
                </a:rPr>
                <a:t>ç</a:t>
              </a:r>
              <a:r>
                <a:rPr lang="en-US" sz="1100" b="0" i="0">
                  <a:solidFill>
                    <a:srgbClr val="836967"/>
                  </a:solidFill>
                  <a:latin typeface="Cambria Math" panose="02040503050406030204" pitchFamily="18" charset="0"/>
                </a:rPr>
                <a:t>(</a:t>
              </a:r>
              <a:r>
                <a:rPr lang="en-US" sz="1100" i="0">
                  <a:latin typeface="Cambria Math" panose="02040503050406030204" pitchFamily="18" charset="0"/>
                </a:rPr>
                <a:t>𝑛) </a:t>
              </a:r>
              <a:r>
                <a:rPr lang="tr-TR" sz="1100" b="0" i="0">
                  <a:latin typeface="Cambria Math" panose="02040503050406030204" pitchFamily="18" charset="0"/>
                </a:rPr>
                <a:t>=𝐼𝑛 𝑋(𝐸𝑋:𝑚𝑖𝑑𝑡𝑒𝑟𝑚 𝑒𝑥𝑎𝑚) 𝑠𝑡𝑢𝑑𝑒𝑛𝑡^′ 𝑠 𝑑ç(𝑛) 𝑐𝑜𝑛𝑡𝑟𝑖𝑏𝑢𝑡𝑖𝑜𝑛.</a:t>
              </a:r>
              <a:endParaRPr lang="en-US" sz="1100"/>
            </a:p>
          </xdr:txBody>
        </xdr:sp>
      </mc:Fallback>
    </mc:AlternateContent>
    <xdr:clientData/>
  </xdr:oneCellAnchor>
  <xdr:oneCellAnchor>
    <xdr:from>
      <xdr:col>10</xdr:col>
      <xdr:colOff>39755</xdr:colOff>
      <xdr:row>136</xdr:row>
      <xdr:rowOff>13252</xdr:rowOff>
    </xdr:from>
    <xdr:ext cx="3305136" cy="172227"/>
    <mc:AlternateContent xmlns:mc="http://schemas.openxmlformats.org/markup-compatibility/2006" xmlns:a14="http://schemas.microsoft.com/office/drawing/2010/main">
      <mc:Choice Requires="a14">
        <xdr:sp macro="" textlink="">
          <xdr:nvSpPr>
            <xdr:cNvPr id="108" name="Metin kutusu 107">
              <a:extLst>
                <a:ext uri="{FF2B5EF4-FFF2-40B4-BE49-F238E27FC236}">
                  <a16:creationId xmlns:a16="http://schemas.microsoft.com/office/drawing/2014/main" id="{00000000-0008-0000-0000-00006C000000}"/>
                </a:ext>
              </a:extLst>
            </xdr:cNvPr>
            <xdr:cNvSpPr txBox="1"/>
          </xdr:nvSpPr>
          <xdr:spPr>
            <a:xfrm>
              <a:off x="11195435" y="25753612"/>
              <a:ext cx="3305136"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100" i="1">
                            <a:solidFill>
                              <a:sysClr val="windowText" lastClr="000000"/>
                            </a:solidFill>
                            <a:latin typeface="Cambria Math" panose="02040503050406030204" pitchFamily="18" charset="0"/>
                          </a:rPr>
                        </m:ctrlPr>
                      </m:sSubPr>
                      <m:e>
                        <m:r>
                          <a:rPr lang="tr-TR" sz="1100" b="0" i="1">
                            <a:solidFill>
                              <a:sysClr val="windowText" lastClr="000000"/>
                            </a:solidFill>
                            <a:latin typeface="Cambria Math" panose="02040503050406030204" pitchFamily="18" charset="0"/>
                          </a:rPr>
                          <m:t>𝑇𝑜𝑡𝑎𝑙</m:t>
                        </m:r>
                        <m:r>
                          <a:rPr lang="tr-TR" sz="1100" b="0" i="1">
                            <a:solidFill>
                              <a:sysClr val="windowText" lastClr="000000"/>
                            </a:solidFill>
                            <a:latin typeface="Cambria Math" panose="02040503050406030204" pitchFamily="18" charset="0"/>
                          </a:rPr>
                          <m:t> </m:t>
                        </m:r>
                        <m:r>
                          <a:rPr lang="tr-TR" sz="1100" b="0" i="1">
                            <a:solidFill>
                              <a:sysClr val="windowText" lastClr="000000"/>
                            </a:solidFill>
                            <a:latin typeface="Cambria Math" panose="02040503050406030204" pitchFamily="18" charset="0"/>
                          </a:rPr>
                          <m:t>𝑑</m:t>
                        </m:r>
                        <m:r>
                          <a:rPr lang="tr-TR" sz="1100" b="0" i="1">
                            <a:solidFill>
                              <a:sysClr val="windowText" lastClr="000000"/>
                            </a:solidFill>
                            <a:latin typeface="Cambria Math" panose="02040503050406030204" pitchFamily="18" charset="0"/>
                          </a:rPr>
                          <m:t>ç(</m:t>
                        </m:r>
                        <m:r>
                          <a:rPr lang="tr-TR" sz="1100" b="0" i="1">
                            <a:solidFill>
                              <a:sysClr val="windowText" lastClr="000000"/>
                            </a:solidFill>
                            <a:latin typeface="Cambria Math" panose="02040503050406030204" pitchFamily="18" charset="0"/>
                          </a:rPr>
                          <m:t>𝑛</m:t>
                        </m:r>
                        <m:r>
                          <a:rPr lang="tr-TR" sz="1100" b="0" i="1">
                            <a:solidFill>
                              <a:sysClr val="windowText" lastClr="000000"/>
                            </a:solidFill>
                            <a:latin typeface="Cambria Math" panose="02040503050406030204" pitchFamily="18" charset="0"/>
                          </a:rPr>
                          <m:t>)</m:t>
                        </m:r>
                      </m:e>
                      <m:sub>
                        <m:r>
                          <a:rPr lang="tr-TR" sz="1100" b="0" i="1">
                            <a:solidFill>
                              <a:sysClr val="windowText" lastClr="000000"/>
                            </a:solidFill>
                            <a:latin typeface="Cambria Math" panose="02040503050406030204" pitchFamily="18" charset="0"/>
                          </a:rPr>
                          <m:t>𝑋</m:t>
                        </m:r>
                      </m:sub>
                    </m:sSub>
                    <m:r>
                      <a:rPr lang="en-US" sz="1100" i="0">
                        <a:latin typeface="Cambria Math" panose="02040503050406030204" pitchFamily="18" charset="0"/>
                      </a:rPr>
                      <m:t>=</m:t>
                    </m:r>
                    <m:r>
                      <m:rPr>
                        <m:sty m:val="p"/>
                      </m:rPr>
                      <a:rPr lang="tr-TR" sz="1100" b="0" i="0">
                        <a:latin typeface="Cambria Math" panose="02040503050406030204" pitchFamily="18" charset="0"/>
                      </a:rPr>
                      <m:t>Total</m:t>
                    </m:r>
                    <m:r>
                      <a:rPr lang="tr-TR" sz="1100" b="0" i="0">
                        <a:latin typeface="Cambria Math" panose="02040503050406030204" pitchFamily="18" charset="0"/>
                      </a:rPr>
                      <m:t> </m:t>
                    </m:r>
                    <m:r>
                      <m:rPr>
                        <m:sty m:val="p"/>
                      </m:rPr>
                      <a:rPr lang="tr-TR" sz="1100" b="0" i="0">
                        <a:latin typeface="Cambria Math" panose="02040503050406030204" pitchFamily="18" charset="0"/>
                      </a:rPr>
                      <m:t>max</m:t>
                    </m:r>
                    <m:r>
                      <a:rPr lang="tr-TR" sz="1100" b="0" i="0">
                        <a:latin typeface="Cambria Math" panose="02040503050406030204" pitchFamily="18" charset="0"/>
                      </a:rPr>
                      <m:t> </m:t>
                    </m:r>
                    <m:r>
                      <m:rPr>
                        <m:sty m:val="p"/>
                      </m:rPr>
                      <a:rPr lang="tr-TR" sz="1100" b="0" i="0">
                        <a:latin typeface="Cambria Math" panose="02040503050406030204" pitchFamily="18" charset="0"/>
                      </a:rPr>
                      <m:t>d</m:t>
                    </m:r>
                    <m:r>
                      <a:rPr lang="tr-TR" sz="1100" b="0" i="0">
                        <a:latin typeface="Cambria Math" panose="02040503050406030204" pitchFamily="18" charset="0"/>
                      </a:rPr>
                      <m:t>ç</m:t>
                    </m:r>
                    <m:d>
                      <m:dPr>
                        <m:ctrlPr>
                          <a:rPr lang="tr-TR" sz="1100" b="0" i="1">
                            <a:latin typeface="Cambria Math" panose="02040503050406030204" pitchFamily="18" charset="0"/>
                          </a:rPr>
                        </m:ctrlPr>
                      </m:dPr>
                      <m:e>
                        <m:r>
                          <m:rPr>
                            <m:sty m:val="p"/>
                          </m:rPr>
                          <a:rPr lang="tr-TR" sz="1100" b="0" i="0">
                            <a:latin typeface="Cambria Math" panose="02040503050406030204" pitchFamily="18" charset="0"/>
                          </a:rPr>
                          <m:t>n</m:t>
                        </m:r>
                      </m:e>
                    </m:d>
                    <m:r>
                      <a:rPr lang="tr-TR" sz="1100" b="0" i="0">
                        <a:latin typeface="Cambria Math" panose="02040503050406030204" pitchFamily="18" charset="0"/>
                      </a:rPr>
                      <m:t> </m:t>
                    </m:r>
                    <m:r>
                      <m:rPr>
                        <m:sty m:val="p"/>
                      </m:rPr>
                      <a:rPr lang="tr-TR" sz="1100" b="0" i="0">
                        <a:latin typeface="Cambria Math" panose="02040503050406030204" pitchFamily="18" charset="0"/>
                      </a:rPr>
                      <m:t>assigned</m:t>
                    </m:r>
                    <m:r>
                      <a:rPr lang="tr-TR" sz="1100" b="0" i="0">
                        <a:latin typeface="Cambria Math" panose="02040503050406030204" pitchFamily="18" charset="0"/>
                      </a:rPr>
                      <m:t> </m:t>
                    </m:r>
                    <m:r>
                      <m:rPr>
                        <m:sty m:val="p"/>
                      </m:rPr>
                      <a:rPr lang="tr-TR" sz="1100" b="0" i="0">
                        <a:latin typeface="Cambria Math" panose="02040503050406030204" pitchFamily="18" charset="0"/>
                      </a:rPr>
                      <m:t>to</m:t>
                    </m:r>
                    <m:r>
                      <a:rPr lang="tr-TR" sz="1100" b="0" i="0">
                        <a:latin typeface="Cambria Math" panose="02040503050406030204" pitchFamily="18" charset="0"/>
                      </a:rPr>
                      <m:t> </m:t>
                    </m:r>
                    <m:r>
                      <m:rPr>
                        <m:sty m:val="p"/>
                      </m:rPr>
                      <a:rPr lang="tr-TR" sz="1100" b="0" i="0">
                        <a:latin typeface="Cambria Math" panose="02040503050406030204" pitchFamily="18" charset="0"/>
                      </a:rPr>
                      <m:t>subject</m:t>
                    </m:r>
                    <m:r>
                      <a:rPr lang="tr-TR" sz="1100" b="0" i="0">
                        <a:latin typeface="Cambria Math" panose="02040503050406030204" pitchFamily="18" charset="0"/>
                      </a:rPr>
                      <m:t> </m:t>
                    </m:r>
                    <m:r>
                      <m:rPr>
                        <m:sty m:val="p"/>
                      </m:rPr>
                      <a:rPr lang="tr-TR" sz="1100" b="0" i="0">
                        <a:latin typeface="Cambria Math" panose="02040503050406030204" pitchFamily="18" charset="0"/>
                      </a:rPr>
                      <m:t>X</m:t>
                    </m:r>
                  </m:oMath>
                </m:oMathPara>
              </a14:m>
              <a:endParaRPr lang="en-US" sz="1100"/>
            </a:p>
          </xdr:txBody>
        </xdr:sp>
      </mc:Choice>
      <mc:Fallback xmlns="">
        <xdr:sp macro="" textlink="">
          <xdr:nvSpPr>
            <xdr:cNvPr id="108" name="Metin kutusu 107">
              <a:extLst>
                <a:ext uri="{FF2B5EF4-FFF2-40B4-BE49-F238E27FC236}">
                  <a16:creationId xmlns:a16="http://schemas.microsoft.com/office/drawing/2014/main" id="{AE2D2C0C-5264-41C1-838C-40DFCE0B48BB}"/>
                </a:ext>
              </a:extLst>
            </xdr:cNvPr>
            <xdr:cNvSpPr txBox="1"/>
          </xdr:nvSpPr>
          <xdr:spPr>
            <a:xfrm>
              <a:off x="11195435" y="25753612"/>
              <a:ext cx="3305136"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100" i="0">
                  <a:solidFill>
                    <a:sysClr val="windowText" lastClr="000000"/>
                  </a:solidFill>
                  <a:latin typeface="Cambria Math" panose="02040503050406030204" pitchFamily="18" charset="0"/>
                </a:rPr>
                <a:t>〖</a:t>
              </a:r>
              <a:r>
                <a:rPr lang="tr-TR" sz="1100" b="0" i="0">
                  <a:solidFill>
                    <a:sysClr val="windowText" lastClr="000000"/>
                  </a:solidFill>
                  <a:latin typeface="Cambria Math" panose="02040503050406030204" pitchFamily="18" charset="0"/>
                </a:rPr>
                <a:t>𝑇𝑜𝑡𝑎𝑙 𝑑ç(𝑛)</a:t>
              </a:r>
              <a:r>
                <a:rPr lang="en-US" sz="1100" b="0" i="0">
                  <a:solidFill>
                    <a:sysClr val="windowText" lastClr="000000"/>
                  </a:solidFill>
                  <a:latin typeface="Cambria Math" panose="02040503050406030204" pitchFamily="18" charset="0"/>
                </a:rPr>
                <a:t>〗_</a:t>
              </a:r>
              <a:r>
                <a:rPr lang="tr-TR" sz="1100" b="0" i="0">
                  <a:solidFill>
                    <a:sysClr val="windowText" lastClr="000000"/>
                  </a:solidFill>
                  <a:latin typeface="Cambria Math" panose="02040503050406030204" pitchFamily="18" charset="0"/>
                </a:rPr>
                <a:t>𝑋</a:t>
              </a:r>
              <a:r>
                <a:rPr lang="en-US" sz="1100" i="0">
                  <a:latin typeface="Cambria Math" panose="02040503050406030204" pitchFamily="18" charset="0"/>
                </a:rPr>
                <a:t>=</a:t>
              </a:r>
              <a:r>
                <a:rPr lang="tr-TR" sz="1100" b="0" i="0">
                  <a:latin typeface="Cambria Math" panose="02040503050406030204" pitchFamily="18" charset="0"/>
                </a:rPr>
                <a:t>Total max dç(n)  assigned to subject X</a:t>
              </a:r>
              <a:endParaRPr lang="en-US" sz="1100"/>
            </a:p>
          </xdr:txBody>
        </xdr:sp>
      </mc:Fallback>
    </mc:AlternateContent>
    <xdr:clientData/>
  </xdr:oneCellAnchor>
  <xdr:oneCellAnchor>
    <xdr:from>
      <xdr:col>10</xdr:col>
      <xdr:colOff>178903</xdr:colOff>
      <xdr:row>125</xdr:row>
      <xdr:rowOff>172278</xdr:rowOff>
    </xdr:from>
    <xdr:ext cx="2415213" cy="183320"/>
    <mc:AlternateContent xmlns:mc="http://schemas.openxmlformats.org/markup-compatibility/2006" xmlns:a14="http://schemas.microsoft.com/office/drawing/2010/main">
      <mc:Choice Requires="a14">
        <xdr:sp macro="" textlink="">
          <xdr:nvSpPr>
            <xdr:cNvPr id="109" name="Metin kutusu 108">
              <a:extLst>
                <a:ext uri="{FF2B5EF4-FFF2-40B4-BE49-F238E27FC236}">
                  <a16:creationId xmlns:a16="http://schemas.microsoft.com/office/drawing/2014/main" id="{00000000-0008-0000-0000-00006D000000}"/>
                </a:ext>
              </a:extLst>
            </xdr:cNvPr>
            <xdr:cNvSpPr txBox="1"/>
          </xdr:nvSpPr>
          <xdr:spPr>
            <a:xfrm>
              <a:off x="11334583" y="23756178"/>
              <a:ext cx="2415213" cy="18332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100" i="1">
                            <a:solidFill>
                              <a:sysClr val="windowText" lastClr="000000"/>
                            </a:solidFill>
                            <a:latin typeface="Cambria Math" panose="02040503050406030204" pitchFamily="18" charset="0"/>
                          </a:rPr>
                        </m:ctrlPr>
                      </m:sSubPr>
                      <m:e>
                        <m:r>
                          <a:rPr lang="tr-TR" sz="1100" b="0" i="1">
                            <a:solidFill>
                              <a:sysClr val="windowText" lastClr="000000"/>
                            </a:solidFill>
                            <a:latin typeface="Cambria Math" panose="02040503050406030204" pitchFamily="18" charset="0"/>
                          </a:rPr>
                          <m:t>𝑋</m:t>
                        </m:r>
                      </m:e>
                      <m:sub>
                        <m:r>
                          <a:rPr lang="en-US" sz="1100" i="1">
                            <a:solidFill>
                              <a:sysClr val="windowText" lastClr="000000"/>
                            </a:solidFill>
                            <a:latin typeface="Cambria Math" panose="02040503050406030204" pitchFamily="18" charset="0"/>
                          </a:rPr>
                          <m:t>𝑔</m:t>
                        </m:r>
                        <m:r>
                          <a:rPr lang="tr-TR" sz="1100" b="0" i="1">
                            <a:solidFill>
                              <a:sysClr val="windowText" lastClr="000000"/>
                            </a:solidFill>
                            <a:latin typeface="Cambria Math" panose="02040503050406030204" pitchFamily="18" charset="0"/>
                          </a:rPr>
                          <m:t>𝑟𝑎𝑑𝑒</m:t>
                        </m:r>
                      </m:sub>
                    </m:sSub>
                    <m:r>
                      <a:rPr lang="en-US" sz="1100" i="0">
                        <a:latin typeface="Cambria Math" panose="02040503050406030204" pitchFamily="18" charset="0"/>
                      </a:rPr>
                      <m:t>=</m:t>
                    </m:r>
                    <m:r>
                      <m:rPr>
                        <m:sty m:val="p"/>
                      </m:rPr>
                      <a:rPr lang="tr-TR" sz="1100" b="0" i="0">
                        <a:latin typeface="Cambria Math" panose="02040503050406030204" pitchFamily="18" charset="0"/>
                      </a:rPr>
                      <m:t>Students</m:t>
                    </m:r>
                    <m:r>
                      <a:rPr lang="tr-TR" sz="1100" b="0" i="0">
                        <a:latin typeface="Cambria Math" panose="02040503050406030204" pitchFamily="18" charset="0"/>
                      </a:rPr>
                      <m:t> </m:t>
                    </m:r>
                    <m:r>
                      <m:rPr>
                        <m:sty m:val="p"/>
                      </m:rPr>
                      <a:rPr lang="tr-TR" sz="1100" b="0" i="0">
                        <a:latin typeface="Cambria Math" panose="02040503050406030204" pitchFamily="18" charset="0"/>
                      </a:rPr>
                      <m:t>grade</m:t>
                    </m:r>
                    <m:r>
                      <a:rPr lang="tr-TR" sz="1100" b="0" i="0">
                        <a:latin typeface="Cambria Math" panose="02040503050406030204" pitchFamily="18" charset="0"/>
                      </a:rPr>
                      <m:t> </m:t>
                    </m:r>
                    <m:r>
                      <m:rPr>
                        <m:sty m:val="p"/>
                      </m:rPr>
                      <a:rPr lang="tr-TR" sz="1100" b="0" i="0">
                        <a:latin typeface="Cambria Math" panose="02040503050406030204" pitchFamily="18" charset="0"/>
                      </a:rPr>
                      <m:t>from</m:t>
                    </m:r>
                    <m:r>
                      <a:rPr lang="tr-TR" sz="1100" b="0" i="0">
                        <a:latin typeface="Cambria Math" panose="02040503050406030204" pitchFamily="18" charset="0"/>
                      </a:rPr>
                      <m:t> </m:t>
                    </m:r>
                    <m:r>
                      <m:rPr>
                        <m:sty m:val="p"/>
                      </m:rPr>
                      <a:rPr lang="tr-TR" sz="1100" b="0" i="0">
                        <a:latin typeface="Cambria Math" panose="02040503050406030204" pitchFamily="18" charset="0"/>
                      </a:rPr>
                      <m:t>subject</m:t>
                    </m:r>
                    <m:r>
                      <a:rPr lang="tr-TR" sz="1100" b="0" i="0">
                        <a:latin typeface="Cambria Math" panose="02040503050406030204" pitchFamily="18" charset="0"/>
                      </a:rPr>
                      <m:t> </m:t>
                    </m:r>
                    <m:r>
                      <m:rPr>
                        <m:sty m:val="p"/>
                      </m:rPr>
                      <a:rPr lang="tr-TR" sz="1100" b="0" i="0">
                        <a:latin typeface="Cambria Math" panose="02040503050406030204" pitchFamily="18" charset="0"/>
                      </a:rPr>
                      <m:t>X</m:t>
                    </m:r>
                  </m:oMath>
                </m:oMathPara>
              </a14:m>
              <a:endParaRPr lang="en-US" sz="1100"/>
            </a:p>
          </xdr:txBody>
        </xdr:sp>
      </mc:Choice>
      <mc:Fallback xmlns="">
        <xdr:sp macro="" textlink="">
          <xdr:nvSpPr>
            <xdr:cNvPr id="109" name="Metin kutusu 108">
              <a:extLst>
                <a:ext uri="{FF2B5EF4-FFF2-40B4-BE49-F238E27FC236}">
                  <a16:creationId xmlns:a16="http://schemas.microsoft.com/office/drawing/2014/main" id="{E133A125-CDC0-4622-9443-340D28E09BFE}"/>
                </a:ext>
              </a:extLst>
            </xdr:cNvPr>
            <xdr:cNvSpPr txBox="1"/>
          </xdr:nvSpPr>
          <xdr:spPr>
            <a:xfrm>
              <a:off x="11334583" y="23756178"/>
              <a:ext cx="2415213" cy="18332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tr-TR" sz="1100" b="0" i="0">
                  <a:solidFill>
                    <a:sysClr val="windowText" lastClr="000000"/>
                  </a:solidFill>
                  <a:latin typeface="Cambria Math" panose="02040503050406030204" pitchFamily="18" charset="0"/>
                </a:rPr>
                <a:t>𝑋</a:t>
              </a:r>
              <a:r>
                <a:rPr lang="en-US" sz="1100" b="0" i="0">
                  <a:solidFill>
                    <a:sysClr val="windowText" lastClr="000000"/>
                  </a:solidFill>
                  <a:latin typeface="Cambria Math" panose="02040503050406030204" pitchFamily="18" charset="0"/>
                </a:rPr>
                <a:t>_</a:t>
              </a:r>
              <a:r>
                <a:rPr lang="en-US" sz="1100" i="0">
                  <a:solidFill>
                    <a:sysClr val="windowText" lastClr="000000"/>
                  </a:solidFill>
                  <a:latin typeface="Cambria Math" panose="02040503050406030204" pitchFamily="18" charset="0"/>
                </a:rPr>
                <a:t>𝑔</a:t>
              </a:r>
              <a:r>
                <a:rPr lang="tr-TR" sz="1100" b="0" i="0">
                  <a:solidFill>
                    <a:sysClr val="windowText" lastClr="000000"/>
                  </a:solidFill>
                  <a:latin typeface="Cambria Math" panose="02040503050406030204" pitchFamily="18" charset="0"/>
                </a:rPr>
                <a:t>𝑟𝑎𝑑𝑒</a:t>
              </a:r>
              <a:r>
                <a:rPr lang="en-US" sz="1100" i="0">
                  <a:latin typeface="Cambria Math" panose="02040503050406030204" pitchFamily="18" charset="0"/>
                </a:rPr>
                <a:t>=</a:t>
              </a:r>
              <a:r>
                <a:rPr lang="tr-TR" sz="1100" b="0" i="0">
                  <a:latin typeface="Cambria Math" panose="02040503050406030204" pitchFamily="18" charset="0"/>
                </a:rPr>
                <a:t>Students grade from subject X</a:t>
              </a:r>
              <a:endParaRPr lang="en-US" sz="1100"/>
            </a:p>
          </xdr:txBody>
        </xdr:sp>
      </mc:Fallback>
    </mc:AlternateContent>
    <xdr:clientData/>
  </xdr:oneCellAnchor>
  <xdr:oneCellAnchor>
    <xdr:from>
      <xdr:col>10</xdr:col>
      <xdr:colOff>106016</xdr:colOff>
      <xdr:row>127</xdr:row>
      <xdr:rowOff>6626</xdr:rowOff>
    </xdr:from>
    <xdr:ext cx="3634265" cy="172227"/>
    <mc:AlternateContent xmlns:mc="http://schemas.openxmlformats.org/markup-compatibility/2006" xmlns:a14="http://schemas.microsoft.com/office/drawing/2010/main">
      <mc:Choice Requires="a14">
        <xdr:sp macro="" textlink="">
          <xdr:nvSpPr>
            <xdr:cNvPr id="110" name="Metin kutusu 109">
              <a:extLst>
                <a:ext uri="{FF2B5EF4-FFF2-40B4-BE49-F238E27FC236}">
                  <a16:creationId xmlns:a16="http://schemas.microsoft.com/office/drawing/2014/main" id="{00000000-0008-0000-0000-00006E000000}"/>
                </a:ext>
              </a:extLst>
            </xdr:cNvPr>
            <xdr:cNvSpPr txBox="1"/>
          </xdr:nvSpPr>
          <xdr:spPr>
            <a:xfrm>
              <a:off x="11261696" y="23956286"/>
              <a:ext cx="36342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100" i="1">
                            <a:solidFill>
                              <a:srgbClr val="836967"/>
                            </a:solidFill>
                            <a:latin typeface="Cambria Math" panose="02040503050406030204" pitchFamily="18" charset="0"/>
                          </a:rPr>
                        </m:ctrlPr>
                      </m:sSubPr>
                      <m:e>
                        <m:r>
                          <a:rPr lang="tr-TR" sz="1100" b="0" i="1">
                            <a:solidFill>
                              <a:srgbClr val="836967"/>
                            </a:solidFill>
                            <a:latin typeface="Cambria Math" panose="02040503050406030204" pitchFamily="18" charset="0"/>
                          </a:rPr>
                          <m:t>(</m:t>
                        </m:r>
                        <m:r>
                          <a:rPr lang="tr-TR" sz="1100" b="0" i="1">
                            <a:latin typeface="Cambria Math" panose="02040503050406030204" pitchFamily="18" charset="0"/>
                          </a:rPr>
                          <m:t>𝑋</m:t>
                        </m:r>
                      </m:e>
                      <m:sub>
                        <m:r>
                          <a:rPr lang="tr-TR" sz="1100" b="0" i="1">
                            <a:latin typeface="Cambria Math" panose="02040503050406030204" pitchFamily="18" charset="0"/>
                          </a:rPr>
                          <m:t>𝐵𝑎𝑠𝑒</m:t>
                        </m:r>
                      </m:sub>
                    </m:sSub>
                    <m:r>
                      <a:rPr lang="tr-TR" sz="1100" b="0" i="1">
                        <a:latin typeface="Cambria Math" panose="02040503050406030204" pitchFamily="18" charset="0"/>
                      </a:rPr>
                      <m:t> )%</m:t>
                    </m:r>
                    <m:r>
                      <a:rPr lang="en-US" sz="1100" i="0">
                        <a:latin typeface="Cambria Math" panose="02040503050406030204" pitchFamily="18" charset="0"/>
                      </a:rPr>
                      <m:t>=</m:t>
                    </m:r>
                    <m:r>
                      <m:rPr>
                        <m:sty m:val="p"/>
                      </m:rPr>
                      <a:rPr lang="tr-TR" sz="1100" b="0" i="0">
                        <a:latin typeface="Cambria Math" panose="02040503050406030204" pitchFamily="18" charset="0"/>
                      </a:rPr>
                      <m:t>Subject</m:t>
                    </m:r>
                    <m:r>
                      <a:rPr lang="tr-TR" sz="1100" b="0" i="0">
                        <a:latin typeface="Cambria Math" panose="02040503050406030204" pitchFamily="18" charset="0"/>
                      </a:rPr>
                      <m:t> </m:t>
                    </m:r>
                    <m:sSup>
                      <m:sSupPr>
                        <m:ctrlPr>
                          <a:rPr lang="tr-TR" sz="1100" b="0" i="1">
                            <a:latin typeface="Cambria Math" panose="02040503050406030204" pitchFamily="18" charset="0"/>
                          </a:rPr>
                        </m:ctrlPr>
                      </m:sSupPr>
                      <m:e>
                        <m:r>
                          <m:rPr>
                            <m:sty m:val="p"/>
                          </m:rPr>
                          <a:rPr lang="tr-TR" sz="1100" b="0" i="0">
                            <a:latin typeface="Cambria Math" panose="02040503050406030204" pitchFamily="18" charset="0"/>
                          </a:rPr>
                          <m:t>X</m:t>
                        </m:r>
                      </m:e>
                      <m:sup>
                        <m:r>
                          <a:rPr lang="tr-TR" sz="1100" b="0" i="0">
                            <a:latin typeface="Cambria Math" panose="02040503050406030204" pitchFamily="18" charset="0"/>
                          </a:rPr>
                          <m:t>′</m:t>
                        </m:r>
                      </m:sup>
                    </m:sSup>
                    <m:r>
                      <m:rPr>
                        <m:sty m:val="p"/>
                      </m:rPr>
                      <a:rPr lang="tr-TR" sz="1100" b="0" i="0">
                        <a:latin typeface="Cambria Math" panose="02040503050406030204" pitchFamily="18" charset="0"/>
                      </a:rPr>
                      <m:t>s</m:t>
                    </m:r>
                    <m:r>
                      <a:rPr lang="tr-TR" sz="1100" b="0" i="0">
                        <a:latin typeface="Cambria Math" panose="02040503050406030204" pitchFamily="18" charset="0"/>
                      </a:rPr>
                      <m:t> </m:t>
                    </m:r>
                    <m:r>
                      <m:rPr>
                        <m:sty m:val="p"/>
                      </m:rPr>
                      <a:rPr lang="tr-TR" sz="1100" b="0" i="0">
                        <a:latin typeface="Cambria Math" panose="02040503050406030204" pitchFamily="18" charset="0"/>
                      </a:rPr>
                      <m:t>grade</m:t>
                    </m:r>
                    <m:r>
                      <a:rPr lang="tr-TR" sz="1100" b="0" i="0">
                        <a:latin typeface="Cambria Math" panose="02040503050406030204" pitchFamily="18" charset="0"/>
                      </a:rPr>
                      <m:t> </m:t>
                    </m:r>
                    <m:r>
                      <m:rPr>
                        <m:sty m:val="p"/>
                      </m:rPr>
                      <a:rPr lang="tr-TR" sz="1100" b="0" i="0">
                        <a:latin typeface="Cambria Math" panose="02040503050406030204" pitchFamily="18" charset="0"/>
                      </a:rPr>
                      <m:t>multiplier</m:t>
                    </m:r>
                    <m:r>
                      <a:rPr lang="tr-TR" sz="1100" b="0" i="0">
                        <a:latin typeface="Cambria Math" panose="02040503050406030204" pitchFamily="18" charset="0"/>
                      </a:rPr>
                      <m:t> (</m:t>
                    </m:r>
                    <m:r>
                      <m:rPr>
                        <m:sty m:val="p"/>
                      </m:rPr>
                      <a:rPr lang="tr-TR" sz="1100" b="0" i="0">
                        <a:latin typeface="Cambria Math" panose="02040503050406030204" pitchFamily="18" charset="0"/>
                      </a:rPr>
                      <m:t>midterm</m:t>
                    </m:r>
                    <m:r>
                      <a:rPr lang="tr-TR" sz="1100" b="0" i="0">
                        <a:latin typeface="Cambria Math" panose="02040503050406030204" pitchFamily="18" charset="0"/>
                      </a:rPr>
                      <m:t>=30%)</m:t>
                    </m:r>
                  </m:oMath>
                </m:oMathPara>
              </a14:m>
              <a:endParaRPr lang="en-US" sz="1100"/>
            </a:p>
          </xdr:txBody>
        </xdr:sp>
      </mc:Choice>
      <mc:Fallback xmlns="">
        <xdr:sp macro="" textlink="">
          <xdr:nvSpPr>
            <xdr:cNvPr id="110" name="Metin kutusu 109">
              <a:extLst>
                <a:ext uri="{FF2B5EF4-FFF2-40B4-BE49-F238E27FC236}">
                  <a16:creationId xmlns:a16="http://schemas.microsoft.com/office/drawing/2014/main" id="{2F8812F9-B34B-4474-B121-6F7752BCDD89}"/>
                </a:ext>
              </a:extLst>
            </xdr:cNvPr>
            <xdr:cNvSpPr txBox="1"/>
          </xdr:nvSpPr>
          <xdr:spPr>
            <a:xfrm>
              <a:off x="11261696" y="23956286"/>
              <a:ext cx="36342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100" i="0">
                  <a:solidFill>
                    <a:srgbClr val="836967"/>
                  </a:solidFill>
                  <a:latin typeface="Cambria Math" panose="02040503050406030204" pitchFamily="18" charset="0"/>
                </a:rPr>
                <a:t>〖</a:t>
              </a:r>
              <a:r>
                <a:rPr lang="tr-TR" sz="1100" b="0" i="0">
                  <a:solidFill>
                    <a:srgbClr val="836967"/>
                  </a:solidFill>
                  <a:latin typeface="Cambria Math" panose="02040503050406030204" pitchFamily="18" charset="0"/>
                </a:rPr>
                <a:t>(</a:t>
              </a:r>
              <a:r>
                <a:rPr lang="tr-TR" sz="1100" b="0" i="0">
                  <a:latin typeface="Cambria Math" panose="02040503050406030204" pitchFamily="18" charset="0"/>
                </a:rPr>
                <a:t>𝑋</a:t>
              </a:r>
              <a:r>
                <a:rPr lang="en-US" sz="1100" b="0" i="0">
                  <a:solidFill>
                    <a:srgbClr val="836967"/>
                  </a:solidFill>
                  <a:latin typeface="Cambria Math" panose="02040503050406030204" pitchFamily="18" charset="0"/>
                </a:rPr>
                <a:t>〗_</a:t>
              </a:r>
              <a:r>
                <a:rPr lang="tr-TR" sz="1100" b="0" i="0">
                  <a:latin typeface="Cambria Math" panose="02040503050406030204" pitchFamily="18" charset="0"/>
                </a:rPr>
                <a:t>𝐵𝑎𝑠𝑒  )%</a:t>
              </a:r>
              <a:r>
                <a:rPr lang="en-US" sz="1100" i="0">
                  <a:latin typeface="Cambria Math" panose="02040503050406030204" pitchFamily="18" charset="0"/>
                </a:rPr>
                <a:t>=</a:t>
              </a:r>
              <a:r>
                <a:rPr lang="tr-TR" sz="1100" b="0" i="0">
                  <a:latin typeface="Cambria Math" panose="02040503050406030204" pitchFamily="18" charset="0"/>
                </a:rPr>
                <a:t>Subject X^′ s grade multiplier (midterm=30%)</a:t>
              </a:r>
              <a:endParaRPr lang="en-US" sz="1100"/>
            </a:p>
          </xdr:txBody>
        </xdr:sp>
      </mc:Fallback>
    </mc:AlternateContent>
    <xdr:clientData/>
  </xdr:oneCellAnchor>
  <xdr:oneCellAnchor>
    <xdr:from>
      <xdr:col>10</xdr:col>
      <xdr:colOff>86138</xdr:colOff>
      <xdr:row>127</xdr:row>
      <xdr:rowOff>172278</xdr:rowOff>
    </xdr:from>
    <xdr:ext cx="4142673" cy="183320"/>
    <mc:AlternateContent xmlns:mc="http://schemas.openxmlformats.org/markup-compatibility/2006" xmlns:a14="http://schemas.microsoft.com/office/drawing/2010/main">
      <mc:Choice Requires="a14">
        <xdr:sp macro="" textlink="">
          <xdr:nvSpPr>
            <xdr:cNvPr id="111" name="Metin kutusu 110">
              <a:extLst>
                <a:ext uri="{FF2B5EF4-FFF2-40B4-BE49-F238E27FC236}">
                  <a16:creationId xmlns:a16="http://schemas.microsoft.com/office/drawing/2014/main" id="{00000000-0008-0000-0000-00006F000000}"/>
                </a:ext>
              </a:extLst>
            </xdr:cNvPr>
            <xdr:cNvSpPr txBox="1"/>
          </xdr:nvSpPr>
          <xdr:spPr>
            <a:xfrm>
              <a:off x="11241818" y="24121938"/>
              <a:ext cx="4142673" cy="18332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100" i="1">
                            <a:solidFill>
                              <a:srgbClr val="836967"/>
                            </a:solidFill>
                            <a:latin typeface="Cambria Math" panose="02040503050406030204" pitchFamily="18" charset="0"/>
                          </a:rPr>
                        </m:ctrlPr>
                      </m:sSubPr>
                      <m:e>
                        <m:r>
                          <a:rPr lang="tr-TR" sz="1100" b="0" i="1">
                            <a:latin typeface="Cambria Math" panose="02040503050406030204" pitchFamily="18" charset="0"/>
                          </a:rPr>
                          <m:t>𝑋</m:t>
                        </m:r>
                      </m:e>
                      <m:sub>
                        <m:func>
                          <m:funcPr>
                            <m:ctrlPr>
                              <a:rPr lang="tr-TR" sz="1100" b="0" i="1">
                                <a:latin typeface="Cambria Math" panose="02040503050406030204" pitchFamily="18" charset="0"/>
                              </a:rPr>
                            </m:ctrlPr>
                          </m:funcPr>
                          <m:fName>
                            <m:r>
                              <m:rPr>
                                <m:sty m:val="p"/>
                              </m:rPr>
                              <a:rPr lang="en-US" sz="1100" i="0">
                                <a:latin typeface="Cambria Math" panose="02040503050406030204" pitchFamily="18" charset="0"/>
                              </a:rPr>
                              <m:t>max</m:t>
                            </m:r>
                          </m:fName>
                          <m:e>
                            <m:r>
                              <a:rPr lang="tr-TR" sz="1100" b="0" i="1">
                                <a:latin typeface="Cambria Math" panose="02040503050406030204" pitchFamily="18" charset="0"/>
                              </a:rPr>
                              <m:t>𝑔𝑟𝑎𝑑𝑒</m:t>
                            </m:r>
                          </m:e>
                        </m:func>
                      </m:sub>
                    </m:sSub>
                    <m:r>
                      <a:rPr lang="en-US" sz="1100" i="0">
                        <a:latin typeface="Cambria Math" panose="02040503050406030204" pitchFamily="18" charset="0"/>
                      </a:rPr>
                      <m:t>=</m:t>
                    </m:r>
                    <m:r>
                      <m:rPr>
                        <m:sty m:val="p"/>
                      </m:rPr>
                      <a:rPr lang="tr-TR" sz="1100" b="0" i="0">
                        <a:latin typeface="Cambria Math" panose="02040503050406030204" pitchFamily="18" charset="0"/>
                      </a:rPr>
                      <m:t>Max</m:t>
                    </m:r>
                    <m:r>
                      <a:rPr lang="tr-TR" sz="1100" b="0" i="0">
                        <a:latin typeface="Cambria Math" panose="02040503050406030204" pitchFamily="18" charset="0"/>
                      </a:rPr>
                      <m:t> </m:t>
                    </m:r>
                    <m:r>
                      <m:rPr>
                        <m:sty m:val="p"/>
                      </m:rPr>
                      <a:rPr lang="tr-TR" sz="1100" b="0" i="0">
                        <a:latin typeface="Cambria Math" panose="02040503050406030204" pitchFamily="18" charset="0"/>
                      </a:rPr>
                      <m:t>point</m:t>
                    </m:r>
                    <m:r>
                      <a:rPr lang="tr-TR" sz="1100" b="0" i="0">
                        <a:latin typeface="Cambria Math" panose="02040503050406030204" pitchFamily="18" charset="0"/>
                      </a:rPr>
                      <m:t> </m:t>
                    </m:r>
                    <m:r>
                      <m:rPr>
                        <m:sty m:val="p"/>
                      </m:rPr>
                      <a:rPr lang="tr-TR" sz="1100" b="0" i="0">
                        <a:latin typeface="Cambria Math" panose="02040503050406030204" pitchFamily="18" charset="0"/>
                      </a:rPr>
                      <m:t>achieveable</m:t>
                    </m:r>
                    <m:r>
                      <a:rPr lang="tr-TR" sz="1100" b="0" i="0">
                        <a:latin typeface="Cambria Math" panose="02040503050406030204" pitchFamily="18" charset="0"/>
                      </a:rPr>
                      <m:t> </m:t>
                    </m:r>
                    <m:r>
                      <m:rPr>
                        <m:sty m:val="p"/>
                      </m:rPr>
                      <a:rPr lang="tr-TR" sz="1100" b="0" i="0">
                        <a:latin typeface="Cambria Math" panose="02040503050406030204" pitchFamily="18" charset="0"/>
                      </a:rPr>
                      <m:t>for</m:t>
                    </m:r>
                    <m:r>
                      <a:rPr lang="tr-TR" sz="1100" b="0" i="0">
                        <a:latin typeface="Cambria Math" panose="02040503050406030204" pitchFamily="18" charset="0"/>
                      </a:rPr>
                      <m:t> </m:t>
                    </m:r>
                    <m:r>
                      <m:rPr>
                        <m:sty m:val="p"/>
                      </m:rPr>
                      <a:rPr lang="tr-TR" sz="1100" b="0" i="0">
                        <a:latin typeface="Cambria Math" panose="02040503050406030204" pitchFamily="18" charset="0"/>
                      </a:rPr>
                      <m:t>subject</m:t>
                    </m:r>
                    <m:r>
                      <a:rPr lang="tr-TR" sz="1100" b="0" i="0">
                        <a:latin typeface="Cambria Math" panose="02040503050406030204" pitchFamily="18" charset="0"/>
                      </a:rPr>
                      <m:t> </m:t>
                    </m:r>
                    <m:r>
                      <m:rPr>
                        <m:sty m:val="p"/>
                      </m:rPr>
                      <a:rPr lang="tr-TR" sz="1100" b="0" i="0">
                        <a:latin typeface="Cambria Math" panose="02040503050406030204" pitchFamily="18" charset="0"/>
                      </a:rPr>
                      <m:t>X</m:t>
                    </m:r>
                    <m:r>
                      <a:rPr lang="tr-TR" sz="1100" b="0" i="0">
                        <a:latin typeface="Cambria Math" panose="02040503050406030204" pitchFamily="18" charset="0"/>
                      </a:rPr>
                      <m:t> (</m:t>
                    </m:r>
                    <m:r>
                      <m:rPr>
                        <m:sty m:val="p"/>
                      </m:rPr>
                      <a:rPr lang="tr-TR" sz="1100" b="0" i="0">
                        <a:latin typeface="Cambria Math" panose="02040503050406030204" pitchFamily="18" charset="0"/>
                      </a:rPr>
                      <m:t>midterm</m:t>
                    </m:r>
                    <m:r>
                      <a:rPr lang="tr-TR" sz="1100" b="0" i="0">
                        <a:latin typeface="Cambria Math" panose="02040503050406030204" pitchFamily="18" charset="0"/>
                      </a:rPr>
                      <m:t>=100)</m:t>
                    </m:r>
                  </m:oMath>
                </m:oMathPara>
              </a14:m>
              <a:endParaRPr lang="en-US" sz="1100"/>
            </a:p>
          </xdr:txBody>
        </xdr:sp>
      </mc:Choice>
      <mc:Fallback xmlns="">
        <xdr:sp macro="" textlink="">
          <xdr:nvSpPr>
            <xdr:cNvPr id="111" name="Metin kutusu 110">
              <a:extLst>
                <a:ext uri="{FF2B5EF4-FFF2-40B4-BE49-F238E27FC236}">
                  <a16:creationId xmlns:a16="http://schemas.microsoft.com/office/drawing/2014/main" id="{A425B5D5-47C6-4684-B549-DE9CDBC0B3B9}"/>
                </a:ext>
              </a:extLst>
            </xdr:cNvPr>
            <xdr:cNvSpPr txBox="1"/>
          </xdr:nvSpPr>
          <xdr:spPr>
            <a:xfrm>
              <a:off x="11241818" y="24121938"/>
              <a:ext cx="4142673" cy="18332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tr-TR" sz="1100" b="0" i="0">
                  <a:latin typeface="Cambria Math" panose="02040503050406030204" pitchFamily="18" charset="0"/>
                </a:rPr>
                <a:t>𝑋</a:t>
              </a:r>
              <a:r>
                <a:rPr lang="en-US" sz="1100" b="0" i="0">
                  <a:solidFill>
                    <a:srgbClr val="836967"/>
                  </a:solidFill>
                  <a:latin typeface="Cambria Math" panose="02040503050406030204" pitchFamily="18" charset="0"/>
                </a:rPr>
                <a:t>_</a:t>
              </a:r>
              <a:r>
                <a:rPr lang="en-US" sz="1100" i="0">
                  <a:latin typeface="Cambria Math" panose="02040503050406030204" pitchFamily="18" charset="0"/>
                </a:rPr>
                <a:t>max</a:t>
              </a:r>
              <a:r>
                <a:rPr lang="tr-TR" sz="1100" b="0" i="0">
                  <a:latin typeface="Cambria Math" panose="02040503050406030204" pitchFamily="18" charset="0"/>
                </a:rPr>
                <a:t>⁡𝑔𝑟𝑎𝑑𝑒 </a:t>
              </a:r>
              <a:r>
                <a:rPr lang="en-US" sz="1100" i="0">
                  <a:latin typeface="Cambria Math" panose="02040503050406030204" pitchFamily="18" charset="0"/>
                </a:rPr>
                <a:t>=</a:t>
              </a:r>
              <a:r>
                <a:rPr lang="tr-TR" sz="1100" b="0" i="0">
                  <a:latin typeface="Cambria Math" panose="02040503050406030204" pitchFamily="18" charset="0"/>
                </a:rPr>
                <a:t>Max point achieveable for subject X (midterm=100)</a:t>
              </a:r>
              <a:endParaRPr lang="en-US" sz="1100"/>
            </a:p>
          </xdr:txBody>
        </xdr:sp>
      </mc:Fallback>
    </mc:AlternateContent>
    <xdr:clientData/>
  </xdr:oneCellAnchor>
  <xdr:twoCellAnchor>
    <xdr:from>
      <xdr:col>8</xdr:col>
      <xdr:colOff>1013460</xdr:colOff>
      <xdr:row>64</xdr:row>
      <xdr:rowOff>83820</xdr:rowOff>
    </xdr:from>
    <xdr:to>
      <xdr:col>10</xdr:col>
      <xdr:colOff>167640</xdr:colOff>
      <xdr:row>71</xdr:row>
      <xdr:rowOff>15416</xdr:rowOff>
    </xdr:to>
    <xdr:sp macro="" textlink="">
      <xdr:nvSpPr>
        <xdr:cNvPr id="112" name="Serbest Form: Şekil 111">
          <a:extLst>
            <a:ext uri="{FF2B5EF4-FFF2-40B4-BE49-F238E27FC236}">
              <a16:creationId xmlns:a16="http://schemas.microsoft.com/office/drawing/2014/main" id="{00000000-0008-0000-0000-000070000000}"/>
            </a:ext>
          </a:extLst>
        </xdr:cNvPr>
        <xdr:cNvSpPr/>
      </xdr:nvSpPr>
      <xdr:spPr>
        <a:xfrm>
          <a:off x="10195560" y="12077700"/>
          <a:ext cx="1127760" cy="1287956"/>
        </a:xfrm>
        <a:custGeom>
          <a:avLst/>
          <a:gdLst>
            <a:gd name="connsiteX0" fmla="*/ 708660 w 1413552"/>
            <a:gd name="connsiteY0" fmla="*/ 1691640 h 1722296"/>
            <a:gd name="connsiteX1" fmla="*/ 975360 w 1413552"/>
            <a:gd name="connsiteY1" fmla="*/ 1668780 h 1722296"/>
            <a:gd name="connsiteX2" fmla="*/ 1135380 w 1413552"/>
            <a:gd name="connsiteY2" fmla="*/ 1569720 h 1722296"/>
            <a:gd name="connsiteX3" fmla="*/ 1363980 w 1413552"/>
            <a:gd name="connsiteY3" fmla="*/ 1356360 h 1722296"/>
            <a:gd name="connsiteX4" fmla="*/ 1409700 w 1413552"/>
            <a:gd name="connsiteY4" fmla="*/ 998220 h 1722296"/>
            <a:gd name="connsiteX5" fmla="*/ 1363980 w 1413552"/>
            <a:gd name="connsiteY5" fmla="*/ 426720 h 1722296"/>
            <a:gd name="connsiteX6" fmla="*/ 1295400 w 1413552"/>
            <a:gd name="connsiteY6" fmla="*/ 266700 h 1722296"/>
            <a:gd name="connsiteX7" fmla="*/ 1104900 w 1413552"/>
            <a:gd name="connsiteY7" fmla="*/ 91440 h 1722296"/>
            <a:gd name="connsiteX8" fmla="*/ 822960 w 1413552"/>
            <a:gd name="connsiteY8" fmla="*/ 0 h 1722296"/>
            <a:gd name="connsiteX9" fmla="*/ 449580 w 1413552"/>
            <a:gd name="connsiteY9" fmla="*/ 22860 h 1722296"/>
            <a:gd name="connsiteX10" fmla="*/ 365760 w 1413552"/>
            <a:gd name="connsiteY10" fmla="*/ 60960 h 1722296"/>
            <a:gd name="connsiteX11" fmla="*/ 213360 w 1413552"/>
            <a:gd name="connsiteY11" fmla="*/ 190500 h 1722296"/>
            <a:gd name="connsiteX12" fmla="*/ 76200 w 1413552"/>
            <a:gd name="connsiteY12" fmla="*/ 411480 h 1722296"/>
            <a:gd name="connsiteX13" fmla="*/ 45720 w 1413552"/>
            <a:gd name="connsiteY13" fmla="*/ 518160 h 1722296"/>
            <a:gd name="connsiteX14" fmla="*/ 22860 w 1413552"/>
            <a:gd name="connsiteY14" fmla="*/ 609600 h 1722296"/>
            <a:gd name="connsiteX15" fmla="*/ 0 w 1413552"/>
            <a:gd name="connsiteY15" fmla="*/ 800100 h 1722296"/>
            <a:gd name="connsiteX16" fmla="*/ 30480 w 1413552"/>
            <a:gd name="connsiteY16" fmla="*/ 1249680 h 1722296"/>
            <a:gd name="connsiteX17" fmla="*/ 60960 w 1413552"/>
            <a:gd name="connsiteY17" fmla="*/ 1371600 h 1722296"/>
            <a:gd name="connsiteX18" fmla="*/ 129540 w 1413552"/>
            <a:gd name="connsiteY18" fmla="*/ 1470660 h 1722296"/>
            <a:gd name="connsiteX19" fmla="*/ 281940 w 1413552"/>
            <a:gd name="connsiteY19" fmla="*/ 1584960 h 1722296"/>
            <a:gd name="connsiteX20" fmla="*/ 426720 w 1413552"/>
            <a:gd name="connsiteY20" fmla="*/ 1645920 h 1722296"/>
            <a:gd name="connsiteX21" fmla="*/ 518160 w 1413552"/>
            <a:gd name="connsiteY21" fmla="*/ 1676400 h 1722296"/>
            <a:gd name="connsiteX22" fmla="*/ 586740 w 1413552"/>
            <a:gd name="connsiteY22" fmla="*/ 1691640 h 1722296"/>
            <a:gd name="connsiteX23" fmla="*/ 670560 w 1413552"/>
            <a:gd name="connsiteY23" fmla="*/ 1714500 h 1722296"/>
            <a:gd name="connsiteX24" fmla="*/ 807720 w 1413552"/>
            <a:gd name="connsiteY24" fmla="*/ 1722120 h 1722296"/>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Lst>
          <a:rect l="l" t="t" r="r" b="b"/>
          <a:pathLst>
            <a:path w="1413552" h="1722296">
              <a:moveTo>
                <a:pt x="708660" y="1691640"/>
              </a:moveTo>
              <a:cubicBezTo>
                <a:pt x="811876" y="1699013"/>
                <a:pt x="868087" y="1712200"/>
                <a:pt x="975360" y="1668780"/>
              </a:cubicBezTo>
              <a:cubicBezTo>
                <a:pt x="1033510" y="1645243"/>
                <a:pt x="1083801" y="1605428"/>
                <a:pt x="1135380" y="1569720"/>
              </a:cubicBezTo>
              <a:cubicBezTo>
                <a:pt x="1278135" y="1470890"/>
                <a:pt x="1260215" y="1477419"/>
                <a:pt x="1363980" y="1356360"/>
              </a:cubicBezTo>
              <a:cubicBezTo>
                <a:pt x="1412340" y="1191935"/>
                <a:pt x="1419642" y="1206996"/>
                <a:pt x="1409700" y="998220"/>
              </a:cubicBezTo>
              <a:cubicBezTo>
                <a:pt x="1400610" y="807328"/>
                <a:pt x="1393483" y="615538"/>
                <a:pt x="1363980" y="426720"/>
              </a:cubicBezTo>
              <a:cubicBezTo>
                <a:pt x="1355021" y="369383"/>
                <a:pt x="1324356" y="316992"/>
                <a:pt x="1295400" y="266700"/>
              </a:cubicBezTo>
              <a:cubicBezTo>
                <a:pt x="1257742" y="201293"/>
                <a:pt x="1169281" y="124501"/>
                <a:pt x="1104900" y="91440"/>
              </a:cubicBezTo>
              <a:cubicBezTo>
                <a:pt x="1024488" y="50147"/>
                <a:pt x="912291" y="23822"/>
                <a:pt x="822960" y="0"/>
              </a:cubicBezTo>
              <a:cubicBezTo>
                <a:pt x="698500" y="7620"/>
                <a:pt x="573179" y="6380"/>
                <a:pt x="449580" y="22860"/>
              </a:cubicBezTo>
              <a:cubicBezTo>
                <a:pt x="419158" y="26916"/>
                <a:pt x="392947" y="46719"/>
                <a:pt x="365760" y="60960"/>
              </a:cubicBezTo>
              <a:cubicBezTo>
                <a:pt x="280567" y="105585"/>
                <a:pt x="279674" y="110923"/>
                <a:pt x="213360" y="190500"/>
              </a:cubicBezTo>
              <a:cubicBezTo>
                <a:pt x="145516" y="271913"/>
                <a:pt x="116461" y="310826"/>
                <a:pt x="76200" y="411480"/>
              </a:cubicBezTo>
              <a:cubicBezTo>
                <a:pt x="62465" y="445818"/>
                <a:pt x="55335" y="482449"/>
                <a:pt x="45720" y="518160"/>
              </a:cubicBezTo>
              <a:cubicBezTo>
                <a:pt x="37552" y="548498"/>
                <a:pt x="29022" y="578792"/>
                <a:pt x="22860" y="609600"/>
              </a:cubicBezTo>
              <a:cubicBezTo>
                <a:pt x="7232" y="687742"/>
                <a:pt x="6492" y="722193"/>
                <a:pt x="0" y="800100"/>
              </a:cubicBezTo>
              <a:cubicBezTo>
                <a:pt x="10160" y="949960"/>
                <a:pt x="14549" y="1100323"/>
                <a:pt x="30480" y="1249680"/>
              </a:cubicBezTo>
              <a:cubicBezTo>
                <a:pt x="34923" y="1291334"/>
                <a:pt x="43824" y="1333374"/>
                <a:pt x="60960" y="1371600"/>
              </a:cubicBezTo>
              <a:cubicBezTo>
                <a:pt x="77388" y="1408247"/>
                <a:pt x="104452" y="1439300"/>
                <a:pt x="129540" y="1470660"/>
              </a:cubicBezTo>
              <a:cubicBezTo>
                <a:pt x="169117" y="1520131"/>
                <a:pt x="224960" y="1559060"/>
                <a:pt x="281940" y="1584960"/>
              </a:cubicBezTo>
              <a:cubicBezTo>
                <a:pt x="355183" y="1618252"/>
                <a:pt x="358472" y="1622033"/>
                <a:pt x="426720" y="1645920"/>
              </a:cubicBezTo>
              <a:cubicBezTo>
                <a:pt x="457045" y="1656534"/>
                <a:pt x="487267" y="1667574"/>
                <a:pt x="518160" y="1676400"/>
              </a:cubicBezTo>
              <a:cubicBezTo>
                <a:pt x="540677" y="1682833"/>
                <a:pt x="564022" y="1685960"/>
                <a:pt x="586740" y="1691640"/>
              </a:cubicBezTo>
              <a:cubicBezTo>
                <a:pt x="614836" y="1698664"/>
                <a:pt x="642111" y="1709081"/>
                <a:pt x="670560" y="1714500"/>
              </a:cubicBezTo>
              <a:cubicBezTo>
                <a:pt x="721180" y="1724142"/>
                <a:pt x="757691" y="1722120"/>
                <a:pt x="807720" y="1722120"/>
              </a:cubicBezTo>
            </a:path>
          </a:pathLst>
        </a:custGeom>
      </xdr:spPr>
      <xdr:style>
        <a:lnRef idx="3">
          <a:schemeClr val="accent4"/>
        </a:lnRef>
        <a:fillRef idx="0">
          <a:schemeClr val="accent4"/>
        </a:fillRef>
        <a:effectRef idx="2">
          <a:schemeClr val="accent4"/>
        </a:effectRef>
        <a:fontRef idx="minor">
          <a:schemeClr val="tx1"/>
        </a:fontRef>
      </xdr:style>
      <xdr:txBody>
        <a:bodyPr vertOverflow="clip" horzOverflow="clip" rtlCol="0" anchor="t"/>
        <a:lstStyle/>
        <a:p>
          <a:pPr algn="l"/>
          <a:endParaRPr lang="en-US" sz="1100"/>
        </a:p>
      </xdr:txBody>
    </xdr:sp>
    <xdr:clientData/>
  </xdr:twoCellAnchor>
  <xdr:twoCellAnchor>
    <xdr:from>
      <xdr:col>4</xdr:col>
      <xdr:colOff>266700</xdr:colOff>
      <xdr:row>74</xdr:row>
      <xdr:rowOff>7620</xdr:rowOff>
    </xdr:from>
    <xdr:to>
      <xdr:col>4</xdr:col>
      <xdr:colOff>1394460</xdr:colOff>
      <xdr:row>81</xdr:row>
      <xdr:rowOff>15416</xdr:rowOff>
    </xdr:to>
    <xdr:sp macro="" textlink="">
      <xdr:nvSpPr>
        <xdr:cNvPr id="113" name="Serbest Form: Şekil 112">
          <a:extLst>
            <a:ext uri="{FF2B5EF4-FFF2-40B4-BE49-F238E27FC236}">
              <a16:creationId xmlns:a16="http://schemas.microsoft.com/office/drawing/2014/main" id="{00000000-0008-0000-0000-000071000000}"/>
            </a:ext>
          </a:extLst>
        </xdr:cNvPr>
        <xdr:cNvSpPr/>
      </xdr:nvSpPr>
      <xdr:spPr>
        <a:xfrm>
          <a:off x="5219700" y="13906500"/>
          <a:ext cx="1127760" cy="1287956"/>
        </a:xfrm>
        <a:custGeom>
          <a:avLst/>
          <a:gdLst>
            <a:gd name="connsiteX0" fmla="*/ 708660 w 1413552"/>
            <a:gd name="connsiteY0" fmla="*/ 1691640 h 1722296"/>
            <a:gd name="connsiteX1" fmla="*/ 975360 w 1413552"/>
            <a:gd name="connsiteY1" fmla="*/ 1668780 h 1722296"/>
            <a:gd name="connsiteX2" fmla="*/ 1135380 w 1413552"/>
            <a:gd name="connsiteY2" fmla="*/ 1569720 h 1722296"/>
            <a:gd name="connsiteX3" fmla="*/ 1363980 w 1413552"/>
            <a:gd name="connsiteY3" fmla="*/ 1356360 h 1722296"/>
            <a:gd name="connsiteX4" fmla="*/ 1409700 w 1413552"/>
            <a:gd name="connsiteY4" fmla="*/ 998220 h 1722296"/>
            <a:gd name="connsiteX5" fmla="*/ 1363980 w 1413552"/>
            <a:gd name="connsiteY5" fmla="*/ 426720 h 1722296"/>
            <a:gd name="connsiteX6" fmla="*/ 1295400 w 1413552"/>
            <a:gd name="connsiteY6" fmla="*/ 266700 h 1722296"/>
            <a:gd name="connsiteX7" fmla="*/ 1104900 w 1413552"/>
            <a:gd name="connsiteY7" fmla="*/ 91440 h 1722296"/>
            <a:gd name="connsiteX8" fmla="*/ 822960 w 1413552"/>
            <a:gd name="connsiteY8" fmla="*/ 0 h 1722296"/>
            <a:gd name="connsiteX9" fmla="*/ 449580 w 1413552"/>
            <a:gd name="connsiteY9" fmla="*/ 22860 h 1722296"/>
            <a:gd name="connsiteX10" fmla="*/ 365760 w 1413552"/>
            <a:gd name="connsiteY10" fmla="*/ 60960 h 1722296"/>
            <a:gd name="connsiteX11" fmla="*/ 213360 w 1413552"/>
            <a:gd name="connsiteY11" fmla="*/ 190500 h 1722296"/>
            <a:gd name="connsiteX12" fmla="*/ 76200 w 1413552"/>
            <a:gd name="connsiteY12" fmla="*/ 411480 h 1722296"/>
            <a:gd name="connsiteX13" fmla="*/ 45720 w 1413552"/>
            <a:gd name="connsiteY13" fmla="*/ 518160 h 1722296"/>
            <a:gd name="connsiteX14" fmla="*/ 22860 w 1413552"/>
            <a:gd name="connsiteY14" fmla="*/ 609600 h 1722296"/>
            <a:gd name="connsiteX15" fmla="*/ 0 w 1413552"/>
            <a:gd name="connsiteY15" fmla="*/ 800100 h 1722296"/>
            <a:gd name="connsiteX16" fmla="*/ 30480 w 1413552"/>
            <a:gd name="connsiteY16" fmla="*/ 1249680 h 1722296"/>
            <a:gd name="connsiteX17" fmla="*/ 60960 w 1413552"/>
            <a:gd name="connsiteY17" fmla="*/ 1371600 h 1722296"/>
            <a:gd name="connsiteX18" fmla="*/ 129540 w 1413552"/>
            <a:gd name="connsiteY18" fmla="*/ 1470660 h 1722296"/>
            <a:gd name="connsiteX19" fmla="*/ 281940 w 1413552"/>
            <a:gd name="connsiteY19" fmla="*/ 1584960 h 1722296"/>
            <a:gd name="connsiteX20" fmla="*/ 426720 w 1413552"/>
            <a:gd name="connsiteY20" fmla="*/ 1645920 h 1722296"/>
            <a:gd name="connsiteX21" fmla="*/ 518160 w 1413552"/>
            <a:gd name="connsiteY21" fmla="*/ 1676400 h 1722296"/>
            <a:gd name="connsiteX22" fmla="*/ 586740 w 1413552"/>
            <a:gd name="connsiteY22" fmla="*/ 1691640 h 1722296"/>
            <a:gd name="connsiteX23" fmla="*/ 670560 w 1413552"/>
            <a:gd name="connsiteY23" fmla="*/ 1714500 h 1722296"/>
            <a:gd name="connsiteX24" fmla="*/ 807720 w 1413552"/>
            <a:gd name="connsiteY24" fmla="*/ 1722120 h 1722296"/>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Lst>
          <a:rect l="l" t="t" r="r" b="b"/>
          <a:pathLst>
            <a:path w="1413552" h="1722296">
              <a:moveTo>
                <a:pt x="708660" y="1691640"/>
              </a:moveTo>
              <a:cubicBezTo>
                <a:pt x="811876" y="1699013"/>
                <a:pt x="868087" y="1712200"/>
                <a:pt x="975360" y="1668780"/>
              </a:cubicBezTo>
              <a:cubicBezTo>
                <a:pt x="1033510" y="1645243"/>
                <a:pt x="1083801" y="1605428"/>
                <a:pt x="1135380" y="1569720"/>
              </a:cubicBezTo>
              <a:cubicBezTo>
                <a:pt x="1278135" y="1470890"/>
                <a:pt x="1260215" y="1477419"/>
                <a:pt x="1363980" y="1356360"/>
              </a:cubicBezTo>
              <a:cubicBezTo>
                <a:pt x="1412340" y="1191935"/>
                <a:pt x="1419642" y="1206996"/>
                <a:pt x="1409700" y="998220"/>
              </a:cubicBezTo>
              <a:cubicBezTo>
                <a:pt x="1400610" y="807328"/>
                <a:pt x="1393483" y="615538"/>
                <a:pt x="1363980" y="426720"/>
              </a:cubicBezTo>
              <a:cubicBezTo>
                <a:pt x="1355021" y="369383"/>
                <a:pt x="1324356" y="316992"/>
                <a:pt x="1295400" y="266700"/>
              </a:cubicBezTo>
              <a:cubicBezTo>
                <a:pt x="1257742" y="201293"/>
                <a:pt x="1169281" y="124501"/>
                <a:pt x="1104900" y="91440"/>
              </a:cubicBezTo>
              <a:cubicBezTo>
                <a:pt x="1024488" y="50147"/>
                <a:pt x="912291" y="23822"/>
                <a:pt x="822960" y="0"/>
              </a:cubicBezTo>
              <a:cubicBezTo>
                <a:pt x="698500" y="7620"/>
                <a:pt x="573179" y="6380"/>
                <a:pt x="449580" y="22860"/>
              </a:cubicBezTo>
              <a:cubicBezTo>
                <a:pt x="419158" y="26916"/>
                <a:pt x="392947" y="46719"/>
                <a:pt x="365760" y="60960"/>
              </a:cubicBezTo>
              <a:cubicBezTo>
                <a:pt x="280567" y="105585"/>
                <a:pt x="279674" y="110923"/>
                <a:pt x="213360" y="190500"/>
              </a:cubicBezTo>
              <a:cubicBezTo>
                <a:pt x="145516" y="271913"/>
                <a:pt x="116461" y="310826"/>
                <a:pt x="76200" y="411480"/>
              </a:cubicBezTo>
              <a:cubicBezTo>
                <a:pt x="62465" y="445818"/>
                <a:pt x="55335" y="482449"/>
                <a:pt x="45720" y="518160"/>
              </a:cubicBezTo>
              <a:cubicBezTo>
                <a:pt x="37552" y="548498"/>
                <a:pt x="29022" y="578792"/>
                <a:pt x="22860" y="609600"/>
              </a:cubicBezTo>
              <a:cubicBezTo>
                <a:pt x="7232" y="687742"/>
                <a:pt x="6492" y="722193"/>
                <a:pt x="0" y="800100"/>
              </a:cubicBezTo>
              <a:cubicBezTo>
                <a:pt x="10160" y="949960"/>
                <a:pt x="14549" y="1100323"/>
                <a:pt x="30480" y="1249680"/>
              </a:cubicBezTo>
              <a:cubicBezTo>
                <a:pt x="34923" y="1291334"/>
                <a:pt x="43824" y="1333374"/>
                <a:pt x="60960" y="1371600"/>
              </a:cubicBezTo>
              <a:cubicBezTo>
                <a:pt x="77388" y="1408247"/>
                <a:pt x="104452" y="1439300"/>
                <a:pt x="129540" y="1470660"/>
              </a:cubicBezTo>
              <a:cubicBezTo>
                <a:pt x="169117" y="1520131"/>
                <a:pt x="224960" y="1559060"/>
                <a:pt x="281940" y="1584960"/>
              </a:cubicBezTo>
              <a:cubicBezTo>
                <a:pt x="355183" y="1618252"/>
                <a:pt x="358472" y="1622033"/>
                <a:pt x="426720" y="1645920"/>
              </a:cubicBezTo>
              <a:cubicBezTo>
                <a:pt x="457045" y="1656534"/>
                <a:pt x="487267" y="1667574"/>
                <a:pt x="518160" y="1676400"/>
              </a:cubicBezTo>
              <a:cubicBezTo>
                <a:pt x="540677" y="1682833"/>
                <a:pt x="564022" y="1685960"/>
                <a:pt x="586740" y="1691640"/>
              </a:cubicBezTo>
              <a:cubicBezTo>
                <a:pt x="614836" y="1698664"/>
                <a:pt x="642111" y="1709081"/>
                <a:pt x="670560" y="1714500"/>
              </a:cubicBezTo>
              <a:cubicBezTo>
                <a:pt x="721180" y="1724142"/>
                <a:pt x="757691" y="1722120"/>
                <a:pt x="807720" y="1722120"/>
              </a:cubicBezTo>
            </a:path>
          </a:pathLst>
        </a:custGeom>
      </xdr:spPr>
      <xdr:style>
        <a:lnRef idx="3">
          <a:schemeClr val="accent4"/>
        </a:lnRef>
        <a:fillRef idx="0">
          <a:schemeClr val="accent4"/>
        </a:fillRef>
        <a:effectRef idx="2">
          <a:schemeClr val="accent4"/>
        </a:effectRef>
        <a:fontRef idx="minor">
          <a:schemeClr val="tx1"/>
        </a:fontRef>
      </xdr:style>
      <xdr:txBody>
        <a:bodyPr vertOverflow="clip" horzOverflow="clip" rtlCol="0" anchor="t"/>
        <a:lstStyle/>
        <a:p>
          <a:pPr algn="l"/>
          <a:endParaRPr lang="en-US" sz="1100"/>
        </a:p>
      </xdr:txBody>
    </xdr:sp>
    <xdr:clientData/>
  </xdr:twoCellAnchor>
  <xdr:oneCellAnchor>
    <xdr:from>
      <xdr:col>10</xdr:col>
      <xdr:colOff>83820</xdr:colOff>
      <xdr:row>129</xdr:row>
      <xdr:rowOff>7620</xdr:rowOff>
    </xdr:from>
    <xdr:ext cx="4533900" cy="172227"/>
    <mc:AlternateContent xmlns:mc="http://schemas.openxmlformats.org/markup-compatibility/2006" xmlns:a14="http://schemas.microsoft.com/office/drawing/2010/main">
      <mc:Choice Requires="a14">
        <xdr:sp macro="" textlink="">
          <xdr:nvSpPr>
            <xdr:cNvPr id="114" name="Metin kutusu 113">
              <a:extLst>
                <a:ext uri="{FF2B5EF4-FFF2-40B4-BE49-F238E27FC236}">
                  <a16:creationId xmlns:a16="http://schemas.microsoft.com/office/drawing/2014/main" id="{00000000-0008-0000-0000-000072000000}"/>
                </a:ext>
              </a:extLst>
            </xdr:cNvPr>
            <xdr:cNvSpPr txBox="1"/>
          </xdr:nvSpPr>
          <xdr:spPr>
            <a:xfrm>
              <a:off x="11239500" y="24323040"/>
              <a:ext cx="4533900"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100" i="1">
                        <a:latin typeface="Cambria Math" panose="02040503050406030204" pitchFamily="18" charset="0"/>
                      </a:rPr>
                      <m:t>𝐵</m:t>
                    </m:r>
                    <m:r>
                      <a:rPr lang="tr-TR" sz="1100" b="0" i="1">
                        <a:latin typeface="Cambria Math" panose="02040503050406030204" pitchFamily="18" charset="0"/>
                      </a:rPr>
                      <m:t>𝑜𝑛𝑢𝑠</m:t>
                    </m:r>
                    <m:r>
                      <m:rPr>
                        <m:sty m:val="p"/>
                      </m:rPr>
                      <a:rPr lang="tr-TR" sz="1100" b="0" i="0">
                        <a:latin typeface="Cambria Math" panose="02040503050406030204" pitchFamily="18" charset="0"/>
                      </a:rPr>
                      <m:t>Point</m:t>
                    </m:r>
                    <m:r>
                      <a:rPr lang="en-US" sz="1100" i="0">
                        <a:latin typeface="Cambria Math" panose="02040503050406030204" pitchFamily="18" charset="0"/>
                      </a:rPr>
                      <m:t>=</m:t>
                    </m:r>
                    <m:r>
                      <m:rPr>
                        <m:sty m:val="p"/>
                      </m:rPr>
                      <a:rPr lang="tr-TR" sz="1100" b="0" i="0">
                        <a:latin typeface="Cambria Math" panose="02040503050406030204" pitchFamily="18" charset="0"/>
                      </a:rPr>
                      <m:t>Teacher</m:t>
                    </m:r>
                    <m:r>
                      <a:rPr lang="tr-TR" sz="1100" b="0" i="0">
                        <a:latin typeface="Cambria Math" panose="02040503050406030204" pitchFamily="18" charset="0"/>
                      </a:rPr>
                      <m:t> </m:t>
                    </m:r>
                    <m:r>
                      <m:rPr>
                        <m:sty m:val="p"/>
                      </m:rPr>
                      <a:rPr lang="tr-TR" sz="1100" b="0" i="0">
                        <a:latin typeface="Cambria Math" panose="02040503050406030204" pitchFamily="18" charset="0"/>
                      </a:rPr>
                      <m:t>can</m:t>
                    </m:r>
                    <m:r>
                      <a:rPr lang="tr-TR" sz="1100" b="0" i="0">
                        <a:latin typeface="Cambria Math" panose="02040503050406030204" pitchFamily="18" charset="0"/>
                      </a:rPr>
                      <m:t> </m:t>
                    </m:r>
                    <m:r>
                      <m:rPr>
                        <m:sty m:val="p"/>
                      </m:rPr>
                      <a:rPr lang="tr-TR" sz="1100" b="0" i="0">
                        <a:latin typeface="Cambria Math" panose="02040503050406030204" pitchFamily="18" charset="0"/>
                      </a:rPr>
                      <m:t>give</m:t>
                    </m:r>
                    <m:r>
                      <a:rPr lang="tr-TR" sz="1100" b="0" i="0">
                        <a:latin typeface="Cambria Math" panose="02040503050406030204" pitchFamily="18" charset="0"/>
                      </a:rPr>
                      <m:t> </m:t>
                    </m:r>
                    <m:r>
                      <m:rPr>
                        <m:sty m:val="p"/>
                      </m:rPr>
                      <a:rPr lang="tr-TR" sz="1100" b="0" i="0">
                        <a:latin typeface="Cambria Math" panose="02040503050406030204" pitchFamily="18" charset="0"/>
                      </a:rPr>
                      <m:t>students</m:t>
                    </m:r>
                    <m:r>
                      <a:rPr lang="tr-TR" sz="1100" b="0" i="0">
                        <a:latin typeface="Cambria Math" panose="02040503050406030204" pitchFamily="18" charset="0"/>
                      </a:rPr>
                      <m:t> </m:t>
                    </m:r>
                    <m:r>
                      <m:rPr>
                        <m:sty m:val="p"/>
                      </m:rPr>
                      <a:rPr lang="tr-TR" sz="1100" b="0" i="0">
                        <a:latin typeface="Cambria Math" panose="02040503050406030204" pitchFamily="18" charset="0"/>
                      </a:rPr>
                      <m:t>bonus</m:t>
                    </m:r>
                    <m:r>
                      <a:rPr lang="tr-TR" sz="1100" b="0" i="0">
                        <a:latin typeface="Cambria Math" panose="02040503050406030204" pitchFamily="18" charset="0"/>
                      </a:rPr>
                      <m:t> </m:t>
                    </m:r>
                    <m:r>
                      <m:rPr>
                        <m:sty m:val="p"/>
                      </m:rPr>
                      <a:rPr lang="tr-TR" sz="1100" b="0" i="0">
                        <a:latin typeface="Cambria Math" panose="02040503050406030204" pitchFamily="18" charset="0"/>
                      </a:rPr>
                      <m:t>point</m:t>
                    </m:r>
                    <m:r>
                      <a:rPr lang="tr-TR" sz="1100" b="0" i="0">
                        <a:latin typeface="Cambria Math" panose="02040503050406030204" pitchFamily="18" charset="0"/>
                      </a:rPr>
                      <m:t> </m:t>
                    </m:r>
                    <m:r>
                      <m:rPr>
                        <m:sty m:val="p"/>
                      </m:rPr>
                      <a:rPr lang="tr-TR" sz="1100" b="0" i="0">
                        <a:latin typeface="Cambria Math" panose="02040503050406030204" pitchFamily="18" charset="0"/>
                      </a:rPr>
                      <m:t>which</m:t>
                    </m:r>
                    <m:r>
                      <a:rPr lang="tr-TR" sz="1100" b="0" i="0">
                        <a:latin typeface="Cambria Math" panose="02040503050406030204" pitchFamily="18" charset="0"/>
                      </a:rPr>
                      <m:t> </m:t>
                    </m:r>
                    <m:r>
                      <m:rPr>
                        <m:sty m:val="p"/>
                      </m:rPr>
                      <a:rPr lang="tr-TR" sz="1100" b="0" i="0">
                        <a:latin typeface="Cambria Math" panose="02040503050406030204" pitchFamily="18" charset="0"/>
                      </a:rPr>
                      <m:t>affects</m:t>
                    </m:r>
                    <m:r>
                      <a:rPr lang="tr-TR" sz="1100" b="0" i="0">
                        <a:latin typeface="Cambria Math" panose="02040503050406030204" pitchFamily="18" charset="0"/>
                      </a:rPr>
                      <m:t> </m:t>
                    </m:r>
                    <m:r>
                      <m:rPr>
                        <m:sty m:val="p"/>
                      </m:rPr>
                      <a:rPr lang="tr-TR" sz="1100" b="0" i="0">
                        <a:latin typeface="Cambria Math" panose="02040503050406030204" pitchFamily="18" charset="0"/>
                      </a:rPr>
                      <m:t>greatly</m:t>
                    </m:r>
                    <m:r>
                      <a:rPr lang="tr-TR" sz="1100" b="0" i="0">
                        <a:latin typeface="Cambria Math" panose="02040503050406030204" pitchFamily="18" charset="0"/>
                      </a:rPr>
                      <m:t>.</m:t>
                    </m:r>
                  </m:oMath>
                </m:oMathPara>
              </a14:m>
              <a:endParaRPr lang="en-US" sz="1100"/>
            </a:p>
          </xdr:txBody>
        </xdr:sp>
      </mc:Choice>
      <mc:Fallback xmlns="">
        <xdr:sp macro="" textlink="">
          <xdr:nvSpPr>
            <xdr:cNvPr id="114" name="Metin kutusu 113">
              <a:extLst>
                <a:ext uri="{FF2B5EF4-FFF2-40B4-BE49-F238E27FC236}">
                  <a16:creationId xmlns:a16="http://schemas.microsoft.com/office/drawing/2014/main" id="{F04E0CDA-9B7D-4087-9B93-F89F5E3CA4B6}"/>
                </a:ext>
              </a:extLst>
            </xdr:cNvPr>
            <xdr:cNvSpPr txBox="1"/>
          </xdr:nvSpPr>
          <xdr:spPr>
            <a:xfrm>
              <a:off x="11239500" y="24323040"/>
              <a:ext cx="4533900"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en-US" sz="1100" i="0">
                  <a:latin typeface="Cambria Math" panose="02040503050406030204" pitchFamily="18" charset="0"/>
                </a:rPr>
                <a:t>𝐵</a:t>
              </a:r>
              <a:r>
                <a:rPr lang="tr-TR" sz="1100" b="0" i="0">
                  <a:latin typeface="Cambria Math" panose="02040503050406030204" pitchFamily="18" charset="0"/>
                </a:rPr>
                <a:t>𝑜𝑛𝑢𝑠Point</a:t>
              </a:r>
              <a:r>
                <a:rPr lang="en-US" sz="1100" i="0">
                  <a:latin typeface="Cambria Math" panose="02040503050406030204" pitchFamily="18" charset="0"/>
                </a:rPr>
                <a:t>=</a:t>
              </a:r>
              <a:r>
                <a:rPr lang="tr-TR" sz="1100" b="0" i="0">
                  <a:latin typeface="Cambria Math" panose="02040503050406030204" pitchFamily="18" charset="0"/>
                </a:rPr>
                <a:t>Teacher can give students bonus point which affects greatly.</a:t>
              </a:r>
              <a:endParaRPr lang="en-US" sz="1100"/>
            </a:p>
          </xdr:txBody>
        </xdr:sp>
      </mc:Fallback>
    </mc:AlternateContent>
    <xdr:clientData/>
  </xdr:oneCellAnchor>
  <xdr:oneCellAnchor>
    <xdr:from>
      <xdr:col>14</xdr:col>
      <xdr:colOff>111955</xdr:colOff>
      <xdr:row>140</xdr:row>
      <xdr:rowOff>168842</xdr:rowOff>
    </xdr:from>
    <xdr:ext cx="3469446" cy="437940"/>
    <mc:AlternateContent xmlns:mc="http://schemas.openxmlformats.org/markup-compatibility/2006" xmlns:a14="http://schemas.microsoft.com/office/drawing/2010/main">
      <mc:Choice Requires="a14">
        <xdr:sp macro="" textlink="">
          <xdr:nvSpPr>
            <xdr:cNvPr id="115" name="Metin kutusu 114">
              <a:extLst>
                <a:ext uri="{FF2B5EF4-FFF2-40B4-BE49-F238E27FC236}">
                  <a16:creationId xmlns:a16="http://schemas.microsoft.com/office/drawing/2014/main" id="{00000000-0008-0000-0000-000073000000}"/>
                </a:ext>
              </a:extLst>
            </xdr:cNvPr>
            <xdr:cNvSpPr txBox="1"/>
          </xdr:nvSpPr>
          <xdr:spPr>
            <a:xfrm>
              <a:off x="14887135" y="26640722"/>
              <a:ext cx="3469446" cy="43794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ctr">
              <a:spAutoFit/>
            </a:bodyPr>
            <a:lstStyle/>
            <a:p>
              <a:pPr/>
              <a14:m>
                <m:oMathPara xmlns:m="http://schemas.openxmlformats.org/officeDocument/2006/math">
                  <m:oMathParaPr>
                    <m:jc m:val="center"/>
                  </m:oMathParaPr>
                  <m:oMath xmlns:m="http://schemas.openxmlformats.org/officeDocument/2006/math">
                    <m:r>
                      <a:rPr lang="en-US" sz="1050" i="1">
                        <a:latin typeface="Cambria Math" panose="02040503050406030204" pitchFamily="18" charset="0"/>
                      </a:rPr>
                      <m:t>𝐷</m:t>
                    </m:r>
                    <m:r>
                      <a:rPr lang="tr-TR" sz="1050" b="0" i="1">
                        <a:latin typeface="Cambria Math" panose="02040503050406030204" pitchFamily="18" charset="0"/>
                      </a:rPr>
                      <m:t>Ç</m:t>
                    </m:r>
                    <m:d>
                      <m:dPr>
                        <m:ctrlPr>
                          <a:rPr lang="tr-TR" sz="1050" b="0" i="1">
                            <a:latin typeface="Cambria Math" panose="02040503050406030204" pitchFamily="18" charset="0"/>
                          </a:rPr>
                        </m:ctrlPr>
                      </m:dPr>
                      <m:e>
                        <m:r>
                          <a:rPr lang="tr-TR" sz="1050" b="0" i="1">
                            <a:latin typeface="Cambria Math" panose="02040503050406030204" pitchFamily="18" charset="0"/>
                          </a:rPr>
                          <m:t>𝑥</m:t>
                        </m:r>
                      </m:e>
                    </m:d>
                    <m:r>
                      <a:rPr lang="tr-TR" sz="1050" b="0" i="1">
                        <a:latin typeface="Cambria Math" panose="02040503050406030204" pitchFamily="18" charset="0"/>
                      </a:rPr>
                      <m:t>=</m:t>
                    </m:r>
                    <m:nary>
                      <m:naryPr>
                        <m:chr m:val="∑"/>
                        <m:limLoc m:val="undOvr"/>
                        <m:grow m:val="on"/>
                        <m:ctrlPr>
                          <a:rPr lang="en-US" sz="1050" i="1">
                            <a:solidFill>
                              <a:schemeClr val="tx1"/>
                            </a:solidFill>
                            <a:effectLst/>
                            <a:latin typeface="Cambria Math" panose="02040503050406030204" pitchFamily="18" charset="0"/>
                            <a:ea typeface="+mn-ea"/>
                            <a:cs typeface="+mn-cs"/>
                          </a:rPr>
                        </m:ctrlPr>
                      </m:naryPr>
                      <m:sub>
                        <m:r>
                          <a:rPr lang="en-US" sz="1050" i="1">
                            <a:solidFill>
                              <a:schemeClr val="tx1"/>
                            </a:solidFill>
                            <a:effectLst/>
                            <a:latin typeface="Cambria Math" panose="02040503050406030204" pitchFamily="18" charset="0"/>
                            <a:ea typeface="+mn-ea"/>
                            <a:cs typeface="+mn-cs"/>
                          </a:rPr>
                          <m:t>1</m:t>
                        </m:r>
                      </m:sub>
                      <m:sup>
                        <m:r>
                          <a:rPr lang="en-US" sz="1050" i="1">
                            <a:solidFill>
                              <a:schemeClr val="tx1"/>
                            </a:solidFill>
                            <a:effectLst/>
                            <a:latin typeface="Cambria Math" panose="02040503050406030204" pitchFamily="18" charset="0"/>
                            <a:ea typeface="+mn-ea"/>
                            <a:cs typeface="+mn-cs"/>
                          </a:rPr>
                          <m:t>𝑛</m:t>
                        </m:r>
                      </m:sup>
                      <m:e>
                        <m:sSub>
                          <m:sSubPr>
                            <m:ctrlPr>
                              <a:rPr lang="en-US" sz="1050" i="1">
                                <a:solidFill>
                                  <a:schemeClr val="tx1"/>
                                </a:solidFill>
                                <a:effectLst/>
                                <a:latin typeface="Cambria Math" panose="02040503050406030204" pitchFamily="18" charset="0"/>
                                <a:ea typeface="+mn-ea"/>
                                <a:cs typeface="+mn-cs"/>
                              </a:rPr>
                            </m:ctrlPr>
                          </m:sSubPr>
                          <m:e>
                            <m:r>
                              <a:rPr lang="en-US" sz="1050" i="1">
                                <a:solidFill>
                                  <a:schemeClr val="tx1"/>
                                </a:solidFill>
                                <a:effectLst/>
                                <a:latin typeface="Cambria Math" panose="02040503050406030204" pitchFamily="18" charset="0"/>
                                <a:ea typeface="+mn-ea"/>
                                <a:cs typeface="+mn-cs"/>
                              </a:rPr>
                              <m:t>𝑄</m:t>
                            </m:r>
                            <m:r>
                              <a:rPr lang="tr-TR" sz="1050" b="0" i="1">
                                <a:solidFill>
                                  <a:schemeClr val="tx1"/>
                                </a:solidFill>
                                <a:effectLst/>
                                <a:latin typeface="Cambria Math" panose="02040503050406030204" pitchFamily="18" charset="0"/>
                                <a:ea typeface="+mn-ea"/>
                                <a:cs typeface="+mn-cs"/>
                              </a:rPr>
                              <m:t>𝑢𝑠𝑡𝑖𝑜𝑛</m:t>
                            </m:r>
                          </m:e>
                          <m:sub>
                            <m:r>
                              <a:rPr lang="en-US" sz="1050" i="1">
                                <a:solidFill>
                                  <a:schemeClr val="tx1"/>
                                </a:solidFill>
                                <a:effectLst/>
                                <a:latin typeface="Cambria Math" panose="02040503050406030204" pitchFamily="18" charset="0"/>
                                <a:ea typeface="+mn-ea"/>
                                <a:cs typeface="+mn-cs"/>
                              </a:rPr>
                              <m:t>𝐷</m:t>
                            </m:r>
                            <m:r>
                              <a:rPr lang="tr-TR" sz="1050" b="0" i="1">
                                <a:solidFill>
                                  <a:schemeClr val="tx1"/>
                                </a:solidFill>
                                <a:effectLst/>
                                <a:latin typeface="Cambria Math" panose="02040503050406030204" pitchFamily="18" charset="0"/>
                                <a:ea typeface="+mn-ea"/>
                                <a:cs typeface="+mn-cs"/>
                              </a:rPr>
                              <m:t>Ç </m:t>
                            </m:r>
                            <m:r>
                              <a:rPr lang="tr-TR" sz="1050" b="0" i="1">
                                <a:solidFill>
                                  <a:schemeClr val="tx1"/>
                                </a:solidFill>
                                <a:effectLst/>
                                <a:latin typeface="Cambria Math" panose="02040503050406030204" pitchFamily="18" charset="0"/>
                                <a:ea typeface="+mn-ea"/>
                                <a:cs typeface="+mn-cs"/>
                              </a:rPr>
                              <m:t>𝑃𝑜𝑖𝑛𝑡</m:t>
                            </m:r>
                          </m:sub>
                        </m:sSub>
                      </m:e>
                    </m:nary>
                    <m:r>
                      <a:rPr lang="en-US" sz="1050" i="1">
                        <a:solidFill>
                          <a:schemeClr val="tx1"/>
                        </a:solidFill>
                        <a:effectLst/>
                        <a:latin typeface="Cambria Math" panose="02040503050406030204" pitchFamily="18" charset="0"/>
                        <a:ea typeface="+mn-ea"/>
                        <a:cs typeface="+mn-cs"/>
                      </a:rPr>
                      <m:t>∗</m:t>
                    </m:r>
                    <m:sSub>
                      <m:sSubPr>
                        <m:ctrlPr>
                          <a:rPr lang="en-US" sz="1050" i="1">
                            <a:solidFill>
                              <a:schemeClr val="tx1"/>
                            </a:solidFill>
                            <a:effectLst/>
                            <a:latin typeface="Cambria Math" panose="02040503050406030204" pitchFamily="18" charset="0"/>
                            <a:ea typeface="+mn-ea"/>
                            <a:cs typeface="+mn-cs"/>
                          </a:rPr>
                        </m:ctrlPr>
                      </m:sSubPr>
                      <m:e>
                        <m:r>
                          <a:rPr lang="tr-TR" sz="1050" b="0" i="1">
                            <a:solidFill>
                              <a:schemeClr val="tx1"/>
                            </a:solidFill>
                            <a:effectLst/>
                            <a:latin typeface="Cambria Math" panose="02040503050406030204" pitchFamily="18" charset="0"/>
                            <a:ea typeface="+mn-ea"/>
                            <a:cs typeface="+mn-cs"/>
                          </a:rPr>
                          <m:t>𝑄𝑢𝑒𝑠𝑡𝑖𝑜𝑛</m:t>
                        </m:r>
                      </m:e>
                      <m:sub>
                        <m:r>
                          <a:rPr lang="tr-TR" sz="1050" b="0" i="1">
                            <a:solidFill>
                              <a:schemeClr val="tx1"/>
                            </a:solidFill>
                            <a:effectLst/>
                            <a:latin typeface="Cambria Math" panose="02040503050406030204" pitchFamily="18" charset="0"/>
                            <a:ea typeface="+mn-ea"/>
                            <a:cs typeface="+mn-cs"/>
                          </a:rPr>
                          <m:t>𝑆𝑡𝑢𝑑𝑒𝑛𝑡</m:t>
                        </m:r>
                        <m:r>
                          <a:rPr lang="tr-TR" sz="1050" b="0" i="1">
                            <a:solidFill>
                              <a:schemeClr val="tx1"/>
                            </a:solidFill>
                            <a:effectLst/>
                            <a:latin typeface="Cambria Math" panose="02040503050406030204" pitchFamily="18" charset="0"/>
                            <a:ea typeface="+mn-ea"/>
                            <a:cs typeface="+mn-cs"/>
                          </a:rPr>
                          <m:t> </m:t>
                        </m:r>
                        <m:r>
                          <a:rPr lang="tr-TR" sz="1050" b="0" i="1">
                            <a:solidFill>
                              <a:schemeClr val="tx1"/>
                            </a:solidFill>
                            <a:effectLst/>
                            <a:latin typeface="Cambria Math" panose="02040503050406030204" pitchFamily="18" charset="0"/>
                            <a:ea typeface="+mn-ea"/>
                            <a:cs typeface="+mn-cs"/>
                          </a:rPr>
                          <m:t>𝐺𝑟𝑎𝑑𝑒</m:t>
                        </m:r>
                      </m:sub>
                    </m:sSub>
                  </m:oMath>
                </m:oMathPara>
              </a14:m>
              <a:endParaRPr lang="en-US" sz="1050"/>
            </a:p>
          </xdr:txBody>
        </xdr:sp>
      </mc:Choice>
      <mc:Fallback xmlns="">
        <xdr:sp macro="" textlink="">
          <xdr:nvSpPr>
            <xdr:cNvPr id="115" name="Metin kutusu 114">
              <a:extLst>
                <a:ext uri="{FF2B5EF4-FFF2-40B4-BE49-F238E27FC236}">
                  <a16:creationId xmlns:a16="http://schemas.microsoft.com/office/drawing/2014/main" id="{742C137D-839B-4ACA-98F7-8086C12E75EA}"/>
                </a:ext>
              </a:extLst>
            </xdr:cNvPr>
            <xdr:cNvSpPr txBox="1"/>
          </xdr:nvSpPr>
          <xdr:spPr>
            <a:xfrm>
              <a:off x="14887135" y="26640722"/>
              <a:ext cx="3469446" cy="43794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ctr">
              <a:spAutoFit/>
            </a:bodyPr>
            <a:lstStyle/>
            <a:p>
              <a:pPr/>
              <a:r>
                <a:rPr lang="en-US" sz="1050" i="0">
                  <a:latin typeface="Cambria Math" panose="02040503050406030204" pitchFamily="18" charset="0"/>
                </a:rPr>
                <a:t>𝐷</a:t>
              </a:r>
              <a:r>
                <a:rPr lang="tr-TR" sz="1050" b="0" i="0">
                  <a:latin typeface="Cambria Math" panose="02040503050406030204" pitchFamily="18" charset="0"/>
                </a:rPr>
                <a:t>Ç(𝑥)=</a:t>
              </a:r>
              <a:r>
                <a:rPr lang="en-US" sz="1050" i="0">
                  <a:solidFill>
                    <a:schemeClr val="tx1"/>
                  </a:solidFill>
                  <a:effectLst/>
                  <a:latin typeface="Cambria Math" panose="02040503050406030204" pitchFamily="18" charset="0"/>
                  <a:ea typeface="+mn-ea"/>
                  <a:cs typeface="+mn-cs"/>
                </a:rPr>
                <a:t>∑129_1^𝑛</a:t>
              </a:r>
              <a:r>
                <a:rPr lang="tr-TR" sz="1050" b="0" i="0">
                  <a:solidFill>
                    <a:schemeClr val="tx1"/>
                  </a:solidFill>
                  <a:effectLst/>
                  <a:latin typeface="Cambria Math" panose="02040503050406030204" pitchFamily="18" charset="0"/>
                  <a:ea typeface="+mn-ea"/>
                  <a:cs typeface="+mn-cs"/>
                </a:rPr>
                <a:t>▒</a:t>
              </a:r>
              <a:r>
                <a:rPr lang="en-US" sz="1050" b="0" i="0">
                  <a:solidFill>
                    <a:schemeClr val="tx1"/>
                  </a:solidFill>
                  <a:effectLst/>
                  <a:latin typeface="Cambria Math" panose="02040503050406030204" pitchFamily="18" charset="0"/>
                  <a:ea typeface="+mn-ea"/>
                  <a:cs typeface="+mn-cs"/>
                </a:rPr>
                <a:t>〖</a:t>
              </a:r>
              <a:r>
                <a:rPr lang="en-US" sz="1050" i="0">
                  <a:solidFill>
                    <a:schemeClr val="tx1"/>
                  </a:solidFill>
                  <a:effectLst/>
                  <a:latin typeface="Cambria Math" panose="02040503050406030204" pitchFamily="18" charset="0"/>
                  <a:ea typeface="+mn-ea"/>
                  <a:cs typeface="+mn-cs"/>
                </a:rPr>
                <a:t>𝑄</a:t>
              </a:r>
              <a:r>
                <a:rPr lang="tr-TR" sz="1050" b="0" i="0">
                  <a:solidFill>
                    <a:schemeClr val="tx1"/>
                  </a:solidFill>
                  <a:effectLst/>
                  <a:latin typeface="Cambria Math" panose="02040503050406030204" pitchFamily="18" charset="0"/>
                  <a:ea typeface="+mn-ea"/>
                  <a:cs typeface="+mn-cs"/>
                </a:rPr>
                <a:t>𝑢𝑠𝑡𝑖𝑜𝑛</a:t>
              </a:r>
              <a:r>
                <a:rPr lang="en-US" sz="1050" b="0" i="0">
                  <a:solidFill>
                    <a:schemeClr val="tx1"/>
                  </a:solidFill>
                  <a:effectLst/>
                  <a:latin typeface="Cambria Math" panose="02040503050406030204" pitchFamily="18" charset="0"/>
                  <a:ea typeface="+mn-ea"/>
                  <a:cs typeface="+mn-cs"/>
                </a:rPr>
                <a:t>〗_(</a:t>
              </a:r>
              <a:r>
                <a:rPr lang="en-US" sz="1050" i="0">
                  <a:solidFill>
                    <a:schemeClr val="tx1"/>
                  </a:solidFill>
                  <a:effectLst/>
                  <a:latin typeface="Cambria Math" panose="02040503050406030204" pitchFamily="18" charset="0"/>
                  <a:ea typeface="+mn-ea"/>
                  <a:cs typeface="+mn-cs"/>
                </a:rPr>
                <a:t>𝐷</a:t>
              </a:r>
              <a:r>
                <a:rPr lang="tr-TR" sz="1050" b="0" i="0">
                  <a:solidFill>
                    <a:schemeClr val="tx1"/>
                  </a:solidFill>
                  <a:effectLst/>
                  <a:latin typeface="Cambria Math" panose="02040503050406030204" pitchFamily="18" charset="0"/>
                  <a:ea typeface="+mn-ea"/>
                  <a:cs typeface="+mn-cs"/>
                </a:rPr>
                <a:t>Ç 𝑃𝑜𝑖𝑛𝑡</a:t>
              </a:r>
              <a:r>
                <a:rPr lang="en-US" sz="1050" b="0" i="0">
                  <a:solidFill>
                    <a:schemeClr val="tx1"/>
                  </a:solidFill>
                  <a:effectLst/>
                  <a:latin typeface="Cambria Math" panose="02040503050406030204" pitchFamily="18" charset="0"/>
                  <a:ea typeface="+mn-ea"/>
                  <a:cs typeface="+mn-cs"/>
                </a:rPr>
                <a:t>)</a:t>
              </a:r>
              <a:r>
                <a:rPr lang="tr-TR" sz="1050" b="0" i="0">
                  <a:solidFill>
                    <a:schemeClr val="tx1"/>
                  </a:solidFill>
                  <a:effectLst/>
                  <a:latin typeface="Cambria Math" panose="02040503050406030204" pitchFamily="18" charset="0"/>
                  <a:ea typeface="+mn-ea"/>
                  <a:cs typeface="+mn-cs"/>
                </a:rPr>
                <a:t> </a:t>
              </a:r>
              <a:r>
                <a:rPr lang="en-US" sz="1050" i="0">
                  <a:solidFill>
                    <a:schemeClr val="tx1"/>
                  </a:solidFill>
                  <a:effectLst/>
                  <a:latin typeface="Cambria Math" panose="02040503050406030204" pitchFamily="18" charset="0"/>
                  <a:ea typeface="+mn-ea"/>
                  <a:cs typeface="+mn-cs"/>
                </a:rPr>
                <a:t>∗〖</a:t>
              </a:r>
              <a:r>
                <a:rPr lang="tr-TR" sz="1050" b="0" i="0">
                  <a:solidFill>
                    <a:schemeClr val="tx1"/>
                  </a:solidFill>
                  <a:effectLst/>
                  <a:latin typeface="Cambria Math" panose="02040503050406030204" pitchFamily="18" charset="0"/>
                  <a:ea typeface="+mn-ea"/>
                  <a:cs typeface="+mn-cs"/>
                </a:rPr>
                <a:t>𝑄𝑢𝑒𝑠𝑡𝑖𝑜𝑛</a:t>
              </a:r>
              <a:r>
                <a:rPr lang="en-US" sz="1050" b="0" i="0">
                  <a:solidFill>
                    <a:schemeClr val="tx1"/>
                  </a:solidFill>
                  <a:effectLst/>
                  <a:latin typeface="Cambria Math" panose="02040503050406030204" pitchFamily="18" charset="0"/>
                  <a:ea typeface="+mn-ea"/>
                  <a:cs typeface="+mn-cs"/>
                </a:rPr>
                <a:t>〗_(</a:t>
              </a:r>
              <a:r>
                <a:rPr lang="tr-TR" sz="1050" b="0" i="0">
                  <a:solidFill>
                    <a:schemeClr val="tx1"/>
                  </a:solidFill>
                  <a:effectLst/>
                  <a:latin typeface="Cambria Math" panose="02040503050406030204" pitchFamily="18" charset="0"/>
                  <a:ea typeface="+mn-ea"/>
                  <a:cs typeface="+mn-cs"/>
                </a:rPr>
                <a:t>𝑆𝑡𝑢𝑑𝑒𝑛𝑡 𝐺𝑟𝑎𝑑𝑒</a:t>
              </a:r>
              <a:r>
                <a:rPr lang="en-US" sz="1050" b="0" i="0">
                  <a:solidFill>
                    <a:schemeClr val="tx1"/>
                  </a:solidFill>
                  <a:effectLst/>
                  <a:latin typeface="Cambria Math" panose="02040503050406030204" pitchFamily="18" charset="0"/>
                  <a:ea typeface="+mn-ea"/>
                  <a:cs typeface="+mn-cs"/>
                </a:rPr>
                <a:t>)</a:t>
              </a:r>
              <a:endParaRPr lang="en-US" sz="1050"/>
            </a:p>
          </xdr:txBody>
        </xdr:sp>
      </mc:Fallback>
    </mc:AlternateContent>
    <xdr:clientData/>
  </xdr:oneCellAnchor>
  <xdr:oneCellAnchor>
    <xdr:from>
      <xdr:col>14</xdr:col>
      <xdr:colOff>296008</xdr:colOff>
      <xdr:row>143</xdr:row>
      <xdr:rowOff>178777</xdr:rowOff>
    </xdr:from>
    <xdr:ext cx="3055837" cy="184731"/>
    <mc:AlternateContent xmlns:mc="http://schemas.openxmlformats.org/markup-compatibility/2006" xmlns:a14="http://schemas.microsoft.com/office/drawing/2010/main">
      <mc:Choice Requires="a14">
        <xdr:sp macro="" textlink="">
          <xdr:nvSpPr>
            <xdr:cNvPr id="116" name="Metin kutusu 115">
              <a:extLst>
                <a:ext uri="{FF2B5EF4-FFF2-40B4-BE49-F238E27FC236}">
                  <a16:creationId xmlns:a16="http://schemas.microsoft.com/office/drawing/2014/main" id="{00000000-0008-0000-0000-000074000000}"/>
                </a:ext>
              </a:extLst>
            </xdr:cNvPr>
            <xdr:cNvSpPr txBox="1"/>
          </xdr:nvSpPr>
          <xdr:spPr>
            <a:xfrm>
              <a:off x="15071188" y="27222157"/>
              <a:ext cx="3055837" cy="18473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100" i="1">
                            <a:solidFill>
                              <a:schemeClr val="tx1"/>
                            </a:solidFill>
                            <a:effectLst/>
                            <a:latin typeface="Cambria Math" panose="02040503050406030204" pitchFamily="18" charset="0"/>
                            <a:ea typeface="+mn-ea"/>
                            <a:cs typeface="+mn-cs"/>
                          </a:rPr>
                        </m:ctrlPr>
                      </m:sSubPr>
                      <m:e>
                        <m:r>
                          <a:rPr lang="en-US" sz="1100" i="1">
                            <a:solidFill>
                              <a:schemeClr val="tx1"/>
                            </a:solidFill>
                            <a:effectLst/>
                            <a:latin typeface="Cambria Math" panose="02040503050406030204" pitchFamily="18" charset="0"/>
                            <a:ea typeface="+mn-ea"/>
                            <a:cs typeface="+mn-cs"/>
                          </a:rPr>
                          <m:t>𝑄</m:t>
                        </m:r>
                        <m:r>
                          <a:rPr lang="tr-TR" sz="1100" b="0" i="1">
                            <a:solidFill>
                              <a:schemeClr val="tx1"/>
                            </a:solidFill>
                            <a:effectLst/>
                            <a:latin typeface="Cambria Math" panose="02040503050406030204" pitchFamily="18" charset="0"/>
                            <a:ea typeface="+mn-ea"/>
                            <a:cs typeface="+mn-cs"/>
                          </a:rPr>
                          <m:t>𝑢𝑠𝑡𝑖𝑜𝑛</m:t>
                        </m:r>
                      </m:e>
                      <m:sub>
                        <m:r>
                          <a:rPr lang="en-US" sz="1100" i="1">
                            <a:solidFill>
                              <a:schemeClr val="tx1"/>
                            </a:solidFill>
                            <a:effectLst/>
                            <a:latin typeface="Cambria Math" panose="02040503050406030204" pitchFamily="18" charset="0"/>
                            <a:ea typeface="+mn-ea"/>
                            <a:cs typeface="+mn-cs"/>
                          </a:rPr>
                          <m:t>𝐷</m:t>
                        </m:r>
                        <m:r>
                          <a:rPr lang="tr-TR" sz="1100" b="0" i="1">
                            <a:solidFill>
                              <a:schemeClr val="tx1"/>
                            </a:solidFill>
                            <a:effectLst/>
                            <a:latin typeface="Cambria Math" panose="02040503050406030204" pitchFamily="18" charset="0"/>
                            <a:ea typeface="+mn-ea"/>
                            <a:cs typeface="+mn-cs"/>
                          </a:rPr>
                          <m:t>Ç </m:t>
                        </m:r>
                        <m:r>
                          <a:rPr lang="tr-TR" sz="1100" b="0" i="1">
                            <a:solidFill>
                              <a:schemeClr val="tx1"/>
                            </a:solidFill>
                            <a:effectLst/>
                            <a:latin typeface="Cambria Math" panose="02040503050406030204" pitchFamily="18" charset="0"/>
                            <a:ea typeface="+mn-ea"/>
                            <a:cs typeface="+mn-cs"/>
                          </a:rPr>
                          <m:t>𝑃𝑜𝑖𝑛𝑡</m:t>
                        </m:r>
                      </m:sub>
                    </m:sSub>
                    <m:r>
                      <a:rPr lang="en-US" sz="1100" i="0">
                        <a:latin typeface="Cambria Math" panose="02040503050406030204" pitchFamily="18" charset="0"/>
                      </a:rPr>
                      <m:t>=</m:t>
                    </m:r>
                    <m:r>
                      <m:rPr>
                        <m:sty m:val="p"/>
                      </m:rPr>
                      <a:rPr lang="tr-TR" sz="1100" b="0" i="0">
                        <a:latin typeface="Cambria Math" panose="02040503050406030204" pitchFamily="18" charset="0"/>
                      </a:rPr>
                      <m:t>assigned</m:t>
                    </m:r>
                    <m:r>
                      <a:rPr lang="tr-TR" sz="1100" b="0" i="0">
                        <a:latin typeface="Cambria Math" panose="02040503050406030204" pitchFamily="18" charset="0"/>
                      </a:rPr>
                      <m:t> </m:t>
                    </m:r>
                    <m:r>
                      <m:rPr>
                        <m:sty m:val="p"/>
                      </m:rPr>
                      <a:rPr lang="tr-TR" sz="1100" b="0" i="0">
                        <a:latin typeface="Cambria Math" panose="02040503050406030204" pitchFamily="18" charset="0"/>
                      </a:rPr>
                      <m:t>D</m:t>
                    </m:r>
                    <m:r>
                      <a:rPr lang="tr-TR" sz="1100" b="0" i="0">
                        <a:latin typeface="Cambria Math" panose="02040503050406030204" pitchFamily="18" charset="0"/>
                      </a:rPr>
                      <m:t>Ç </m:t>
                    </m:r>
                    <m:r>
                      <m:rPr>
                        <m:sty m:val="p"/>
                      </m:rPr>
                      <a:rPr lang="tr-TR" sz="1100" b="0" i="0">
                        <a:latin typeface="Cambria Math" panose="02040503050406030204" pitchFamily="18" charset="0"/>
                      </a:rPr>
                      <m:t>point</m:t>
                    </m:r>
                    <m:r>
                      <a:rPr lang="tr-TR" sz="1100" b="0" i="0">
                        <a:latin typeface="Cambria Math" panose="02040503050406030204" pitchFamily="18" charset="0"/>
                      </a:rPr>
                      <m:t> </m:t>
                    </m:r>
                    <m:r>
                      <m:rPr>
                        <m:sty m:val="p"/>
                      </m:rPr>
                      <a:rPr lang="tr-TR" sz="1100" b="0" i="0">
                        <a:latin typeface="Cambria Math" panose="02040503050406030204" pitchFamily="18" charset="0"/>
                      </a:rPr>
                      <m:t>for</m:t>
                    </m:r>
                    <m:r>
                      <a:rPr lang="tr-TR" sz="1100" b="0" i="0">
                        <a:latin typeface="Cambria Math" panose="02040503050406030204" pitchFamily="18" charset="0"/>
                      </a:rPr>
                      <m:t> </m:t>
                    </m:r>
                    <m:r>
                      <m:rPr>
                        <m:sty m:val="p"/>
                      </m:rPr>
                      <a:rPr lang="tr-TR" sz="1100" b="0" i="0">
                        <a:latin typeface="Cambria Math" panose="02040503050406030204" pitchFamily="18" charset="0"/>
                      </a:rPr>
                      <m:t>questions</m:t>
                    </m:r>
                    <m:r>
                      <a:rPr lang="tr-TR" sz="1100" b="0" i="0">
                        <a:latin typeface="Cambria Math" panose="02040503050406030204" pitchFamily="18" charset="0"/>
                      </a:rPr>
                      <m:t>.</m:t>
                    </m:r>
                  </m:oMath>
                </m:oMathPara>
              </a14:m>
              <a:endParaRPr lang="en-US" sz="1100"/>
            </a:p>
          </xdr:txBody>
        </xdr:sp>
      </mc:Choice>
      <mc:Fallback xmlns="">
        <xdr:sp macro="" textlink="">
          <xdr:nvSpPr>
            <xdr:cNvPr id="116" name="Metin kutusu 115">
              <a:extLst>
                <a:ext uri="{FF2B5EF4-FFF2-40B4-BE49-F238E27FC236}">
                  <a16:creationId xmlns:a16="http://schemas.microsoft.com/office/drawing/2014/main" id="{511990DE-7894-4BB5-8ED3-D1FC2A438CD1}"/>
                </a:ext>
              </a:extLst>
            </xdr:cNvPr>
            <xdr:cNvSpPr txBox="1"/>
          </xdr:nvSpPr>
          <xdr:spPr>
            <a:xfrm>
              <a:off x="15071188" y="27222157"/>
              <a:ext cx="3055837" cy="18473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100" i="0">
                  <a:solidFill>
                    <a:schemeClr val="tx1"/>
                  </a:solidFill>
                  <a:effectLst/>
                  <a:latin typeface="Cambria Math" panose="02040503050406030204" pitchFamily="18" charset="0"/>
                  <a:ea typeface="+mn-ea"/>
                  <a:cs typeface="+mn-cs"/>
                </a:rPr>
                <a:t>〖𝑄</a:t>
              </a:r>
              <a:r>
                <a:rPr lang="tr-TR" sz="1100" b="0" i="0">
                  <a:solidFill>
                    <a:schemeClr val="tx1"/>
                  </a:solidFill>
                  <a:effectLst/>
                  <a:latin typeface="Cambria Math" panose="02040503050406030204" pitchFamily="18" charset="0"/>
                  <a:ea typeface="+mn-ea"/>
                  <a:cs typeface="+mn-cs"/>
                </a:rPr>
                <a:t>𝑢𝑠𝑡𝑖𝑜𝑛</a:t>
              </a:r>
              <a:r>
                <a:rPr lang="en-US" sz="1100" b="0" i="0">
                  <a:solidFill>
                    <a:schemeClr val="tx1"/>
                  </a:solidFill>
                  <a:effectLst/>
                  <a:latin typeface="Cambria Math" panose="02040503050406030204" pitchFamily="18" charset="0"/>
                  <a:ea typeface="+mn-ea"/>
                  <a:cs typeface="+mn-cs"/>
                </a:rPr>
                <a:t>〗_(</a:t>
              </a:r>
              <a:r>
                <a:rPr lang="en-US" sz="1100" i="0">
                  <a:solidFill>
                    <a:schemeClr val="tx1"/>
                  </a:solidFill>
                  <a:effectLst/>
                  <a:latin typeface="Cambria Math" panose="02040503050406030204" pitchFamily="18" charset="0"/>
                  <a:ea typeface="+mn-ea"/>
                  <a:cs typeface="+mn-cs"/>
                </a:rPr>
                <a:t>𝐷</a:t>
              </a:r>
              <a:r>
                <a:rPr lang="tr-TR" sz="1100" b="0" i="0">
                  <a:solidFill>
                    <a:schemeClr val="tx1"/>
                  </a:solidFill>
                  <a:effectLst/>
                  <a:latin typeface="Cambria Math" panose="02040503050406030204" pitchFamily="18" charset="0"/>
                  <a:ea typeface="+mn-ea"/>
                  <a:cs typeface="+mn-cs"/>
                </a:rPr>
                <a:t>Ç 𝑃𝑜𝑖𝑛𝑡</a:t>
              </a:r>
              <a:r>
                <a:rPr lang="en-US" sz="1100" b="0" i="0">
                  <a:solidFill>
                    <a:schemeClr val="tx1"/>
                  </a:solidFill>
                  <a:effectLst/>
                  <a:latin typeface="Cambria Math" panose="02040503050406030204" pitchFamily="18" charset="0"/>
                  <a:ea typeface="+mn-ea"/>
                  <a:cs typeface="+mn-cs"/>
                </a:rPr>
                <a:t>)</a:t>
              </a:r>
              <a:r>
                <a:rPr lang="en-US" sz="1100" i="0">
                  <a:latin typeface="Cambria Math" panose="02040503050406030204" pitchFamily="18" charset="0"/>
                </a:rPr>
                <a:t>=</a:t>
              </a:r>
              <a:r>
                <a:rPr lang="tr-TR" sz="1100" b="0" i="0">
                  <a:latin typeface="Cambria Math" panose="02040503050406030204" pitchFamily="18" charset="0"/>
                </a:rPr>
                <a:t>assigned DÇ point for questions.</a:t>
              </a:r>
              <a:endParaRPr lang="en-US" sz="1100"/>
            </a:p>
          </xdr:txBody>
        </xdr:sp>
      </mc:Fallback>
    </mc:AlternateContent>
    <xdr:clientData/>
  </xdr:oneCellAnchor>
  <xdr:oneCellAnchor>
    <xdr:from>
      <xdr:col>13</xdr:col>
      <xdr:colOff>844063</xdr:colOff>
      <xdr:row>145</xdr:row>
      <xdr:rowOff>164124</xdr:rowOff>
    </xdr:from>
    <xdr:ext cx="3856890" cy="172227"/>
    <mc:AlternateContent xmlns:mc="http://schemas.openxmlformats.org/markup-compatibility/2006" xmlns:a14="http://schemas.microsoft.com/office/drawing/2010/main">
      <mc:Choice Requires="a14">
        <xdr:sp macro="" textlink="">
          <xdr:nvSpPr>
            <xdr:cNvPr id="117" name="Metin kutusu 116">
              <a:extLst>
                <a:ext uri="{FF2B5EF4-FFF2-40B4-BE49-F238E27FC236}">
                  <a16:creationId xmlns:a16="http://schemas.microsoft.com/office/drawing/2014/main" id="{00000000-0008-0000-0000-000075000000}"/>
                </a:ext>
              </a:extLst>
            </xdr:cNvPr>
            <xdr:cNvSpPr txBox="1"/>
          </xdr:nvSpPr>
          <xdr:spPr>
            <a:xfrm>
              <a:off x="14750563" y="27580884"/>
              <a:ext cx="3856890"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100" i="1">
                            <a:solidFill>
                              <a:schemeClr val="tx1"/>
                            </a:solidFill>
                            <a:effectLst/>
                            <a:latin typeface="Cambria Math" panose="02040503050406030204" pitchFamily="18" charset="0"/>
                            <a:ea typeface="+mn-ea"/>
                            <a:cs typeface="+mn-cs"/>
                          </a:rPr>
                        </m:ctrlPr>
                      </m:sSubPr>
                      <m:e>
                        <m:r>
                          <a:rPr lang="en-US" sz="1100" i="1">
                            <a:solidFill>
                              <a:schemeClr val="tx1"/>
                            </a:solidFill>
                            <a:effectLst/>
                            <a:latin typeface="Cambria Math" panose="02040503050406030204" pitchFamily="18" charset="0"/>
                            <a:ea typeface="+mn-ea"/>
                            <a:cs typeface="+mn-cs"/>
                          </a:rPr>
                          <m:t>𝑄</m:t>
                        </m:r>
                        <m:r>
                          <a:rPr lang="tr-TR" sz="1100" b="0" i="1">
                            <a:solidFill>
                              <a:schemeClr val="tx1"/>
                            </a:solidFill>
                            <a:effectLst/>
                            <a:latin typeface="Cambria Math" panose="02040503050406030204" pitchFamily="18" charset="0"/>
                            <a:ea typeface="+mn-ea"/>
                            <a:cs typeface="+mn-cs"/>
                          </a:rPr>
                          <m:t>𝑢𝑠𝑡𝑖𝑜𝑛</m:t>
                        </m:r>
                      </m:e>
                      <m:sub>
                        <m:r>
                          <a:rPr lang="tr-TR" sz="1100" b="0" i="1">
                            <a:solidFill>
                              <a:schemeClr val="tx1"/>
                            </a:solidFill>
                            <a:effectLst/>
                            <a:latin typeface="Cambria Math" panose="02040503050406030204" pitchFamily="18" charset="0"/>
                            <a:ea typeface="+mn-ea"/>
                            <a:cs typeface="+mn-cs"/>
                          </a:rPr>
                          <m:t>𝑆𝑡𝑢𝑑𝑒𝑛𝑡</m:t>
                        </m:r>
                        <m:r>
                          <a:rPr lang="tr-TR" sz="1100" b="0" i="1">
                            <a:solidFill>
                              <a:schemeClr val="tx1"/>
                            </a:solidFill>
                            <a:effectLst/>
                            <a:latin typeface="Cambria Math" panose="02040503050406030204" pitchFamily="18" charset="0"/>
                            <a:ea typeface="+mn-ea"/>
                            <a:cs typeface="+mn-cs"/>
                          </a:rPr>
                          <m:t> </m:t>
                        </m:r>
                        <m:r>
                          <a:rPr lang="tr-TR" sz="1100" b="0" i="1">
                            <a:solidFill>
                              <a:schemeClr val="tx1"/>
                            </a:solidFill>
                            <a:effectLst/>
                            <a:latin typeface="Cambria Math" panose="02040503050406030204" pitchFamily="18" charset="0"/>
                            <a:ea typeface="+mn-ea"/>
                            <a:cs typeface="+mn-cs"/>
                          </a:rPr>
                          <m:t>𝐺𝑟𝑎𝑑𝑒</m:t>
                        </m:r>
                      </m:sub>
                    </m:sSub>
                    <m:r>
                      <a:rPr lang="en-US" sz="1100" i="0">
                        <a:latin typeface="Cambria Math" panose="02040503050406030204" pitchFamily="18" charset="0"/>
                      </a:rPr>
                      <m:t>=</m:t>
                    </m:r>
                    <m:r>
                      <m:rPr>
                        <m:sty m:val="p"/>
                      </m:rPr>
                      <a:rPr lang="tr-TR" sz="1100" b="0" i="0">
                        <a:latin typeface="Cambria Math" panose="02040503050406030204" pitchFamily="18" charset="0"/>
                      </a:rPr>
                      <m:t>Number</m:t>
                    </m:r>
                    <m:r>
                      <a:rPr lang="tr-TR" sz="1100" b="0" i="0">
                        <a:latin typeface="Cambria Math" panose="02040503050406030204" pitchFamily="18" charset="0"/>
                      </a:rPr>
                      <m:t> </m:t>
                    </m:r>
                    <m:r>
                      <m:rPr>
                        <m:sty m:val="p"/>
                      </m:rPr>
                      <a:rPr lang="tr-TR" sz="1100" b="0" i="0">
                        <a:latin typeface="Cambria Math" panose="02040503050406030204" pitchFamily="18" charset="0"/>
                      </a:rPr>
                      <m:t>of</m:t>
                    </m:r>
                    <m:r>
                      <a:rPr lang="tr-TR" sz="1100" b="0" i="0">
                        <a:latin typeface="Cambria Math" panose="02040503050406030204" pitchFamily="18" charset="0"/>
                      </a:rPr>
                      <m:t> </m:t>
                    </m:r>
                    <m:r>
                      <m:rPr>
                        <m:sty m:val="p"/>
                      </m:rPr>
                      <a:rPr lang="tr-TR" sz="1100" b="0" i="0">
                        <a:latin typeface="Cambria Math" panose="02040503050406030204" pitchFamily="18" charset="0"/>
                      </a:rPr>
                      <m:t>points</m:t>
                    </m:r>
                    <m:r>
                      <a:rPr lang="tr-TR" sz="1100" b="0" i="0">
                        <a:latin typeface="Cambria Math" panose="02040503050406030204" pitchFamily="18" charset="0"/>
                      </a:rPr>
                      <m:t> </m:t>
                    </m:r>
                    <m:r>
                      <m:rPr>
                        <m:sty m:val="p"/>
                      </m:rPr>
                      <a:rPr lang="tr-TR" sz="1100" b="0" i="0">
                        <a:latin typeface="Cambria Math" panose="02040503050406030204" pitchFamily="18" charset="0"/>
                      </a:rPr>
                      <m:t>got</m:t>
                    </m:r>
                    <m:r>
                      <a:rPr lang="tr-TR" sz="1100" b="0" i="0">
                        <a:latin typeface="Cambria Math" panose="02040503050406030204" pitchFamily="18" charset="0"/>
                      </a:rPr>
                      <m:t> </m:t>
                    </m:r>
                    <m:r>
                      <m:rPr>
                        <m:sty m:val="p"/>
                      </m:rPr>
                      <a:rPr lang="tr-TR" sz="1100" b="0" i="0">
                        <a:latin typeface="Cambria Math" panose="02040503050406030204" pitchFamily="18" charset="0"/>
                      </a:rPr>
                      <m:t>from</m:t>
                    </m:r>
                    <m:r>
                      <a:rPr lang="tr-TR" sz="1100" b="0" i="0">
                        <a:latin typeface="Cambria Math" panose="02040503050406030204" pitchFamily="18" charset="0"/>
                      </a:rPr>
                      <m:t> </m:t>
                    </m:r>
                    <m:r>
                      <m:rPr>
                        <m:sty m:val="p"/>
                      </m:rPr>
                      <a:rPr lang="tr-TR" sz="1100" b="0" i="0">
                        <a:latin typeface="Cambria Math" panose="02040503050406030204" pitchFamily="18" charset="0"/>
                      </a:rPr>
                      <m:t>Question</m:t>
                    </m:r>
                    <m:r>
                      <a:rPr lang="tr-TR" sz="1100" b="0" i="0">
                        <a:latin typeface="Cambria Math" panose="02040503050406030204" pitchFamily="18" charset="0"/>
                      </a:rPr>
                      <m:t>(</m:t>
                    </m:r>
                    <m:r>
                      <m:rPr>
                        <m:sty m:val="p"/>
                      </m:rPr>
                      <a:rPr lang="tr-TR" sz="1100" b="0" i="0">
                        <a:latin typeface="Cambria Math" panose="02040503050406030204" pitchFamily="18" charset="0"/>
                      </a:rPr>
                      <m:t>n</m:t>
                    </m:r>
                    <m:r>
                      <a:rPr lang="tr-TR" sz="1100" b="0" i="0">
                        <a:latin typeface="Cambria Math" panose="02040503050406030204" pitchFamily="18" charset="0"/>
                      </a:rPr>
                      <m:t>).</m:t>
                    </m:r>
                  </m:oMath>
                </m:oMathPara>
              </a14:m>
              <a:endParaRPr lang="en-US" sz="1100"/>
            </a:p>
          </xdr:txBody>
        </xdr:sp>
      </mc:Choice>
      <mc:Fallback xmlns="">
        <xdr:sp macro="" textlink="">
          <xdr:nvSpPr>
            <xdr:cNvPr id="117" name="Metin kutusu 116">
              <a:extLst>
                <a:ext uri="{FF2B5EF4-FFF2-40B4-BE49-F238E27FC236}">
                  <a16:creationId xmlns:a16="http://schemas.microsoft.com/office/drawing/2014/main" id="{B906DA82-3E81-4ADA-B5FC-ED8FDA130A0E}"/>
                </a:ext>
              </a:extLst>
            </xdr:cNvPr>
            <xdr:cNvSpPr txBox="1"/>
          </xdr:nvSpPr>
          <xdr:spPr>
            <a:xfrm>
              <a:off x="14750563" y="27580884"/>
              <a:ext cx="3856890"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100" i="0">
                  <a:solidFill>
                    <a:schemeClr val="tx1"/>
                  </a:solidFill>
                  <a:effectLst/>
                  <a:latin typeface="Cambria Math" panose="02040503050406030204" pitchFamily="18" charset="0"/>
                  <a:ea typeface="+mn-ea"/>
                  <a:cs typeface="+mn-cs"/>
                </a:rPr>
                <a:t>〖𝑄</a:t>
              </a:r>
              <a:r>
                <a:rPr lang="tr-TR" sz="1100" b="0" i="0">
                  <a:solidFill>
                    <a:schemeClr val="tx1"/>
                  </a:solidFill>
                  <a:effectLst/>
                  <a:latin typeface="Cambria Math" panose="02040503050406030204" pitchFamily="18" charset="0"/>
                  <a:ea typeface="+mn-ea"/>
                  <a:cs typeface="+mn-cs"/>
                </a:rPr>
                <a:t>𝑢𝑠𝑡𝑖𝑜𝑛</a:t>
              </a:r>
              <a:r>
                <a:rPr lang="en-US" sz="1100" b="0" i="0">
                  <a:solidFill>
                    <a:schemeClr val="tx1"/>
                  </a:solidFill>
                  <a:effectLst/>
                  <a:latin typeface="Cambria Math" panose="02040503050406030204" pitchFamily="18" charset="0"/>
                  <a:ea typeface="+mn-ea"/>
                  <a:cs typeface="+mn-cs"/>
                </a:rPr>
                <a:t>〗_(</a:t>
              </a:r>
              <a:r>
                <a:rPr lang="tr-TR" sz="1100" b="0" i="0">
                  <a:solidFill>
                    <a:schemeClr val="tx1"/>
                  </a:solidFill>
                  <a:effectLst/>
                  <a:latin typeface="Cambria Math" panose="02040503050406030204" pitchFamily="18" charset="0"/>
                  <a:ea typeface="+mn-ea"/>
                  <a:cs typeface="+mn-cs"/>
                </a:rPr>
                <a:t>𝑆𝑡𝑢𝑑𝑒𝑛𝑡 𝐺𝑟𝑎𝑑𝑒</a:t>
              </a:r>
              <a:r>
                <a:rPr lang="en-US" sz="1100" b="0" i="0">
                  <a:solidFill>
                    <a:schemeClr val="tx1"/>
                  </a:solidFill>
                  <a:effectLst/>
                  <a:latin typeface="Cambria Math" panose="02040503050406030204" pitchFamily="18" charset="0"/>
                  <a:ea typeface="+mn-ea"/>
                  <a:cs typeface="+mn-cs"/>
                </a:rPr>
                <a:t>)</a:t>
              </a:r>
              <a:r>
                <a:rPr lang="en-US" sz="1100" i="0">
                  <a:latin typeface="Cambria Math" panose="02040503050406030204" pitchFamily="18" charset="0"/>
                </a:rPr>
                <a:t>=</a:t>
              </a:r>
              <a:r>
                <a:rPr lang="tr-TR" sz="1100" b="0" i="0">
                  <a:latin typeface="Cambria Math" panose="02040503050406030204" pitchFamily="18" charset="0"/>
                </a:rPr>
                <a:t>Number of points got from Question(n).</a:t>
              </a:r>
              <a:endParaRPr lang="en-US" sz="1100"/>
            </a:p>
          </xdr:txBody>
        </xdr:sp>
      </mc:Fallback>
    </mc:AlternateContent>
    <xdr:clientData/>
  </xdr:oneCellAnchor>
  <xdr:oneCellAnchor>
    <xdr:from>
      <xdr:col>14</xdr:col>
      <xdr:colOff>137746</xdr:colOff>
      <xdr:row>149</xdr:row>
      <xdr:rowOff>32239</xdr:rowOff>
    </xdr:from>
    <xdr:ext cx="2993512" cy="440890"/>
    <mc:AlternateContent xmlns:mc="http://schemas.openxmlformats.org/markup-compatibility/2006" xmlns:a14="http://schemas.microsoft.com/office/drawing/2010/main">
      <mc:Choice Requires="a14">
        <xdr:sp macro="" textlink="">
          <xdr:nvSpPr>
            <xdr:cNvPr id="118" name="Metin kutusu 117">
              <a:extLst>
                <a:ext uri="{FF2B5EF4-FFF2-40B4-BE49-F238E27FC236}">
                  <a16:creationId xmlns:a16="http://schemas.microsoft.com/office/drawing/2014/main" id="{00000000-0008-0000-0000-000076000000}"/>
                </a:ext>
              </a:extLst>
            </xdr:cNvPr>
            <xdr:cNvSpPr txBox="1"/>
          </xdr:nvSpPr>
          <xdr:spPr>
            <a:xfrm>
              <a:off x="14912926" y="28180519"/>
              <a:ext cx="2993512" cy="4408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100" i="1">
                            <a:solidFill>
                              <a:sysClr val="windowText" lastClr="000000"/>
                            </a:solidFill>
                            <a:latin typeface="Cambria Math" panose="02040503050406030204" pitchFamily="18" charset="0"/>
                          </a:rPr>
                        </m:ctrlPr>
                      </m:sSubPr>
                      <m:e>
                        <m:r>
                          <a:rPr lang="en-US" sz="1100" i="1">
                            <a:solidFill>
                              <a:sysClr val="windowText" lastClr="000000"/>
                            </a:solidFill>
                            <a:latin typeface="Cambria Math" panose="02040503050406030204" pitchFamily="18" charset="0"/>
                          </a:rPr>
                          <m:t>𝑇</m:t>
                        </m:r>
                        <m:r>
                          <a:rPr lang="tr-TR" sz="1100" b="0" i="1">
                            <a:solidFill>
                              <a:sysClr val="windowText" lastClr="000000"/>
                            </a:solidFill>
                            <a:latin typeface="Cambria Math" panose="02040503050406030204" pitchFamily="18" charset="0"/>
                          </a:rPr>
                          <m:t>𝑜𝑡𝑎𝑙</m:t>
                        </m:r>
                        <m:r>
                          <a:rPr lang="tr-TR" sz="1100" b="0" i="1">
                            <a:solidFill>
                              <a:sysClr val="windowText" lastClr="000000"/>
                            </a:solidFill>
                            <a:latin typeface="Cambria Math" panose="02040503050406030204" pitchFamily="18" charset="0"/>
                          </a:rPr>
                          <m:t> </m:t>
                        </m:r>
                        <m:r>
                          <a:rPr lang="tr-TR" sz="1100" b="0" i="1">
                            <a:solidFill>
                              <a:sysClr val="windowText" lastClr="000000"/>
                            </a:solidFill>
                            <a:latin typeface="Cambria Math" panose="02040503050406030204" pitchFamily="18" charset="0"/>
                          </a:rPr>
                          <m:t>𝐷</m:t>
                        </m:r>
                        <m:r>
                          <a:rPr lang="tr-TR" sz="1100" b="0" i="1">
                            <a:solidFill>
                              <a:sysClr val="windowText" lastClr="000000"/>
                            </a:solidFill>
                            <a:latin typeface="Cambria Math" panose="02040503050406030204" pitchFamily="18" charset="0"/>
                          </a:rPr>
                          <m:t>Ç</m:t>
                        </m:r>
                      </m:e>
                      <m:sub>
                        <m:r>
                          <a:rPr lang="tr-TR" sz="1100" b="0" i="1">
                            <a:solidFill>
                              <a:sysClr val="windowText" lastClr="000000"/>
                            </a:solidFill>
                            <a:latin typeface="Cambria Math" panose="02040503050406030204" pitchFamily="18" charset="0"/>
                          </a:rPr>
                          <m:t>𝑥</m:t>
                        </m:r>
                      </m:sub>
                    </m:sSub>
                    <m:r>
                      <a:rPr lang="en-US" sz="1100" i="0">
                        <a:solidFill>
                          <a:sysClr val="windowText" lastClr="000000"/>
                        </a:solidFill>
                        <a:latin typeface="Cambria Math" panose="02040503050406030204" pitchFamily="18" charset="0"/>
                      </a:rPr>
                      <m:t>=</m:t>
                    </m:r>
                    <m:f>
                      <m:fPr>
                        <m:ctrlPr>
                          <a:rPr lang="en-US" sz="1100" i="1">
                            <a:solidFill>
                              <a:sysClr val="windowText" lastClr="000000"/>
                            </a:solidFill>
                            <a:latin typeface="Cambria Math" panose="02040503050406030204" pitchFamily="18" charset="0"/>
                          </a:rPr>
                        </m:ctrlPr>
                      </m:fPr>
                      <m:num>
                        <m:sSub>
                          <m:sSubPr>
                            <m:ctrlPr>
                              <a:rPr lang="en-US" sz="1100" i="1">
                                <a:solidFill>
                                  <a:sysClr val="windowText" lastClr="000000"/>
                                </a:solidFill>
                                <a:latin typeface="Cambria Math" panose="02040503050406030204" pitchFamily="18" charset="0"/>
                              </a:rPr>
                            </m:ctrlPr>
                          </m:sSubPr>
                          <m:e>
                            <m:r>
                              <a:rPr lang="tr-TR" sz="1100" b="0" i="1">
                                <a:solidFill>
                                  <a:sysClr val="windowText" lastClr="000000"/>
                                </a:solidFill>
                                <a:latin typeface="Cambria Math" panose="02040503050406030204" pitchFamily="18" charset="0"/>
                              </a:rPr>
                              <m:t> </m:t>
                            </m:r>
                            <m:nary>
                              <m:naryPr>
                                <m:chr m:val="∑"/>
                                <m:subHide m:val="on"/>
                                <m:supHide m:val="on"/>
                                <m:ctrlPr>
                                  <a:rPr lang="tr-TR" sz="1100" b="0" i="1">
                                    <a:solidFill>
                                      <a:sysClr val="windowText" lastClr="000000"/>
                                    </a:solidFill>
                                    <a:latin typeface="Cambria Math" panose="02040503050406030204" pitchFamily="18" charset="0"/>
                                    <a:ea typeface="Cambria Math" panose="02040503050406030204" pitchFamily="18" charset="0"/>
                                  </a:rPr>
                                </m:ctrlPr>
                              </m:naryPr>
                              <m:sub/>
                              <m:sup/>
                              <m:e>
                                <m:eqArr>
                                  <m:eqArrPr>
                                    <m:ctrlPr>
                                      <a:rPr lang="tr-TR" sz="1100" b="0" i="1">
                                        <a:solidFill>
                                          <a:sysClr val="windowText" lastClr="000000"/>
                                        </a:solidFill>
                                        <a:latin typeface="Cambria Math" panose="02040503050406030204" pitchFamily="18" charset="0"/>
                                        <a:ea typeface="Cambria Math" panose="02040503050406030204" pitchFamily="18" charset="0"/>
                                      </a:rPr>
                                    </m:ctrlPr>
                                  </m:eqArrPr>
                                  <m:e>
                                    <m:r>
                                      <a:rPr lang="tr-TR" sz="1100" b="0" i="1">
                                        <a:solidFill>
                                          <a:sysClr val="windowText" lastClr="000000"/>
                                        </a:solidFill>
                                        <a:latin typeface="Cambria Math" panose="02040503050406030204" pitchFamily="18" charset="0"/>
                                        <a:ea typeface="Cambria Math" panose="02040503050406030204" pitchFamily="18" charset="0"/>
                                      </a:rPr>
                                      <m:t>𝑛</m:t>
                                    </m:r>
                                  </m:e>
                                  <m:e>
                                    <m:r>
                                      <a:rPr lang="tr-TR" sz="1100" b="0" i="1">
                                        <a:solidFill>
                                          <a:sysClr val="windowText" lastClr="000000"/>
                                        </a:solidFill>
                                        <a:latin typeface="Cambria Math" panose="02040503050406030204" pitchFamily="18" charset="0"/>
                                        <a:ea typeface="Cambria Math" panose="02040503050406030204" pitchFamily="18" charset="0"/>
                                      </a:rPr>
                                      <m:t>1</m:t>
                                    </m:r>
                                  </m:e>
                                </m:eqArr>
                              </m:e>
                            </m:nary>
                            <m:r>
                              <a:rPr lang="tr-TR" sz="1100" b="0" i="1">
                                <a:solidFill>
                                  <a:sysClr val="windowText" lastClr="000000"/>
                                </a:solidFill>
                                <a:latin typeface="Cambria Math" panose="02040503050406030204" pitchFamily="18" charset="0"/>
                              </a:rPr>
                              <m:t>𝐴𝑙𝑙</m:t>
                            </m:r>
                            <m:r>
                              <a:rPr lang="tr-TR" sz="1100" b="0" i="1">
                                <a:solidFill>
                                  <a:sysClr val="windowText" lastClr="000000"/>
                                </a:solidFill>
                                <a:latin typeface="Cambria Math" panose="02040503050406030204" pitchFamily="18" charset="0"/>
                              </a:rPr>
                              <m:t> </m:t>
                            </m:r>
                            <m:r>
                              <a:rPr lang="tr-TR" sz="1100" b="0" i="1">
                                <a:solidFill>
                                  <a:sysClr val="windowText" lastClr="000000"/>
                                </a:solidFill>
                                <a:latin typeface="Cambria Math" panose="02040503050406030204" pitchFamily="18" charset="0"/>
                              </a:rPr>
                              <m:t>𝑆𝑡𝑢𝑑𝑒𝑛𝑡𝑠</m:t>
                            </m:r>
                            <m:r>
                              <a:rPr lang="tr-TR" sz="1100" b="0" i="1">
                                <a:solidFill>
                                  <a:sysClr val="windowText" lastClr="000000"/>
                                </a:solidFill>
                                <a:latin typeface="Cambria Math" panose="02040503050406030204" pitchFamily="18" charset="0"/>
                              </a:rPr>
                              <m:t> </m:t>
                            </m:r>
                            <m:r>
                              <a:rPr lang="tr-TR" sz="1100" b="0" i="1">
                                <a:solidFill>
                                  <a:sysClr val="windowText" lastClr="000000"/>
                                </a:solidFill>
                                <a:latin typeface="Cambria Math" panose="02040503050406030204" pitchFamily="18" charset="0"/>
                              </a:rPr>
                              <m:t>𝐷</m:t>
                            </m:r>
                            <m:r>
                              <a:rPr lang="tr-TR" sz="1100" b="0" i="1">
                                <a:solidFill>
                                  <a:sysClr val="windowText" lastClr="000000"/>
                                </a:solidFill>
                                <a:latin typeface="Cambria Math" panose="02040503050406030204" pitchFamily="18" charset="0"/>
                              </a:rPr>
                              <m:t>Ç </m:t>
                            </m:r>
                          </m:e>
                          <m:sub>
                            <m:r>
                              <a:rPr lang="tr-TR" sz="1100" b="0" i="1">
                                <a:solidFill>
                                  <a:sysClr val="windowText" lastClr="000000"/>
                                </a:solidFill>
                                <a:latin typeface="Cambria Math" panose="02040503050406030204" pitchFamily="18" charset="0"/>
                              </a:rPr>
                              <m:t>𝑥</m:t>
                            </m:r>
                          </m:sub>
                        </m:sSub>
                      </m:num>
                      <m:den>
                        <m:r>
                          <a:rPr lang="en-US" sz="1100" i="1">
                            <a:solidFill>
                              <a:sysClr val="windowText" lastClr="000000"/>
                            </a:solidFill>
                            <a:latin typeface="Cambria Math" panose="02040503050406030204" pitchFamily="18" charset="0"/>
                          </a:rPr>
                          <m:t>𝑆</m:t>
                        </m:r>
                        <m:r>
                          <a:rPr lang="tr-TR" sz="1100" b="0" i="1">
                            <a:solidFill>
                              <a:sysClr val="windowText" lastClr="000000"/>
                            </a:solidFill>
                            <a:latin typeface="Cambria Math" panose="02040503050406030204" pitchFamily="18" charset="0"/>
                          </a:rPr>
                          <m:t>𝑡𝑢𝑑𝑒𝑛𝑡𝑁𝑢𝑚𝑏𝑒𝑟</m:t>
                        </m:r>
                        <m:r>
                          <a:rPr lang="en-US" sz="1100" i="0">
                            <a:solidFill>
                              <a:sysClr val="windowText" lastClr="000000"/>
                            </a:solidFill>
                            <a:latin typeface="Cambria Math" panose="02040503050406030204" pitchFamily="18" charset="0"/>
                          </a:rPr>
                          <m:t>∗</m:t>
                        </m:r>
                        <m:sSub>
                          <m:sSubPr>
                            <m:ctrlPr>
                              <a:rPr lang="en-US" sz="1100" i="1">
                                <a:solidFill>
                                  <a:sysClr val="windowText" lastClr="000000"/>
                                </a:solidFill>
                                <a:latin typeface="Cambria Math" panose="02040503050406030204" pitchFamily="18" charset="0"/>
                              </a:rPr>
                            </m:ctrlPr>
                          </m:sSubPr>
                          <m:e>
                            <m:r>
                              <a:rPr lang="en-US" sz="1100" i="1">
                                <a:solidFill>
                                  <a:sysClr val="windowText" lastClr="000000"/>
                                </a:solidFill>
                                <a:latin typeface="Cambria Math" panose="02040503050406030204" pitchFamily="18" charset="0"/>
                              </a:rPr>
                              <m:t>𝐷</m:t>
                            </m:r>
                            <m:r>
                              <a:rPr lang="tr-TR" sz="1100" b="0" i="1">
                                <a:solidFill>
                                  <a:sysClr val="windowText" lastClr="000000"/>
                                </a:solidFill>
                                <a:latin typeface="Cambria Math" panose="02040503050406030204" pitchFamily="18" charset="0"/>
                              </a:rPr>
                              <m:t>Ç </m:t>
                            </m:r>
                            <m:r>
                              <a:rPr lang="tr-TR" sz="1100" b="0" i="1">
                                <a:solidFill>
                                  <a:sysClr val="windowText" lastClr="000000"/>
                                </a:solidFill>
                                <a:latin typeface="Cambria Math" panose="02040503050406030204" pitchFamily="18" charset="0"/>
                              </a:rPr>
                              <m:t>𝑐𝑜𝑒𝑓𝑓𝑖𝑐𝑒𝑛𝑡</m:t>
                            </m:r>
                          </m:e>
                          <m:sub>
                            <m:r>
                              <m:rPr>
                                <m:sty m:val="p"/>
                              </m:rPr>
                              <a:rPr lang="tr-TR" sz="1100" b="0" i="0">
                                <a:solidFill>
                                  <a:sysClr val="windowText" lastClr="000000"/>
                                </a:solidFill>
                                <a:latin typeface="Cambria Math" panose="02040503050406030204" pitchFamily="18" charset="0"/>
                              </a:rPr>
                              <m:t>x</m:t>
                            </m:r>
                          </m:sub>
                        </m:sSub>
                      </m:den>
                    </m:f>
                  </m:oMath>
                </m:oMathPara>
              </a14:m>
              <a:endParaRPr lang="en-US" sz="1100">
                <a:solidFill>
                  <a:sysClr val="windowText" lastClr="000000"/>
                </a:solidFill>
              </a:endParaRPr>
            </a:p>
          </xdr:txBody>
        </xdr:sp>
      </mc:Choice>
      <mc:Fallback xmlns="">
        <xdr:sp macro="" textlink="">
          <xdr:nvSpPr>
            <xdr:cNvPr id="118" name="Metin kutusu 117">
              <a:extLst>
                <a:ext uri="{FF2B5EF4-FFF2-40B4-BE49-F238E27FC236}">
                  <a16:creationId xmlns:a16="http://schemas.microsoft.com/office/drawing/2014/main" id="{3EA39FA1-CC1E-43ED-89A4-365E4D57E57A}"/>
                </a:ext>
              </a:extLst>
            </xdr:cNvPr>
            <xdr:cNvSpPr txBox="1"/>
          </xdr:nvSpPr>
          <xdr:spPr>
            <a:xfrm>
              <a:off x="14912926" y="28180519"/>
              <a:ext cx="2993512" cy="4408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100" i="0">
                  <a:solidFill>
                    <a:sysClr val="windowText" lastClr="000000"/>
                  </a:solidFill>
                  <a:latin typeface="Cambria Math" panose="02040503050406030204" pitchFamily="18" charset="0"/>
                </a:rPr>
                <a:t>〖𝑇</a:t>
              </a:r>
              <a:r>
                <a:rPr lang="tr-TR" sz="1100" b="0" i="0">
                  <a:solidFill>
                    <a:sysClr val="windowText" lastClr="000000"/>
                  </a:solidFill>
                  <a:latin typeface="Cambria Math" panose="02040503050406030204" pitchFamily="18" charset="0"/>
                </a:rPr>
                <a:t>𝑜𝑡𝑎𝑙 𝐷Ç</a:t>
              </a:r>
              <a:r>
                <a:rPr lang="en-US" sz="1100" b="0" i="0">
                  <a:solidFill>
                    <a:sysClr val="windowText" lastClr="000000"/>
                  </a:solidFill>
                  <a:latin typeface="Cambria Math" panose="02040503050406030204" pitchFamily="18" charset="0"/>
                </a:rPr>
                <a:t>〗_</a:t>
              </a:r>
              <a:r>
                <a:rPr lang="tr-TR" sz="1100" b="0" i="0">
                  <a:solidFill>
                    <a:sysClr val="windowText" lastClr="000000"/>
                  </a:solidFill>
                  <a:latin typeface="Cambria Math" panose="02040503050406030204" pitchFamily="18" charset="0"/>
                </a:rPr>
                <a:t>𝑥</a:t>
              </a:r>
              <a:r>
                <a:rPr lang="en-US" sz="1100" i="0">
                  <a:solidFill>
                    <a:sysClr val="windowText" lastClr="000000"/>
                  </a:solidFill>
                  <a:latin typeface="Cambria Math" panose="02040503050406030204" pitchFamily="18" charset="0"/>
                </a:rPr>
                <a:t>=〖</a:t>
              </a:r>
              <a:r>
                <a:rPr lang="tr-TR" sz="1100" b="0" i="0">
                  <a:solidFill>
                    <a:sysClr val="windowText" lastClr="000000"/>
                  </a:solidFill>
                  <a:latin typeface="Cambria Math" panose="02040503050406030204" pitchFamily="18" charset="0"/>
                </a:rPr>
                <a:t> </a:t>
              </a:r>
              <a:r>
                <a:rPr lang="tr-TR" sz="1100" b="0" i="0">
                  <a:solidFill>
                    <a:sysClr val="windowText" lastClr="000000"/>
                  </a:solidFill>
                  <a:latin typeface="Cambria Math" panose="02040503050406030204" pitchFamily="18" charset="0"/>
                  <a:ea typeface="Cambria Math" panose="02040503050406030204" pitchFamily="18" charset="0"/>
                </a:rPr>
                <a:t>∑▒█(𝑛@1) </a:t>
              </a:r>
              <a:r>
                <a:rPr lang="tr-TR" sz="1100" b="0" i="0">
                  <a:solidFill>
                    <a:sysClr val="windowText" lastClr="000000"/>
                  </a:solidFill>
                  <a:latin typeface="Cambria Math" panose="02040503050406030204" pitchFamily="18" charset="0"/>
                </a:rPr>
                <a:t>𝐴𝑙𝑙 𝑆𝑡𝑢𝑑𝑒𝑛𝑡𝑠 𝐷Ç </a:t>
              </a:r>
              <a:r>
                <a:rPr lang="en-US" sz="1100" b="0" i="0">
                  <a:solidFill>
                    <a:sysClr val="windowText" lastClr="000000"/>
                  </a:solidFill>
                  <a:latin typeface="Cambria Math" panose="02040503050406030204" pitchFamily="18" charset="0"/>
                </a:rPr>
                <a:t>〗_</a:t>
              </a:r>
              <a:r>
                <a:rPr lang="tr-TR" sz="1100" b="0" i="0">
                  <a:solidFill>
                    <a:sysClr val="windowText" lastClr="000000"/>
                  </a:solidFill>
                  <a:latin typeface="Cambria Math" panose="02040503050406030204" pitchFamily="18" charset="0"/>
                </a:rPr>
                <a:t>𝑥</a:t>
              </a:r>
              <a:r>
                <a:rPr lang="en-US" sz="1100" b="0" i="0">
                  <a:solidFill>
                    <a:sysClr val="windowText" lastClr="000000"/>
                  </a:solidFill>
                  <a:latin typeface="Cambria Math" panose="02040503050406030204" pitchFamily="18" charset="0"/>
                </a:rPr>
                <a:t>/(</a:t>
              </a:r>
              <a:r>
                <a:rPr lang="en-US" sz="1100" i="0">
                  <a:solidFill>
                    <a:sysClr val="windowText" lastClr="000000"/>
                  </a:solidFill>
                  <a:latin typeface="Cambria Math" panose="02040503050406030204" pitchFamily="18" charset="0"/>
                </a:rPr>
                <a:t>𝑆</a:t>
              </a:r>
              <a:r>
                <a:rPr lang="tr-TR" sz="1100" b="0" i="0">
                  <a:solidFill>
                    <a:sysClr val="windowText" lastClr="000000"/>
                  </a:solidFill>
                  <a:latin typeface="Cambria Math" panose="02040503050406030204" pitchFamily="18" charset="0"/>
                </a:rPr>
                <a:t>𝑡𝑢𝑑𝑒𝑛𝑡𝑁𝑢𝑚𝑏𝑒𝑟</a:t>
              </a:r>
              <a:r>
                <a:rPr lang="en-US" sz="1100" i="0">
                  <a:solidFill>
                    <a:sysClr val="windowText" lastClr="000000"/>
                  </a:solidFill>
                  <a:latin typeface="Cambria Math" panose="02040503050406030204" pitchFamily="18" charset="0"/>
                </a:rPr>
                <a:t>∗〖𝐷</a:t>
              </a:r>
              <a:r>
                <a:rPr lang="tr-TR" sz="1100" b="0" i="0">
                  <a:solidFill>
                    <a:sysClr val="windowText" lastClr="000000"/>
                  </a:solidFill>
                  <a:latin typeface="Cambria Math" panose="02040503050406030204" pitchFamily="18" charset="0"/>
                </a:rPr>
                <a:t>Ç 𝑐𝑜𝑒𝑓𝑓𝑖𝑐𝑒𝑛𝑡</a:t>
              </a:r>
              <a:r>
                <a:rPr lang="en-US" sz="1100" b="0" i="0">
                  <a:solidFill>
                    <a:sysClr val="windowText" lastClr="000000"/>
                  </a:solidFill>
                  <a:latin typeface="Cambria Math" panose="02040503050406030204" pitchFamily="18" charset="0"/>
                </a:rPr>
                <a:t>〗_</a:t>
              </a:r>
              <a:r>
                <a:rPr lang="tr-TR" sz="1100" b="0" i="0">
                  <a:solidFill>
                    <a:sysClr val="windowText" lastClr="000000"/>
                  </a:solidFill>
                  <a:latin typeface="Cambria Math" panose="02040503050406030204" pitchFamily="18" charset="0"/>
                </a:rPr>
                <a:t>x </a:t>
              </a:r>
              <a:r>
                <a:rPr lang="en-US" sz="1100" b="0" i="0">
                  <a:solidFill>
                    <a:sysClr val="windowText" lastClr="000000"/>
                  </a:solidFill>
                  <a:latin typeface="Cambria Math" panose="02040503050406030204" pitchFamily="18" charset="0"/>
                </a:rPr>
                <a:t>)</a:t>
              </a:r>
              <a:endParaRPr lang="en-US" sz="1100">
                <a:solidFill>
                  <a:sysClr val="windowText" lastClr="000000"/>
                </a:solidFill>
              </a:endParaRPr>
            </a:p>
          </xdr:txBody>
        </xdr:sp>
      </mc:Fallback>
    </mc:AlternateContent>
    <xdr:clientData/>
  </xdr:oneCellAnchor>
  <xdr:oneCellAnchor>
    <xdr:from>
      <xdr:col>14</xdr:col>
      <xdr:colOff>23446</xdr:colOff>
      <xdr:row>152</xdr:row>
      <xdr:rowOff>175846</xdr:rowOff>
    </xdr:from>
    <xdr:ext cx="3895554" cy="335476"/>
    <mc:AlternateContent xmlns:mc="http://schemas.openxmlformats.org/markup-compatibility/2006" xmlns:a14="http://schemas.microsoft.com/office/drawing/2010/main">
      <mc:Choice Requires="a14">
        <xdr:sp macro="" textlink="">
          <xdr:nvSpPr>
            <xdr:cNvPr id="119" name="Metin kutusu 118">
              <a:extLst>
                <a:ext uri="{FF2B5EF4-FFF2-40B4-BE49-F238E27FC236}">
                  <a16:creationId xmlns:a16="http://schemas.microsoft.com/office/drawing/2014/main" id="{00000000-0008-0000-0000-000077000000}"/>
                </a:ext>
              </a:extLst>
            </xdr:cNvPr>
            <xdr:cNvSpPr txBox="1"/>
          </xdr:nvSpPr>
          <xdr:spPr>
            <a:xfrm>
              <a:off x="14798626" y="28880386"/>
              <a:ext cx="3895554" cy="33547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900" i="1">
                            <a:solidFill>
                              <a:schemeClr val="tx1"/>
                            </a:solidFill>
                            <a:effectLst/>
                            <a:latin typeface="Cambria Math" panose="02040503050406030204" pitchFamily="18" charset="0"/>
                            <a:ea typeface="+mn-ea"/>
                            <a:cs typeface="+mn-cs"/>
                          </a:rPr>
                        </m:ctrlPr>
                      </m:sSubPr>
                      <m:e>
                        <m:r>
                          <a:rPr lang="tr-TR" sz="900" b="0" i="1">
                            <a:solidFill>
                              <a:schemeClr val="tx1"/>
                            </a:solidFill>
                            <a:effectLst/>
                            <a:latin typeface="Cambria Math" panose="02040503050406030204" pitchFamily="18" charset="0"/>
                            <a:ea typeface="+mn-ea"/>
                            <a:cs typeface="+mn-cs"/>
                          </a:rPr>
                          <m:t> </m:t>
                        </m:r>
                        <m:nary>
                          <m:naryPr>
                            <m:chr m:val="∑"/>
                            <m:subHide m:val="on"/>
                            <m:supHide m:val="on"/>
                            <m:ctrlPr>
                              <a:rPr lang="tr-TR" sz="900" b="0" i="1">
                                <a:solidFill>
                                  <a:schemeClr val="tx1"/>
                                </a:solidFill>
                                <a:effectLst/>
                                <a:latin typeface="Cambria Math" panose="02040503050406030204" pitchFamily="18" charset="0"/>
                                <a:ea typeface="+mn-ea"/>
                                <a:cs typeface="+mn-cs"/>
                              </a:rPr>
                            </m:ctrlPr>
                          </m:naryPr>
                          <m:sub/>
                          <m:sup/>
                          <m:e>
                            <m:eqArr>
                              <m:eqArrPr>
                                <m:ctrlPr>
                                  <a:rPr lang="tr-TR" sz="900" b="0" i="1">
                                    <a:solidFill>
                                      <a:schemeClr val="tx1"/>
                                    </a:solidFill>
                                    <a:effectLst/>
                                    <a:latin typeface="Cambria Math" panose="02040503050406030204" pitchFamily="18" charset="0"/>
                                    <a:ea typeface="+mn-ea"/>
                                    <a:cs typeface="+mn-cs"/>
                                  </a:rPr>
                                </m:ctrlPr>
                              </m:eqArrPr>
                              <m:e>
                                <m:r>
                                  <a:rPr lang="tr-TR" sz="900" b="0" i="1">
                                    <a:solidFill>
                                      <a:schemeClr val="tx1"/>
                                    </a:solidFill>
                                    <a:effectLst/>
                                    <a:latin typeface="Cambria Math" panose="02040503050406030204" pitchFamily="18" charset="0"/>
                                    <a:ea typeface="+mn-ea"/>
                                    <a:cs typeface="+mn-cs"/>
                                  </a:rPr>
                                  <m:t>𝑛</m:t>
                                </m:r>
                              </m:e>
                              <m:e>
                                <m:r>
                                  <a:rPr lang="tr-TR" sz="900" b="0" i="1">
                                    <a:solidFill>
                                      <a:schemeClr val="tx1"/>
                                    </a:solidFill>
                                    <a:effectLst/>
                                    <a:latin typeface="Cambria Math" panose="02040503050406030204" pitchFamily="18" charset="0"/>
                                    <a:ea typeface="+mn-ea"/>
                                    <a:cs typeface="+mn-cs"/>
                                  </a:rPr>
                                  <m:t>1</m:t>
                                </m:r>
                              </m:e>
                            </m:eqArr>
                          </m:e>
                        </m:nary>
                        <m:r>
                          <a:rPr lang="tr-TR" sz="900" b="0" i="1">
                            <a:solidFill>
                              <a:schemeClr val="tx1"/>
                            </a:solidFill>
                            <a:effectLst/>
                            <a:latin typeface="Cambria Math" panose="02040503050406030204" pitchFamily="18" charset="0"/>
                            <a:ea typeface="+mn-ea"/>
                            <a:cs typeface="+mn-cs"/>
                          </a:rPr>
                          <m:t>𝐴𝑙𝑙</m:t>
                        </m:r>
                        <m:r>
                          <a:rPr lang="tr-TR" sz="900" b="0" i="1">
                            <a:solidFill>
                              <a:schemeClr val="tx1"/>
                            </a:solidFill>
                            <a:effectLst/>
                            <a:latin typeface="Cambria Math" panose="02040503050406030204" pitchFamily="18" charset="0"/>
                            <a:ea typeface="+mn-ea"/>
                            <a:cs typeface="+mn-cs"/>
                          </a:rPr>
                          <m:t> </m:t>
                        </m:r>
                        <m:r>
                          <a:rPr lang="tr-TR" sz="900" b="0" i="1">
                            <a:solidFill>
                              <a:schemeClr val="tx1"/>
                            </a:solidFill>
                            <a:effectLst/>
                            <a:latin typeface="Cambria Math" panose="02040503050406030204" pitchFamily="18" charset="0"/>
                            <a:ea typeface="+mn-ea"/>
                            <a:cs typeface="+mn-cs"/>
                          </a:rPr>
                          <m:t>𝑆𝑡𝑢𝑑𝑒𝑛𝑡𝑠</m:t>
                        </m:r>
                        <m:r>
                          <a:rPr lang="tr-TR" sz="900" b="0" i="1">
                            <a:solidFill>
                              <a:schemeClr val="tx1"/>
                            </a:solidFill>
                            <a:effectLst/>
                            <a:latin typeface="Cambria Math" panose="02040503050406030204" pitchFamily="18" charset="0"/>
                            <a:ea typeface="+mn-ea"/>
                            <a:cs typeface="+mn-cs"/>
                          </a:rPr>
                          <m:t> </m:t>
                        </m:r>
                        <m:r>
                          <a:rPr lang="tr-TR" sz="900" b="0" i="1">
                            <a:solidFill>
                              <a:schemeClr val="tx1"/>
                            </a:solidFill>
                            <a:effectLst/>
                            <a:latin typeface="Cambria Math" panose="02040503050406030204" pitchFamily="18" charset="0"/>
                            <a:ea typeface="+mn-ea"/>
                            <a:cs typeface="+mn-cs"/>
                          </a:rPr>
                          <m:t>𝐷</m:t>
                        </m:r>
                        <m:r>
                          <a:rPr lang="tr-TR" sz="900" b="0" i="1">
                            <a:solidFill>
                              <a:schemeClr val="tx1"/>
                            </a:solidFill>
                            <a:effectLst/>
                            <a:latin typeface="Cambria Math" panose="02040503050406030204" pitchFamily="18" charset="0"/>
                            <a:ea typeface="+mn-ea"/>
                            <a:cs typeface="+mn-cs"/>
                          </a:rPr>
                          <m:t>Ç </m:t>
                        </m:r>
                      </m:e>
                      <m:sub>
                        <m:r>
                          <a:rPr lang="tr-TR" sz="900" b="0" i="1">
                            <a:solidFill>
                              <a:schemeClr val="tx1"/>
                            </a:solidFill>
                            <a:effectLst/>
                            <a:latin typeface="Cambria Math" panose="02040503050406030204" pitchFamily="18" charset="0"/>
                            <a:ea typeface="+mn-ea"/>
                            <a:cs typeface="+mn-cs"/>
                          </a:rPr>
                          <m:t>𝑥</m:t>
                        </m:r>
                      </m:sub>
                    </m:sSub>
                    <m:r>
                      <a:rPr lang="tr-TR" sz="900" b="0" i="1">
                        <a:solidFill>
                          <a:schemeClr val="tx1"/>
                        </a:solidFill>
                        <a:effectLst/>
                        <a:latin typeface="Cambria Math" panose="02040503050406030204" pitchFamily="18" charset="0"/>
                        <a:ea typeface="+mn-ea"/>
                        <a:cs typeface="+mn-cs"/>
                      </a:rPr>
                      <m:t>=</m:t>
                    </m:r>
                    <m:r>
                      <m:rPr>
                        <m:sty m:val="p"/>
                      </m:rPr>
                      <a:rPr lang="tr-TR" sz="900" b="0" i="0">
                        <a:latin typeface="Cambria Math" panose="02040503050406030204" pitchFamily="18" charset="0"/>
                      </a:rPr>
                      <m:t>sum</m:t>
                    </m:r>
                    <m:r>
                      <a:rPr lang="tr-TR" sz="900" b="0" i="0">
                        <a:latin typeface="Cambria Math" panose="02040503050406030204" pitchFamily="18" charset="0"/>
                      </a:rPr>
                      <m:t> </m:t>
                    </m:r>
                    <m:r>
                      <m:rPr>
                        <m:sty m:val="p"/>
                      </m:rPr>
                      <a:rPr lang="tr-TR" sz="900" b="0" i="0">
                        <a:latin typeface="Cambria Math" panose="02040503050406030204" pitchFamily="18" charset="0"/>
                      </a:rPr>
                      <m:t>all</m:t>
                    </m:r>
                    <m:r>
                      <a:rPr lang="tr-TR" sz="900" b="0" i="0">
                        <a:latin typeface="Cambria Math" panose="02040503050406030204" pitchFamily="18" charset="0"/>
                      </a:rPr>
                      <m:t> </m:t>
                    </m:r>
                    <m:r>
                      <m:rPr>
                        <m:sty m:val="p"/>
                      </m:rPr>
                      <a:rPr lang="tr-TR" sz="900" b="0" i="0">
                        <a:latin typeface="Cambria Math" panose="02040503050406030204" pitchFamily="18" charset="0"/>
                      </a:rPr>
                      <m:t>the</m:t>
                    </m:r>
                    <m:r>
                      <a:rPr lang="tr-TR" sz="900" b="0" i="0">
                        <a:latin typeface="Cambria Math" panose="02040503050406030204" pitchFamily="18" charset="0"/>
                      </a:rPr>
                      <m:t> </m:t>
                    </m:r>
                    <m:r>
                      <m:rPr>
                        <m:sty m:val="p"/>
                      </m:rPr>
                      <a:rPr lang="tr-TR" sz="900" b="0" i="0">
                        <a:latin typeface="Cambria Math" panose="02040503050406030204" pitchFamily="18" charset="0"/>
                      </a:rPr>
                      <m:t>d</m:t>
                    </m:r>
                    <m:r>
                      <a:rPr lang="tr-TR" sz="900" b="0" i="0">
                        <a:latin typeface="Cambria Math" panose="02040503050406030204" pitchFamily="18" charset="0"/>
                      </a:rPr>
                      <m:t>ç</m:t>
                    </m:r>
                    <m:d>
                      <m:dPr>
                        <m:ctrlPr>
                          <a:rPr lang="tr-TR" sz="900" b="0" i="1">
                            <a:latin typeface="Cambria Math" panose="02040503050406030204" pitchFamily="18" charset="0"/>
                          </a:rPr>
                        </m:ctrlPr>
                      </m:dPr>
                      <m:e>
                        <m:r>
                          <m:rPr>
                            <m:sty m:val="p"/>
                          </m:rPr>
                          <a:rPr lang="tr-TR" sz="900" b="0" i="0">
                            <a:latin typeface="Cambria Math" panose="02040503050406030204" pitchFamily="18" charset="0"/>
                          </a:rPr>
                          <m:t>x</m:t>
                        </m:r>
                      </m:e>
                    </m:d>
                    <m:r>
                      <a:rPr lang="tr-TR" sz="900" b="0" i="0">
                        <a:latin typeface="Cambria Math" panose="02040503050406030204" pitchFamily="18" charset="0"/>
                      </a:rPr>
                      <m:t> </m:t>
                    </m:r>
                    <m:r>
                      <m:rPr>
                        <m:sty m:val="p"/>
                      </m:rPr>
                      <a:rPr lang="tr-TR" sz="900" b="0" i="0">
                        <a:latin typeface="Cambria Math" panose="02040503050406030204" pitchFamily="18" charset="0"/>
                      </a:rPr>
                      <m:t>contributions</m:t>
                    </m:r>
                    <m:r>
                      <a:rPr lang="tr-TR" sz="900" b="0" i="0">
                        <a:latin typeface="Cambria Math" panose="02040503050406030204" pitchFamily="18" charset="0"/>
                      </a:rPr>
                      <m:t> </m:t>
                    </m:r>
                    <m:r>
                      <m:rPr>
                        <m:sty m:val="p"/>
                      </m:rPr>
                      <a:rPr lang="tr-TR" sz="900" b="0" i="0">
                        <a:latin typeface="Cambria Math" panose="02040503050406030204" pitchFamily="18" charset="0"/>
                      </a:rPr>
                      <m:t>from</m:t>
                    </m:r>
                    <m:r>
                      <a:rPr lang="tr-TR" sz="900" b="0" i="0">
                        <a:latin typeface="Cambria Math" panose="02040503050406030204" pitchFamily="18" charset="0"/>
                      </a:rPr>
                      <m:t> </m:t>
                    </m:r>
                    <m:r>
                      <m:rPr>
                        <m:sty m:val="p"/>
                      </m:rPr>
                      <a:rPr lang="tr-TR" sz="900" b="0" i="0">
                        <a:latin typeface="Cambria Math" panose="02040503050406030204" pitchFamily="18" charset="0"/>
                      </a:rPr>
                      <m:t>students</m:t>
                    </m:r>
                    <m:r>
                      <a:rPr lang="tr-TR" sz="900" b="0" i="0">
                        <a:latin typeface="Cambria Math" panose="02040503050406030204" pitchFamily="18" charset="0"/>
                      </a:rPr>
                      <m:t> </m:t>
                    </m:r>
                    <m:r>
                      <m:rPr>
                        <m:sty m:val="p"/>
                      </m:rPr>
                      <a:rPr lang="tr-TR" sz="900" b="0" i="0">
                        <a:latin typeface="Cambria Math" panose="02040503050406030204" pitchFamily="18" charset="0"/>
                      </a:rPr>
                      <m:t>table</m:t>
                    </m:r>
                    <m:r>
                      <a:rPr lang="tr-TR" sz="900" b="0" i="0">
                        <a:latin typeface="Cambria Math" panose="02040503050406030204" pitchFamily="18" charset="0"/>
                      </a:rPr>
                      <m:t>..</m:t>
                    </m:r>
                  </m:oMath>
                </m:oMathPara>
              </a14:m>
              <a:endParaRPr lang="en-US" sz="1100"/>
            </a:p>
          </xdr:txBody>
        </xdr:sp>
      </mc:Choice>
      <mc:Fallback xmlns="">
        <xdr:sp macro="" textlink="">
          <xdr:nvSpPr>
            <xdr:cNvPr id="119" name="Metin kutusu 118">
              <a:extLst>
                <a:ext uri="{FF2B5EF4-FFF2-40B4-BE49-F238E27FC236}">
                  <a16:creationId xmlns:a16="http://schemas.microsoft.com/office/drawing/2014/main" id="{C475DED6-2B58-445E-8D91-41977416B9D6}"/>
                </a:ext>
              </a:extLst>
            </xdr:cNvPr>
            <xdr:cNvSpPr txBox="1"/>
          </xdr:nvSpPr>
          <xdr:spPr>
            <a:xfrm>
              <a:off x="14798626" y="28880386"/>
              <a:ext cx="3895554" cy="33547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900" i="0">
                  <a:solidFill>
                    <a:schemeClr val="tx1"/>
                  </a:solidFill>
                  <a:effectLst/>
                  <a:latin typeface="Cambria Math" panose="02040503050406030204" pitchFamily="18" charset="0"/>
                  <a:ea typeface="+mn-ea"/>
                  <a:cs typeface="+mn-cs"/>
                </a:rPr>
                <a:t>〖</a:t>
              </a:r>
              <a:r>
                <a:rPr lang="tr-TR" sz="900" b="0" i="0">
                  <a:solidFill>
                    <a:schemeClr val="tx1"/>
                  </a:solidFill>
                  <a:effectLst/>
                  <a:latin typeface="Cambria Math" panose="02040503050406030204" pitchFamily="18" charset="0"/>
                  <a:ea typeface="+mn-ea"/>
                  <a:cs typeface="+mn-cs"/>
                </a:rPr>
                <a:t> ∑▒█(𝑛@1) 𝐴𝑙𝑙 𝑆𝑡𝑢𝑑𝑒𝑛𝑡𝑠 𝐷Ç </a:t>
              </a:r>
              <a:r>
                <a:rPr lang="en-US" sz="900" b="0" i="0">
                  <a:solidFill>
                    <a:schemeClr val="tx1"/>
                  </a:solidFill>
                  <a:effectLst/>
                  <a:latin typeface="Cambria Math" panose="02040503050406030204" pitchFamily="18" charset="0"/>
                  <a:ea typeface="+mn-ea"/>
                  <a:cs typeface="+mn-cs"/>
                </a:rPr>
                <a:t>〗_</a:t>
              </a:r>
              <a:r>
                <a:rPr lang="tr-TR" sz="900" b="0" i="0">
                  <a:solidFill>
                    <a:schemeClr val="tx1"/>
                  </a:solidFill>
                  <a:effectLst/>
                  <a:latin typeface="Cambria Math" panose="02040503050406030204" pitchFamily="18" charset="0"/>
                  <a:ea typeface="+mn-ea"/>
                  <a:cs typeface="+mn-cs"/>
                </a:rPr>
                <a:t>𝑥=</a:t>
              </a:r>
              <a:r>
                <a:rPr lang="tr-TR" sz="900" b="0" i="0">
                  <a:latin typeface="Cambria Math" panose="02040503050406030204" pitchFamily="18" charset="0"/>
                </a:rPr>
                <a:t>sum all the dç(x)  contributions from students table..</a:t>
              </a:r>
              <a:endParaRPr lang="en-US" sz="1100"/>
            </a:p>
          </xdr:txBody>
        </xdr:sp>
      </mc:Fallback>
    </mc:AlternateContent>
    <xdr:clientData/>
  </xdr:oneCellAnchor>
  <xdr:oneCellAnchor>
    <xdr:from>
      <xdr:col>14</xdr:col>
      <xdr:colOff>0</xdr:colOff>
      <xdr:row>155</xdr:row>
      <xdr:rowOff>0</xdr:rowOff>
    </xdr:from>
    <xdr:ext cx="3198055" cy="165366"/>
    <mc:AlternateContent xmlns:mc="http://schemas.openxmlformats.org/markup-compatibility/2006" xmlns:a14="http://schemas.microsoft.com/office/drawing/2010/main">
      <mc:Choice Requires="a14">
        <xdr:sp macro="" textlink="">
          <xdr:nvSpPr>
            <xdr:cNvPr id="120" name="Metin kutusu 119">
              <a:extLst>
                <a:ext uri="{FF2B5EF4-FFF2-40B4-BE49-F238E27FC236}">
                  <a16:creationId xmlns:a16="http://schemas.microsoft.com/office/drawing/2014/main" id="{00000000-0008-0000-0000-000078000000}"/>
                </a:ext>
              </a:extLst>
            </xdr:cNvPr>
            <xdr:cNvSpPr txBox="1"/>
          </xdr:nvSpPr>
          <xdr:spPr>
            <a:xfrm>
              <a:off x="14775180" y="29276040"/>
              <a:ext cx="3198055" cy="1653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100" i="1">
                            <a:solidFill>
                              <a:schemeClr val="tx1"/>
                            </a:solidFill>
                            <a:effectLst/>
                            <a:latin typeface="Cambria Math" panose="02040503050406030204" pitchFamily="18" charset="0"/>
                            <a:ea typeface="+mn-ea"/>
                            <a:cs typeface="+mn-cs"/>
                          </a:rPr>
                        </m:ctrlPr>
                      </m:sSubPr>
                      <m:e>
                        <m:r>
                          <a:rPr lang="en-US" sz="1100" i="1">
                            <a:solidFill>
                              <a:schemeClr val="tx1"/>
                            </a:solidFill>
                            <a:effectLst/>
                            <a:latin typeface="Cambria Math" panose="02040503050406030204" pitchFamily="18" charset="0"/>
                            <a:ea typeface="+mn-ea"/>
                            <a:cs typeface="+mn-cs"/>
                          </a:rPr>
                          <m:t>𝐷</m:t>
                        </m:r>
                        <m:r>
                          <a:rPr lang="tr-TR" sz="1100" b="0" i="1">
                            <a:solidFill>
                              <a:schemeClr val="tx1"/>
                            </a:solidFill>
                            <a:effectLst/>
                            <a:latin typeface="Cambria Math" panose="02040503050406030204" pitchFamily="18" charset="0"/>
                            <a:ea typeface="+mn-ea"/>
                            <a:cs typeface="+mn-cs"/>
                          </a:rPr>
                          <m:t>Ç </m:t>
                        </m:r>
                        <m:r>
                          <a:rPr lang="tr-TR" sz="1100" b="0" i="1">
                            <a:solidFill>
                              <a:schemeClr val="tx1"/>
                            </a:solidFill>
                            <a:effectLst/>
                            <a:latin typeface="Cambria Math" panose="02040503050406030204" pitchFamily="18" charset="0"/>
                            <a:ea typeface="+mn-ea"/>
                            <a:cs typeface="+mn-cs"/>
                          </a:rPr>
                          <m:t>𝑐𝑜𝑒𝑓𝑓𝑖𝑐𝑒𝑛𝑡</m:t>
                        </m:r>
                      </m:e>
                      <m:sub>
                        <m:r>
                          <m:rPr>
                            <m:sty m:val="p"/>
                          </m:rPr>
                          <a:rPr lang="tr-TR" sz="1100" b="0" i="0">
                            <a:solidFill>
                              <a:schemeClr val="tx1"/>
                            </a:solidFill>
                            <a:effectLst/>
                            <a:latin typeface="Cambria Math" panose="02040503050406030204" pitchFamily="18" charset="0"/>
                            <a:ea typeface="+mn-ea"/>
                            <a:cs typeface="+mn-cs"/>
                          </a:rPr>
                          <m:t>x</m:t>
                        </m:r>
                      </m:sub>
                    </m:sSub>
                    <m:r>
                      <a:rPr lang="tr-TR" sz="1100" b="0" i="0">
                        <a:solidFill>
                          <a:schemeClr val="tx1"/>
                        </a:solidFill>
                        <a:effectLst/>
                        <a:latin typeface="Cambria Math" panose="02040503050406030204" pitchFamily="18" charset="0"/>
                        <a:ea typeface="+mn-ea"/>
                        <a:cs typeface="+mn-cs"/>
                      </a:rPr>
                      <m:t>=</m:t>
                    </m:r>
                    <m:r>
                      <m:rPr>
                        <m:sty m:val="p"/>
                      </m:rPr>
                      <a:rPr lang="tr-TR" sz="900" b="0" i="0">
                        <a:latin typeface="Cambria Math" panose="02040503050406030204" pitchFamily="18" charset="0"/>
                      </a:rPr>
                      <m:t>Total</m:t>
                    </m:r>
                    <m:r>
                      <a:rPr lang="tr-TR" sz="900" b="0" i="0">
                        <a:latin typeface="Cambria Math" panose="02040503050406030204" pitchFamily="18" charset="0"/>
                      </a:rPr>
                      <m:t> </m:t>
                    </m:r>
                    <m:r>
                      <m:rPr>
                        <m:sty m:val="p"/>
                      </m:rPr>
                      <a:rPr lang="tr-TR" sz="900" b="0" i="0">
                        <a:latin typeface="Cambria Math" panose="02040503050406030204" pitchFamily="18" charset="0"/>
                      </a:rPr>
                      <m:t>D</m:t>
                    </m:r>
                    <m:r>
                      <a:rPr lang="tr-TR" sz="900" b="0" i="0">
                        <a:latin typeface="Cambria Math" panose="02040503050406030204" pitchFamily="18" charset="0"/>
                      </a:rPr>
                      <m:t>Ç</m:t>
                    </m:r>
                    <m:d>
                      <m:dPr>
                        <m:ctrlPr>
                          <a:rPr lang="tr-TR" sz="900" b="0" i="1">
                            <a:latin typeface="Cambria Math" panose="02040503050406030204" pitchFamily="18" charset="0"/>
                          </a:rPr>
                        </m:ctrlPr>
                      </m:dPr>
                      <m:e>
                        <m:r>
                          <m:rPr>
                            <m:sty m:val="p"/>
                          </m:rPr>
                          <a:rPr lang="tr-TR" sz="900" b="0" i="0">
                            <a:latin typeface="Cambria Math" panose="02040503050406030204" pitchFamily="18" charset="0"/>
                          </a:rPr>
                          <m:t>x</m:t>
                        </m:r>
                      </m:e>
                    </m:d>
                    <m:r>
                      <a:rPr lang="tr-TR" sz="900" b="0" i="0">
                        <a:latin typeface="Cambria Math" panose="02040503050406030204" pitchFamily="18" charset="0"/>
                      </a:rPr>
                      <m:t> </m:t>
                    </m:r>
                    <m:r>
                      <m:rPr>
                        <m:sty m:val="p"/>
                      </m:rPr>
                      <a:rPr lang="tr-TR" sz="900" b="0" i="0">
                        <a:latin typeface="Cambria Math" panose="02040503050406030204" pitchFamily="18" charset="0"/>
                      </a:rPr>
                      <m:t>value</m:t>
                    </m:r>
                    <m:r>
                      <a:rPr lang="tr-TR" sz="900" b="0" i="0">
                        <a:latin typeface="Cambria Math" panose="02040503050406030204" pitchFamily="18" charset="0"/>
                      </a:rPr>
                      <m:t> </m:t>
                    </m:r>
                    <m:r>
                      <m:rPr>
                        <m:sty m:val="p"/>
                      </m:rPr>
                      <a:rPr lang="tr-TR" sz="900" b="0" i="0">
                        <a:latin typeface="Cambria Math" panose="02040503050406030204" pitchFamily="18" charset="0"/>
                      </a:rPr>
                      <m:t>distributed</m:t>
                    </m:r>
                    <m:r>
                      <a:rPr lang="tr-TR" sz="900" b="0" i="0">
                        <a:latin typeface="Cambria Math" panose="02040503050406030204" pitchFamily="18" charset="0"/>
                      </a:rPr>
                      <m:t> </m:t>
                    </m:r>
                    <m:r>
                      <m:rPr>
                        <m:sty m:val="p"/>
                      </m:rPr>
                      <a:rPr lang="tr-TR" sz="900" b="0" i="0">
                        <a:latin typeface="Cambria Math" panose="02040503050406030204" pitchFamily="18" charset="0"/>
                      </a:rPr>
                      <m:t>in</m:t>
                    </m:r>
                    <m:r>
                      <a:rPr lang="tr-TR" sz="900" b="0" i="0">
                        <a:latin typeface="Cambria Math" panose="02040503050406030204" pitchFamily="18" charset="0"/>
                      </a:rPr>
                      <m:t> </m:t>
                    </m:r>
                    <m:r>
                      <m:rPr>
                        <m:sty m:val="p"/>
                      </m:rPr>
                      <a:rPr lang="tr-TR" sz="900" b="0" i="0">
                        <a:latin typeface="Cambria Math" panose="02040503050406030204" pitchFamily="18" charset="0"/>
                      </a:rPr>
                      <m:t>this</m:t>
                    </m:r>
                    <m:r>
                      <a:rPr lang="tr-TR" sz="900" b="0" i="0">
                        <a:latin typeface="Cambria Math" panose="02040503050406030204" pitchFamily="18" charset="0"/>
                      </a:rPr>
                      <m:t> </m:t>
                    </m:r>
                    <m:r>
                      <m:rPr>
                        <m:sty m:val="p"/>
                      </m:rPr>
                      <a:rPr lang="tr-TR" sz="900" b="0" i="0">
                        <a:latin typeface="Cambria Math" panose="02040503050406030204" pitchFamily="18" charset="0"/>
                      </a:rPr>
                      <m:t>table</m:t>
                    </m:r>
                    <m:r>
                      <a:rPr lang="tr-TR" sz="900" b="0" i="0">
                        <a:latin typeface="Cambria Math" panose="02040503050406030204" pitchFamily="18" charset="0"/>
                      </a:rPr>
                      <m:t>.</m:t>
                    </m:r>
                  </m:oMath>
                </m:oMathPara>
              </a14:m>
              <a:endParaRPr lang="en-US" sz="1100"/>
            </a:p>
          </xdr:txBody>
        </xdr:sp>
      </mc:Choice>
      <mc:Fallback xmlns="">
        <xdr:sp macro="" textlink="">
          <xdr:nvSpPr>
            <xdr:cNvPr id="120" name="Metin kutusu 119">
              <a:extLst>
                <a:ext uri="{FF2B5EF4-FFF2-40B4-BE49-F238E27FC236}">
                  <a16:creationId xmlns:a16="http://schemas.microsoft.com/office/drawing/2014/main" id="{E6E0BFA1-6BC7-4300-8E42-AE29393112B1}"/>
                </a:ext>
              </a:extLst>
            </xdr:cNvPr>
            <xdr:cNvSpPr txBox="1"/>
          </xdr:nvSpPr>
          <xdr:spPr>
            <a:xfrm>
              <a:off x="14775180" y="29276040"/>
              <a:ext cx="3198055" cy="1653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100" i="0">
                  <a:solidFill>
                    <a:schemeClr val="tx1"/>
                  </a:solidFill>
                  <a:effectLst/>
                  <a:latin typeface="Cambria Math" panose="02040503050406030204" pitchFamily="18" charset="0"/>
                  <a:ea typeface="+mn-ea"/>
                  <a:cs typeface="+mn-cs"/>
                </a:rPr>
                <a:t>〖𝐷</a:t>
              </a:r>
              <a:r>
                <a:rPr lang="tr-TR" sz="1100" b="0" i="0">
                  <a:solidFill>
                    <a:schemeClr val="tx1"/>
                  </a:solidFill>
                  <a:effectLst/>
                  <a:latin typeface="Cambria Math" panose="02040503050406030204" pitchFamily="18" charset="0"/>
                  <a:ea typeface="+mn-ea"/>
                  <a:cs typeface="+mn-cs"/>
                </a:rPr>
                <a:t>Ç 𝑐𝑜𝑒𝑓𝑓𝑖𝑐𝑒𝑛𝑡</a:t>
              </a:r>
              <a:r>
                <a:rPr lang="en-US" sz="1100" b="0" i="0">
                  <a:solidFill>
                    <a:schemeClr val="tx1"/>
                  </a:solidFill>
                  <a:effectLst/>
                  <a:latin typeface="Cambria Math" panose="02040503050406030204" pitchFamily="18" charset="0"/>
                  <a:ea typeface="+mn-ea"/>
                  <a:cs typeface="+mn-cs"/>
                </a:rPr>
                <a:t>〗_</a:t>
              </a:r>
              <a:r>
                <a:rPr lang="tr-TR" sz="1100" b="0" i="0">
                  <a:solidFill>
                    <a:schemeClr val="tx1"/>
                  </a:solidFill>
                  <a:effectLst/>
                  <a:latin typeface="Cambria Math" panose="02040503050406030204" pitchFamily="18" charset="0"/>
                  <a:ea typeface="+mn-ea"/>
                  <a:cs typeface="+mn-cs"/>
                </a:rPr>
                <a:t>x=</a:t>
              </a:r>
              <a:r>
                <a:rPr lang="tr-TR" sz="900" b="0" i="0">
                  <a:latin typeface="Cambria Math" panose="02040503050406030204" pitchFamily="18" charset="0"/>
                </a:rPr>
                <a:t>Total DÇ(x)  value distributed in this table.</a:t>
              </a:r>
              <a:endParaRPr lang="en-US" sz="1100"/>
            </a:p>
          </xdr:txBody>
        </xdr:sp>
      </mc:Fallback>
    </mc:AlternateContent>
    <xdr:clientData/>
  </xdr:oneCellAnchor>
  <xdr:twoCellAnchor>
    <xdr:from>
      <xdr:col>12</xdr:col>
      <xdr:colOff>64477</xdr:colOff>
      <xdr:row>152</xdr:row>
      <xdr:rowOff>123093</xdr:rowOff>
    </xdr:from>
    <xdr:to>
      <xdr:col>14</xdr:col>
      <xdr:colOff>0</xdr:colOff>
      <xdr:row>155</xdr:row>
      <xdr:rowOff>82683</xdr:rowOff>
    </xdr:to>
    <xdr:cxnSp macro="">
      <xdr:nvCxnSpPr>
        <xdr:cNvPr id="121" name="Düz Ok Bağlayıcısı 120">
          <a:extLst>
            <a:ext uri="{FF2B5EF4-FFF2-40B4-BE49-F238E27FC236}">
              <a16:creationId xmlns:a16="http://schemas.microsoft.com/office/drawing/2014/main" id="{00000000-0008-0000-0000-000079000000}"/>
            </a:ext>
          </a:extLst>
        </xdr:cNvPr>
        <xdr:cNvCxnSpPr>
          <a:stCxn id="120" idx="1"/>
        </xdr:cNvCxnSpPr>
      </xdr:nvCxnSpPr>
      <xdr:spPr>
        <a:xfrm flipH="1" flipV="1">
          <a:off x="13361377" y="28827633"/>
          <a:ext cx="1413803" cy="53109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115646</xdr:colOff>
      <xdr:row>0</xdr:row>
      <xdr:rowOff>27343</xdr:rowOff>
    </xdr:from>
    <xdr:to>
      <xdr:col>0</xdr:col>
      <xdr:colOff>1008357</xdr:colOff>
      <xdr:row>3</xdr:row>
      <xdr:rowOff>37596</xdr:rowOff>
    </xdr:to>
    <xdr:pic>
      <xdr:nvPicPr>
        <xdr:cNvPr id="2" name="Resim 1" descr="Bilgisayar Mühendisliği - Çankaya Üniversitesi">
          <a:extLst>
            <a:ext uri="{FF2B5EF4-FFF2-40B4-BE49-F238E27FC236}">
              <a16:creationId xmlns:a16="http://schemas.microsoft.com/office/drawing/2014/main" id="{00000000-0008-0000-0100-00000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5646" y="27343"/>
          <a:ext cx="892711" cy="88655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25</xdr:col>
      <xdr:colOff>162070</xdr:colOff>
      <xdr:row>0</xdr:row>
      <xdr:rowOff>57630</xdr:rowOff>
    </xdr:from>
    <xdr:to>
      <xdr:col>26</xdr:col>
      <xdr:colOff>471295</xdr:colOff>
      <xdr:row>3</xdr:row>
      <xdr:rowOff>46594</xdr:rowOff>
    </xdr:to>
    <xdr:pic>
      <xdr:nvPicPr>
        <xdr:cNvPr id="3" name="Resim 2" descr="Çankaya Üniversitesi - Vikipedi">
          <a:extLst>
            <a:ext uri="{FF2B5EF4-FFF2-40B4-BE49-F238E27FC236}">
              <a16:creationId xmlns:a16="http://schemas.microsoft.com/office/drawing/2014/main" id="{00000000-0008-0000-01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8897090" y="57630"/>
          <a:ext cx="895966" cy="86526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18</xdr:col>
      <xdr:colOff>21773</xdr:colOff>
      <xdr:row>5</xdr:row>
      <xdr:rowOff>10886</xdr:rowOff>
    </xdr:from>
    <xdr:to>
      <xdr:col>26</xdr:col>
      <xdr:colOff>10886</xdr:colOff>
      <xdr:row>26</xdr:row>
      <xdr:rowOff>163286</xdr:rowOff>
    </xdr:to>
    <xdr:graphicFrame macro="">
      <xdr:nvGraphicFramePr>
        <xdr:cNvPr id="4" name="Grafik 3">
          <a:extLst>
            <a:ext uri="{FF2B5EF4-FFF2-40B4-BE49-F238E27FC236}">
              <a16:creationId xmlns:a16="http://schemas.microsoft.com/office/drawing/2014/main" id="{00000000-0008-0000-01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mc:AlternateContent xmlns:mc="http://schemas.openxmlformats.org/markup-compatibility/2006">
    <mc:Choice xmlns:a14="http://schemas.microsoft.com/office/drawing/2010/main" Requires="a14">
      <xdr:twoCellAnchor editAs="oneCell">
        <xdr:from>
          <xdr:col>2</xdr:col>
          <xdr:colOff>7620</xdr:colOff>
          <xdr:row>69</xdr:row>
          <xdr:rowOff>7620</xdr:rowOff>
        </xdr:from>
        <xdr:to>
          <xdr:col>3</xdr:col>
          <xdr:colOff>60960</xdr:colOff>
          <xdr:row>70</xdr:row>
          <xdr:rowOff>30480</xdr:rowOff>
        </xdr:to>
        <xdr:sp macro="" textlink="">
          <xdr:nvSpPr>
            <xdr:cNvPr id="2049" name="Check Box 1" hidden="1">
              <a:extLst>
                <a:ext uri="{63B3BB69-23CF-44E3-9099-C40C66FF867C}">
                  <a14:compatExt spid="_x0000_s2049"/>
                </a:ext>
                <a:ext uri="{FF2B5EF4-FFF2-40B4-BE49-F238E27FC236}">
                  <a16:creationId xmlns:a16="http://schemas.microsoft.com/office/drawing/2014/main" id="{00000000-0008-0000-0100-00000108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7620</xdr:colOff>
          <xdr:row>70</xdr:row>
          <xdr:rowOff>7620</xdr:rowOff>
        </xdr:from>
        <xdr:to>
          <xdr:col>3</xdr:col>
          <xdr:colOff>60960</xdr:colOff>
          <xdr:row>71</xdr:row>
          <xdr:rowOff>30480</xdr:rowOff>
        </xdr:to>
        <xdr:sp macro="" textlink="">
          <xdr:nvSpPr>
            <xdr:cNvPr id="2050" name="Check Box 2" hidden="1">
              <a:extLst>
                <a:ext uri="{63B3BB69-23CF-44E3-9099-C40C66FF867C}">
                  <a14:compatExt spid="_x0000_s2050"/>
                </a:ext>
                <a:ext uri="{FF2B5EF4-FFF2-40B4-BE49-F238E27FC236}">
                  <a16:creationId xmlns:a16="http://schemas.microsoft.com/office/drawing/2014/main" id="{00000000-0008-0000-0100-00000208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7620</xdr:colOff>
          <xdr:row>71</xdr:row>
          <xdr:rowOff>7620</xdr:rowOff>
        </xdr:from>
        <xdr:to>
          <xdr:col>3</xdr:col>
          <xdr:colOff>60960</xdr:colOff>
          <xdr:row>72</xdr:row>
          <xdr:rowOff>30480</xdr:rowOff>
        </xdr:to>
        <xdr:sp macro="" textlink="">
          <xdr:nvSpPr>
            <xdr:cNvPr id="2051" name="Check Box 3" hidden="1">
              <a:extLst>
                <a:ext uri="{63B3BB69-23CF-44E3-9099-C40C66FF867C}">
                  <a14:compatExt spid="_x0000_s2051"/>
                </a:ext>
                <a:ext uri="{FF2B5EF4-FFF2-40B4-BE49-F238E27FC236}">
                  <a16:creationId xmlns:a16="http://schemas.microsoft.com/office/drawing/2014/main" id="{00000000-0008-0000-0100-00000308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7620</xdr:colOff>
          <xdr:row>72</xdr:row>
          <xdr:rowOff>7620</xdr:rowOff>
        </xdr:from>
        <xdr:to>
          <xdr:col>3</xdr:col>
          <xdr:colOff>60960</xdr:colOff>
          <xdr:row>73</xdr:row>
          <xdr:rowOff>30480</xdr:rowOff>
        </xdr:to>
        <xdr:sp macro="" textlink="">
          <xdr:nvSpPr>
            <xdr:cNvPr id="2052" name="Check Box 4" hidden="1">
              <a:extLst>
                <a:ext uri="{63B3BB69-23CF-44E3-9099-C40C66FF867C}">
                  <a14:compatExt spid="_x0000_s2052"/>
                </a:ext>
                <a:ext uri="{FF2B5EF4-FFF2-40B4-BE49-F238E27FC236}">
                  <a16:creationId xmlns:a16="http://schemas.microsoft.com/office/drawing/2014/main" id="{00000000-0008-0000-0100-00000408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7620</xdr:colOff>
          <xdr:row>69</xdr:row>
          <xdr:rowOff>0</xdr:rowOff>
        </xdr:from>
        <xdr:to>
          <xdr:col>5</xdr:col>
          <xdr:colOff>0</xdr:colOff>
          <xdr:row>70</xdr:row>
          <xdr:rowOff>30480</xdr:rowOff>
        </xdr:to>
        <xdr:sp macro="" textlink="">
          <xdr:nvSpPr>
            <xdr:cNvPr id="2053" name="Check Box 5" hidden="1">
              <a:extLst>
                <a:ext uri="{63B3BB69-23CF-44E3-9099-C40C66FF867C}">
                  <a14:compatExt spid="_x0000_s2053"/>
                </a:ext>
                <a:ext uri="{FF2B5EF4-FFF2-40B4-BE49-F238E27FC236}">
                  <a16:creationId xmlns:a16="http://schemas.microsoft.com/office/drawing/2014/main" id="{00000000-0008-0000-0100-00000508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7620</xdr:colOff>
          <xdr:row>70</xdr:row>
          <xdr:rowOff>22860</xdr:rowOff>
        </xdr:from>
        <xdr:to>
          <xdr:col>5</xdr:col>
          <xdr:colOff>7620</xdr:colOff>
          <xdr:row>71</xdr:row>
          <xdr:rowOff>30480</xdr:rowOff>
        </xdr:to>
        <xdr:sp macro="" textlink="">
          <xdr:nvSpPr>
            <xdr:cNvPr id="2054" name="Check Box 6" hidden="1">
              <a:extLst>
                <a:ext uri="{63B3BB69-23CF-44E3-9099-C40C66FF867C}">
                  <a14:compatExt spid="_x0000_s2054"/>
                </a:ext>
                <a:ext uri="{FF2B5EF4-FFF2-40B4-BE49-F238E27FC236}">
                  <a16:creationId xmlns:a16="http://schemas.microsoft.com/office/drawing/2014/main" id="{00000000-0008-0000-0100-00000608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7620</xdr:colOff>
          <xdr:row>70</xdr:row>
          <xdr:rowOff>182880</xdr:rowOff>
        </xdr:from>
        <xdr:to>
          <xdr:col>4</xdr:col>
          <xdr:colOff>998220</xdr:colOff>
          <xdr:row>72</xdr:row>
          <xdr:rowOff>30480</xdr:rowOff>
        </xdr:to>
        <xdr:sp macro="" textlink="">
          <xdr:nvSpPr>
            <xdr:cNvPr id="2055" name="Check Box 7" hidden="1">
              <a:extLst>
                <a:ext uri="{63B3BB69-23CF-44E3-9099-C40C66FF867C}">
                  <a14:compatExt spid="_x0000_s2055"/>
                </a:ext>
                <a:ext uri="{FF2B5EF4-FFF2-40B4-BE49-F238E27FC236}">
                  <a16:creationId xmlns:a16="http://schemas.microsoft.com/office/drawing/2014/main" id="{00000000-0008-0000-0100-00000708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7620</xdr:colOff>
          <xdr:row>71</xdr:row>
          <xdr:rowOff>182880</xdr:rowOff>
        </xdr:from>
        <xdr:to>
          <xdr:col>4</xdr:col>
          <xdr:colOff>990600</xdr:colOff>
          <xdr:row>73</xdr:row>
          <xdr:rowOff>30480</xdr:rowOff>
        </xdr:to>
        <xdr:sp macro="" textlink="">
          <xdr:nvSpPr>
            <xdr:cNvPr id="2056" name="Check Box 8" hidden="1">
              <a:extLst>
                <a:ext uri="{63B3BB69-23CF-44E3-9099-C40C66FF867C}">
                  <a14:compatExt spid="_x0000_s2056"/>
                </a:ext>
                <a:ext uri="{FF2B5EF4-FFF2-40B4-BE49-F238E27FC236}">
                  <a16:creationId xmlns:a16="http://schemas.microsoft.com/office/drawing/2014/main" id="{00000000-0008-0000-0100-00000808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7620</xdr:colOff>
          <xdr:row>69</xdr:row>
          <xdr:rowOff>7620</xdr:rowOff>
        </xdr:from>
        <xdr:to>
          <xdr:col>6</xdr:col>
          <xdr:colOff>861060</xdr:colOff>
          <xdr:row>70</xdr:row>
          <xdr:rowOff>30480</xdr:rowOff>
        </xdr:to>
        <xdr:sp macro="" textlink="">
          <xdr:nvSpPr>
            <xdr:cNvPr id="2057" name="Check Box 9" hidden="1">
              <a:extLst>
                <a:ext uri="{63B3BB69-23CF-44E3-9099-C40C66FF867C}">
                  <a14:compatExt spid="_x0000_s2057"/>
                </a:ext>
                <a:ext uri="{FF2B5EF4-FFF2-40B4-BE49-F238E27FC236}">
                  <a16:creationId xmlns:a16="http://schemas.microsoft.com/office/drawing/2014/main" id="{00000000-0008-0000-0100-00000908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7620</xdr:colOff>
          <xdr:row>70</xdr:row>
          <xdr:rowOff>7620</xdr:rowOff>
        </xdr:from>
        <xdr:to>
          <xdr:col>6</xdr:col>
          <xdr:colOff>861060</xdr:colOff>
          <xdr:row>71</xdr:row>
          <xdr:rowOff>30480</xdr:rowOff>
        </xdr:to>
        <xdr:sp macro="" textlink="">
          <xdr:nvSpPr>
            <xdr:cNvPr id="2058" name="Check Box 10" hidden="1">
              <a:extLst>
                <a:ext uri="{63B3BB69-23CF-44E3-9099-C40C66FF867C}">
                  <a14:compatExt spid="_x0000_s2058"/>
                </a:ext>
                <a:ext uri="{FF2B5EF4-FFF2-40B4-BE49-F238E27FC236}">
                  <a16:creationId xmlns:a16="http://schemas.microsoft.com/office/drawing/2014/main" id="{00000000-0008-0000-0100-00000A08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7620</xdr:colOff>
          <xdr:row>71</xdr:row>
          <xdr:rowOff>7620</xdr:rowOff>
        </xdr:from>
        <xdr:to>
          <xdr:col>6</xdr:col>
          <xdr:colOff>861060</xdr:colOff>
          <xdr:row>72</xdr:row>
          <xdr:rowOff>30480</xdr:rowOff>
        </xdr:to>
        <xdr:sp macro="" textlink="">
          <xdr:nvSpPr>
            <xdr:cNvPr id="2059" name="Check Box 11" hidden="1">
              <a:extLst>
                <a:ext uri="{63B3BB69-23CF-44E3-9099-C40C66FF867C}">
                  <a14:compatExt spid="_x0000_s2059"/>
                </a:ext>
                <a:ext uri="{FF2B5EF4-FFF2-40B4-BE49-F238E27FC236}">
                  <a16:creationId xmlns:a16="http://schemas.microsoft.com/office/drawing/2014/main" id="{00000000-0008-0000-0100-00000B08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7620</xdr:colOff>
          <xdr:row>72</xdr:row>
          <xdr:rowOff>7620</xdr:rowOff>
        </xdr:from>
        <xdr:to>
          <xdr:col>6</xdr:col>
          <xdr:colOff>861060</xdr:colOff>
          <xdr:row>73</xdr:row>
          <xdr:rowOff>30480</xdr:rowOff>
        </xdr:to>
        <xdr:sp macro="" textlink="">
          <xdr:nvSpPr>
            <xdr:cNvPr id="2060" name="Check Box 12" hidden="1">
              <a:extLst>
                <a:ext uri="{63B3BB69-23CF-44E3-9099-C40C66FF867C}">
                  <a14:compatExt spid="_x0000_s2060"/>
                </a:ext>
                <a:ext uri="{FF2B5EF4-FFF2-40B4-BE49-F238E27FC236}">
                  <a16:creationId xmlns:a16="http://schemas.microsoft.com/office/drawing/2014/main" id="{00000000-0008-0000-0100-00000C08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7620</xdr:colOff>
          <xdr:row>69</xdr:row>
          <xdr:rowOff>0</xdr:rowOff>
        </xdr:from>
        <xdr:to>
          <xdr:col>9</xdr:col>
          <xdr:colOff>0</xdr:colOff>
          <xdr:row>70</xdr:row>
          <xdr:rowOff>30480</xdr:rowOff>
        </xdr:to>
        <xdr:sp macro="" textlink="">
          <xdr:nvSpPr>
            <xdr:cNvPr id="2061" name="Check Box 13" hidden="1">
              <a:extLst>
                <a:ext uri="{63B3BB69-23CF-44E3-9099-C40C66FF867C}">
                  <a14:compatExt spid="_x0000_s2061"/>
                </a:ext>
                <a:ext uri="{FF2B5EF4-FFF2-40B4-BE49-F238E27FC236}">
                  <a16:creationId xmlns:a16="http://schemas.microsoft.com/office/drawing/2014/main" id="{00000000-0008-0000-0100-00000D08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7620</xdr:colOff>
          <xdr:row>70</xdr:row>
          <xdr:rowOff>7620</xdr:rowOff>
        </xdr:from>
        <xdr:to>
          <xdr:col>9</xdr:col>
          <xdr:colOff>0</xdr:colOff>
          <xdr:row>71</xdr:row>
          <xdr:rowOff>30480</xdr:rowOff>
        </xdr:to>
        <xdr:sp macro="" textlink="">
          <xdr:nvSpPr>
            <xdr:cNvPr id="2062" name="Check Box 14" hidden="1">
              <a:extLst>
                <a:ext uri="{63B3BB69-23CF-44E3-9099-C40C66FF867C}">
                  <a14:compatExt spid="_x0000_s2062"/>
                </a:ext>
                <a:ext uri="{FF2B5EF4-FFF2-40B4-BE49-F238E27FC236}">
                  <a16:creationId xmlns:a16="http://schemas.microsoft.com/office/drawing/2014/main" id="{00000000-0008-0000-0100-00000E08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7620</xdr:colOff>
          <xdr:row>71</xdr:row>
          <xdr:rowOff>0</xdr:rowOff>
        </xdr:from>
        <xdr:to>
          <xdr:col>9</xdr:col>
          <xdr:colOff>0</xdr:colOff>
          <xdr:row>72</xdr:row>
          <xdr:rowOff>30480</xdr:rowOff>
        </xdr:to>
        <xdr:sp macro="" textlink="">
          <xdr:nvSpPr>
            <xdr:cNvPr id="2063" name="Check Box 15" hidden="1">
              <a:extLst>
                <a:ext uri="{63B3BB69-23CF-44E3-9099-C40C66FF867C}">
                  <a14:compatExt spid="_x0000_s2063"/>
                </a:ext>
                <a:ext uri="{FF2B5EF4-FFF2-40B4-BE49-F238E27FC236}">
                  <a16:creationId xmlns:a16="http://schemas.microsoft.com/office/drawing/2014/main" id="{00000000-0008-0000-0100-00000F08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7620</xdr:colOff>
          <xdr:row>72</xdr:row>
          <xdr:rowOff>22860</xdr:rowOff>
        </xdr:from>
        <xdr:to>
          <xdr:col>8</xdr:col>
          <xdr:colOff>1112520</xdr:colOff>
          <xdr:row>73</xdr:row>
          <xdr:rowOff>30480</xdr:rowOff>
        </xdr:to>
        <xdr:sp macro="" textlink="">
          <xdr:nvSpPr>
            <xdr:cNvPr id="2064" name="Check Box 16" hidden="1">
              <a:extLst>
                <a:ext uri="{63B3BB69-23CF-44E3-9099-C40C66FF867C}">
                  <a14:compatExt spid="_x0000_s2064"/>
                </a:ext>
                <a:ext uri="{FF2B5EF4-FFF2-40B4-BE49-F238E27FC236}">
                  <a16:creationId xmlns:a16="http://schemas.microsoft.com/office/drawing/2014/main" id="{00000000-0008-0000-0100-00001008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7620</xdr:colOff>
          <xdr:row>69</xdr:row>
          <xdr:rowOff>0</xdr:rowOff>
        </xdr:from>
        <xdr:to>
          <xdr:col>10</xdr:col>
          <xdr:colOff>990600</xdr:colOff>
          <xdr:row>70</xdr:row>
          <xdr:rowOff>30480</xdr:rowOff>
        </xdr:to>
        <xdr:sp macro="" textlink="">
          <xdr:nvSpPr>
            <xdr:cNvPr id="2065" name="Check Box 17" hidden="1">
              <a:extLst>
                <a:ext uri="{63B3BB69-23CF-44E3-9099-C40C66FF867C}">
                  <a14:compatExt spid="_x0000_s2065"/>
                </a:ext>
                <a:ext uri="{FF2B5EF4-FFF2-40B4-BE49-F238E27FC236}">
                  <a16:creationId xmlns:a16="http://schemas.microsoft.com/office/drawing/2014/main" id="{00000000-0008-0000-0100-00001108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7620</xdr:colOff>
          <xdr:row>70</xdr:row>
          <xdr:rowOff>22860</xdr:rowOff>
        </xdr:from>
        <xdr:to>
          <xdr:col>10</xdr:col>
          <xdr:colOff>990600</xdr:colOff>
          <xdr:row>71</xdr:row>
          <xdr:rowOff>30480</xdr:rowOff>
        </xdr:to>
        <xdr:sp macro="" textlink="">
          <xdr:nvSpPr>
            <xdr:cNvPr id="2066" name="Check Box 18" hidden="1">
              <a:extLst>
                <a:ext uri="{63B3BB69-23CF-44E3-9099-C40C66FF867C}">
                  <a14:compatExt spid="_x0000_s2066"/>
                </a:ext>
                <a:ext uri="{FF2B5EF4-FFF2-40B4-BE49-F238E27FC236}">
                  <a16:creationId xmlns:a16="http://schemas.microsoft.com/office/drawing/2014/main" id="{00000000-0008-0000-0100-00001208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7620</xdr:colOff>
          <xdr:row>71</xdr:row>
          <xdr:rowOff>0</xdr:rowOff>
        </xdr:from>
        <xdr:to>
          <xdr:col>11</xdr:col>
          <xdr:colOff>0</xdr:colOff>
          <xdr:row>72</xdr:row>
          <xdr:rowOff>30480</xdr:rowOff>
        </xdr:to>
        <xdr:sp macro="" textlink="">
          <xdr:nvSpPr>
            <xdr:cNvPr id="2067" name="Check Box 19" hidden="1">
              <a:extLst>
                <a:ext uri="{63B3BB69-23CF-44E3-9099-C40C66FF867C}">
                  <a14:compatExt spid="_x0000_s2067"/>
                </a:ext>
                <a:ext uri="{FF2B5EF4-FFF2-40B4-BE49-F238E27FC236}">
                  <a16:creationId xmlns:a16="http://schemas.microsoft.com/office/drawing/2014/main" id="{00000000-0008-0000-0100-00001308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7620</xdr:colOff>
          <xdr:row>71</xdr:row>
          <xdr:rowOff>175260</xdr:rowOff>
        </xdr:from>
        <xdr:to>
          <xdr:col>10</xdr:col>
          <xdr:colOff>990600</xdr:colOff>
          <xdr:row>73</xdr:row>
          <xdr:rowOff>30480</xdr:rowOff>
        </xdr:to>
        <xdr:sp macro="" textlink="">
          <xdr:nvSpPr>
            <xdr:cNvPr id="2068" name="Check Box 20" hidden="1">
              <a:extLst>
                <a:ext uri="{63B3BB69-23CF-44E3-9099-C40C66FF867C}">
                  <a14:compatExt spid="_x0000_s2068"/>
                </a:ext>
                <a:ext uri="{FF2B5EF4-FFF2-40B4-BE49-F238E27FC236}">
                  <a16:creationId xmlns:a16="http://schemas.microsoft.com/office/drawing/2014/main" id="{00000000-0008-0000-0100-00001408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7620</xdr:colOff>
          <xdr:row>69</xdr:row>
          <xdr:rowOff>7620</xdr:rowOff>
        </xdr:from>
        <xdr:to>
          <xdr:col>13</xdr:col>
          <xdr:colOff>22860</xdr:colOff>
          <xdr:row>70</xdr:row>
          <xdr:rowOff>30480</xdr:rowOff>
        </xdr:to>
        <xdr:sp macro="" textlink="">
          <xdr:nvSpPr>
            <xdr:cNvPr id="2069" name="Check Box 21" hidden="1">
              <a:extLst>
                <a:ext uri="{63B3BB69-23CF-44E3-9099-C40C66FF867C}">
                  <a14:compatExt spid="_x0000_s2069"/>
                </a:ext>
                <a:ext uri="{FF2B5EF4-FFF2-40B4-BE49-F238E27FC236}">
                  <a16:creationId xmlns:a16="http://schemas.microsoft.com/office/drawing/2014/main" id="{00000000-0008-0000-0100-00001508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7620</xdr:colOff>
          <xdr:row>70</xdr:row>
          <xdr:rowOff>7620</xdr:rowOff>
        </xdr:from>
        <xdr:to>
          <xdr:col>13</xdr:col>
          <xdr:colOff>22860</xdr:colOff>
          <xdr:row>71</xdr:row>
          <xdr:rowOff>30480</xdr:rowOff>
        </xdr:to>
        <xdr:sp macro="" textlink="">
          <xdr:nvSpPr>
            <xdr:cNvPr id="2070" name="Check Box 22" hidden="1">
              <a:extLst>
                <a:ext uri="{63B3BB69-23CF-44E3-9099-C40C66FF867C}">
                  <a14:compatExt spid="_x0000_s2070"/>
                </a:ext>
                <a:ext uri="{FF2B5EF4-FFF2-40B4-BE49-F238E27FC236}">
                  <a16:creationId xmlns:a16="http://schemas.microsoft.com/office/drawing/2014/main" id="{00000000-0008-0000-0100-00001608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7620</xdr:colOff>
          <xdr:row>71</xdr:row>
          <xdr:rowOff>7620</xdr:rowOff>
        </xdr:from>
        <xdr:to>
          <xdr:col>13</xdr:col>
          <xdr:colOff>22860</xdr:colOff>
          <xdr:row>72</xdr:row>
          <xdr:rowOff>30480</xdr:rowOff>
        </xdr:to>
        <xdr:sp macro="" textlink="">
          <xdr:nvSpPr>
            <xdr:cNvPr id="2071" name="Check Box 23" hidden="1">
              <a:extLst>
                <a:ext uri="{63B3BB69-23CF-44E3-9099-C40C66FF867C}">
                  <a14:compatExt spid="_x0000_s2071"/>
                </a:ext>
                <a:ext uri="{FF2B5EF4-FFF2-40B4-BE49-F238E27FC236}">
                  <a16:creationId xmlns:a16="http://schemas.microsoft.com/office/drawing/2014/main" id="{00000000-0008-0000-0100-00001708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7620</xdr:colOff>
          <xdr:row>72</xdr:row>
          <xdr:rowOff>7620</xdr:rowOff>
        </xdr:from>
        <xdr:to>
          <xdr:col>13</xdr:col>
          <xdr:colOff>22860</xdr:colOff>
          <xdr:row>73</xdr:row>
          <xdr:rowOff>30480</xdr:rowOff>
        </xdr:to>
        <xdr:sp macro="" textlink="">
          <xdr:nvSpPr>
            <xdr:cNvPr id="2072" name="Check Box 24" hidden="1">
              <a:extLst>
                <a:ext uri="{63B3BB69-23CF-44E3-9099-C40C66FF867C}">
                  <a14:compatExt spid="_x0000_s2072"/>
                </a:ext>
                <a:ext uri="{FF2B5EF4-FFF2-40B4-BE49-F238E27FC236}">
                  <a16:creationId xmlns:a16="http://schemas.microsoft.com/office/drawing/2014/main" id="{00000000-0008-0000-0100-00001808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7620</xdr:colOff>
          <xdr:row>69</xdr:row>
          <xdr:rowOff>7620</xdr:rowOff>
        </xdr:from>
        <xdr:to>
          <xdr:col>15</xdr:col>
          <xdr:colOff>0</xdr:colOff>
          <xdr:row>70</xdr:row>
          <xdr:rowOff>30480</xdr:rowOff>
        </xdr:to>
        <xdr:sp macro="" textlink="">
          <xdr:nvSpPr>
            <xdr:cNvPr id="2073" name="Check Box 25" hidden="1">
              <a:extLst>
                <a:ext uri="{63B3BB69-23CF-44E3-9099-C40C66FF867C}">
                  <a14:compatExt spid="_x0000_s2073"/>
                </a:ext>
                <a:ext uri="{FF2B5EF4-FFF2-40B4-BE49-F238E27FC236}">
                  <a16:creationId xmlns:a16="http://schemas.microsoft.com/office/drawing/2014/main" id="{00000000-0008-0000-0100-00001908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7620</xdr:colOff>
          <xdr:row>70</xdr:row>
          <xdr:rowOff>7620</xdr:rowOff>
        </xdr:from>
        <xdr:to>
          <xdr:col>15</xdr:col>
          <xdr:colOff>0</xdr:colOff>
          <xdr:row>71</xdr:row>
          <xdr:rowOff>30480</xdr:rowOff>
        </xdr:to>
        <xdr:sp macro="" textlink="">
          <xdr:nvSpPr>
            <xdr:cNvPr id="2074" name="Check Box 26" hidden="1">
              <a:extLst>
                <a:ext uri="{63B3BB69-23CF-44E3-9099-C40C66FF867C}">
                  <a14:compatExt spid="_x0000_s2074"/>
                </a:ext>
                <a:ext uri="{FF2B5EF4-FFF2-40B4-BE49-F238E27FC236}">
                  <a16:creationId xmlns:a16="http://schemas.microsoft.com/office/drawing/2014/main" id="{00000000-0008-0000-0100-00001A08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7620</xdr:colOff>
          <xdr:row>71</xdr:row>
          <xdr:rowOff>7620</xdr:rowOff>
        </xdr:from>
        <xdr:to>
          <xdr:col>15</xdr:col>
          <xdr:colOff>0</xdr:colOff>
          <xdr:row>72</xdr:row>
          <xdr:rowOff>30480</xdr:rowOff>
        </xdr:to>
        <xdr:sp macro="" textlink="">
          <xdr:nvSpPr>
            <xdr:cNvPr id="2075" name="Check Box 27" hidden="1">
              <a:extLst>
                <a:ext uri="{63B3BB69-23CF-44E3-9099-C40C66FF867C}">
                  <a14:compatExt spid="_x0000_s2075"/>
                </a:ext>
                <a:ext uri="{FF2B5EF4-FFF2-40B4-BE49-F238E27FC236}">
                  <a16:creationId xmlns:a16="http://schemas.microsoft.com/office/drawing/2014/main" id="{00000000-0008-0000-0100-00001B08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7620</xdr:colOff>
          <xdr:row>72</xdr:row>
          <xdr:rowOff>7620</xdr:rowOff>
        </xdr:from>
        <xdr:to>
          <xdr:col>15</xdr:col>
          <xdr:colOff>0</xdr:colOff>
          <xdr:row>73</xdr:row>
          <xdr:rowOff>30480</xdr:rowOff>
        </xdr:to>
        <xdr:sp macro="" textlink="">
          <xdr:nvSpPr>
            <xdr:cNvPr id="2076" name="Check Box 28" hidden="1">
              <a:extLst>
                <a:ext uri="{63B3BB69-23CF-44E3-9099-C40C66FF867C}">
                  <a14:compatExt spid="_x0000_s2076"/>
                </a:ext>
                <a:ext uri="{FF2B5EF4-FFF2-40B4-BE49-F238E27FC236}">
                  <a16:creationId xmlns:a16="http://schemas.microsoft.com/office/drawing/2014/main" id="{00000000-0008-0000-0100-00001C08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16</xdr:col>
          <xdr:colOff>7620</xdr:colOff>
          <xdr:row>69</xdr:row>
          <xdr:rowOff>0</xdr:rowOff>
        </xdr:from>
        <xdr:to>
          <xdr:col>16</xdr:col>
          <xdr:colOff>1478280</xdr:colOff>
          <xdr:row>70</xdr:row>
          <xdr:rowOff>30480</xdr:rowOff>
        </xdr:to>
        <xdr:sp macro="" textlink="">
          <xdr:nvSpPr>
            <xdr:cNvPr id="2077" name="Check Box 29" hidden="1">
              <a:extLst>
                <a:ext uri="{63B3BB69-23CF-44E3-9099-C40C66FF867C}">
                  <a14:compatExt spid="_x0000_s2077"/>
                </a:ext>
                <a:ext uri="{FF2B5EF4-FFF2-40B4-BE49-F238E27FC236}">
                  <a16:creationId xmlns:a16="http://schemas.microsoft.com/office/drawing/2014/main" id="{00000000-0008-0000-0100-00001D08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16</xdr:col>
          <xdr:colOff>7620</xdr:colOff>
          <xdr:row>70</xdr:row>
          <xdr:rowOff>0</xdr:rowOff>
        </xdr:from>
        <xdr:to>
          <xdr:col>16</xdr:col>
          <xdr:colOff>1485900</xdr:colOff>
          <xdr:row>71</xdr:row>
          <xdr:rowOff>30480</xdr:rowOff>
        </xdr:to>
        <xdr:sp macro="" textlink="">
          <xdr:nvSpPr>
            <xdr:cNvPr id="2078" name="Check Box 30" hidden="1">
              <a:extLst>
                <a:ext uri="{63B3BB69-23CF-44E3-9099-C40C66FF867C}">
                  <a14:compatExt spid="_x0000_s2078"/>
                </a:ext>
                <a:ext uri="{FF2B5EF4-FFF2-40B4-BE49-F238E27FC236}">
                  <a16:creationId xmlns:a16="http://schemas.microsoft.com/office/drawing/2014/main" id="{00000000-0008-0000-0100-00001E08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16</xdr:col>
          <xdr:colOff>7620</xdr:colOff>
          <xdr:row>71</xdr:row>
          <xdr:rowOff>7620</xdr:rowOff>
        </xdr:from>
        <xdr:to>
          <xdr:col>16</xdr:col>
          <xdr:colOff>1493520</xdr:colOff>
          <xdr:row>72</xdr:row>
          <xdr:rowOff>30480</xdr:rowOff>
        </xdr:to>
        <xdr:sp macro="" textlink="">
          <xdr:nvSpPr>
            <xdr:cNvPr id="2079" name="Check Box 31" hidden="1">
              <a:extLst>
                <a:ext uri="{63B3BB69-23CF-44E3-9099-C40C66FF867C}">
                  <a14:compatExt spid="_x0000_s2079"/>
                </a:ext>
                <a:ext uri="{FF2B5EF4-FFF2-40B4-BE49-F238E27FC236}">
                  <a16:creationId xmlns:a16="http://schemas.microsoft.com/office/drawing/2014/main" id="{00000000-0008-0000-0100-00001F08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16</xdr:col>
          <xdr:colOff>7620</xdr:colOff>
          <xdr:row>72</xdr:row>
          <xdr:rowOff>7620</xdr:rowOff>
        </xdr:from>
        <xdr:to>
          <xdr:col>16</xdr:col>
          <xdr:colOff>1066800</xdr:colOff>
          <xdr:row>73</xdr:row>
          <xdr:rowOff>30480</xdr:rowOff>
        </xdr:to>
        <xdr:sp macro="" textlink="">
          <xdr:nvSpPr>
            <xdr:cNvPr id="2080" name="Check Box 32" hidden="1">
              <a:extLst>
                <a:ext uri="{63B3BB69-23CF-44E3-9099-C40C66FF867C}">
                  <a14:compatExt spid="_x0000_s2080"/>
                </a:ext>
                <a:ext uri="{FF2B5EF4-FFF2-40B4-BE49-F238E27FC236}">
                  <a16:creationId xmlns:a16="http://schemas.microsoft.com/office/drawing/2014/main" id="{00000000-0008-0000-0100-00002008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18</xdr:col>
          <xdr:colOff>7620</xdr:colOff>
          <xdr:row>69</xdr:row>
          <xdr:rowOff>7620</xdr:rowOff>
        </xdr:from>
        <xdr:to>
          <xdr:col>18</xdr:col>
          <xdr:colOff>1257300</xdr:colOff>
          <xdr:row>70</xdr:row>
          <xdr:rowOff>30480</xdr:rowOff>
        </xdr:to>
        <xdr:sp macro="" textlink="">
          <xdr:nvSpPr>
            <xdr:cNvPr id="2081" name="Check Box 33" hidden="1">
              <a:extLst>
                <a:ext uri="{63B3BB69-23CF-44E3-9099-C40C66FF867C}">
                  <a14:compatExt spid="_x0000_s2081"/>
                </a:ext>
                <a:ext uri="{FF2B5EF4-FFF2-40B4-BE49-F238E27FC236}">
                  <a16:creationId xmlns:a16="http://schemas.microsoft.com/office/drawing/2014/main" id="{00000000-0008-0000-0100-00002108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18</xdr:col>
          <xdr:colOff>7620</xdr:colOff>
          <xdr:row>70</xdr:row>
          <xdr:rowOff>7620</xdr:rowOff>
        </xdr:from>
        <xdr:to>
          <xdr:col>18</xdr:col>
          <xdr:colOff>1257300</xdr:colOff>
          <xdr:row>71</xdr:row>
          <xdr:rowOff>30480</xdr:rowOff>
        </xdr:to>
        <xdr:sp macro="" textlink="">
          <xdr:nvSpPr>
            <xdr:cNvPr id="2082" name="Check Box 34" hidden="1">
              <a:extLst>
                <a:ext uri="{63B3BB69-23CF-44E3-9099-C40C66FF867C}">
                  <a14:compatExt spid="_x0000_s2082"/>
                </a:ext>
                <a:ext uri="{FF2B5EF4-FFF2-40B4-BE49-F238E27FC236}">
                  <a16:creationId xmlns:a16="http://schemas.microsoft.com/office/drawing/2014/main" id="{00000000-0008-0000-0100-00002208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18</xdr:col>
          <xdr:colOff>7620</xdr:colOff>
          <xdr:row>71</xdr:row>
          <xdr:rowOff>7620</xdr:rowOff>
        </xdr:from>
        <xdr:to>
          <xdr:col>18</xdr:col>
          <xdr:colOff>1257300</xdr:colOff>
          <xdr:row>72</xdr:row>
          <xdr:rowOff>30480</xdr:rowOff>
        </xdr:to>
        <xdr:sp macro="" textlink="">
          <xdr:nvSpPr>
            <xdr:cNvPr id="2083" name="Check Box 35" hidden="1">
              <a:extLst>
                <a:ext uri="{63B3BB69-23CF-44E3-9099-C40C66FF867C}">
                  <a14:compatExt spid="_x0000_s2083"/>
                </a:ext>
                <a:ext uri="{FF2B5EF4-FFF2-40B4-BE49-F238E27FC236}">
                  <a16:creationId xmlns:a16="http://schemas.microsoft.com/office/drawing/2014/main" id="{00000000-0008-0000-0100-00002308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18</xdr:col>
          <xdr:colOff>7620</xdr:colOff>
          <xdr:row>72</xdr:row>
          <xdr:rowOff>7620</xdr:rowOff>
        </xdr:from>
        <xdr:to>
          <xdr:col>18</xdr:col>
          <xdr:colOff>1257300</xdr:colOff>
          <xdr:row>73</xdr:row>
          <xdr:rowOff>30480</xdr:rowOff>
        </xdr:to>
        <xdr:sp macro="" textlink="">
          <xdr:nvSpPr>
            <xdr:cNvPr id="2084" name="Check Box 36" hidden="1">
              <a:extLst>
                <a:ext uri="{63B3BB69-23CF-44E3-9099-C40C66FF867C}">
                  <a14:compatExt spid="_x0000_s2084"/>
                </a:ext>
                <a:ext uri="{FF2B5EF4-FFF2-40B4-BE49-F238E27FC236}">
                  <a16:creationId xmlns:a16="http://schemas.microsoft.com/office/drawing/2014/main" id="{00000000-0008-0000-0100-00002408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20</xdr:col>
          <xdr:colOff>7620</xdr:colOff>
          <xdr:row>69</xdr:row>
          <xdr:rowOff>7620</xdr:rowOff>
        </xdr:from>
        <xdr:to>
          <xdr:col>20</xdr:col>
          <xdr:colOff>1036320</xdr:colOff>
          <xdr:row>70</xdr:row>
          <xdr:rowOff>30480</xdr:rowOff>
        </xdr:to>
        <xdr:sp macro="" textlink="">
          <xdr:nvSpPr>
            <xdr:cNvPr id="2085" name="Check Box 37" hidden="1">
              <a:extLst>
                <a:ext uri="{63B3BB69-23CF-44E3-9099-C40C66FF867C}">
                  <a14:compatExt spid="_x0000_s2085"/>
                </a:ext>
                <a:ext uri="{FF2B5EF4-FFF2-40B4-BE49-F238E27FC236}">
                  <a16:creationId xmlns:a16="http://schemas.microsoft.com/office/drawing/2014/main" id="{00000000-0008-0000-0100-00002508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20</xdr:col>
          <xdr:colOff>7620</xdr:colOff>
          <xdr:row>70</xdr:row>
          <xdr:rowOff>7620</xdr:rowOff>
        </xdr:from>
        <xdr:to>
          <xdr:col>20</xdr:col>
          <xdr:colOff>1036320</xdr:colOff>
          <xdr:row>71</xdr:row>
          <xdr:rowOff>30480</xdr:rowOff>
        </xdr:to>
        <xdr:sp macro="" textlink="">
          <xdr:nvSpPr>
            <xdr:cNvPr id="2086" name="Check Box 38" hidden="1">
              <a:extLst>
                <a:ext uri="{63B3BB69-23CF-44E3-9099-C40C66FF867C}">
                  <a14:compatExt spid="_x0000_s2086"/>
                </a:ext>
                <a:ext uri="{FF2B5EF4-FFF2-40B4-BE49-F238E27FC236}">
                  <a16:creationId xmlns:a16="http://schemas.microsoft.com/office/drawing/2014/main" id="{00000000-0008-0000-0100-00002608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20</xdr:col>
          <xdr:colOff>7620</xdr:colOff>
          <xdr:row>71</xdr:row>
          <xdr:rowOff>7620</xdr:rowOff>
        </xdr:from>
        <xdr:to>
          <xdr:col>20</xdr:col>
          <xdr:colOff>1036320</xdr:colOff>
          <xdr:row>72</xdr:row>
          <xdr:rowOff>30480</xdr:rowOff>
        </xdr:to>
        <xdr:sp macro="" textlink="">
          <xdr:nvSpPr>
            <xdr:cNvPr id="2087" name="Check Box 39" hidden="1">
              <a:extLst>
                <a:ext uri="{63B3BB69-23CF-44E3-9099-C40C66FF867C}">
                  <a14:compatExt spid="_x0000_s2087"/>
                </a:ext>
                <a:ext uri="{FF2B5EF4-FFF2-40B4-BE49-F238E27FC236}">
                  <a16:creationId xmlns:a16="http://schemas.microsoft.com/office/drawing/2014/main" id="{00000000-0008-0000-0100-00002708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20</xdr:col>
          <xdr:colOff>7620</xdr:colOff>
          <xdr:row>72</xdr:row>
          <xdr:rowOff>7620</xdr:rowOff>
        </xdr:from>
        <xdr:to>
          <xdr:col>20</xdr:col>
          <xdr:colOff>1036320</xdr:colOff>
          <xdr:row>73</xdr:row>
          <xdr:rowOff>30480</xdr:rowOff>
        </xdr:to>
        <xdr:sp macro="" textlink="">
          <xdr:nvSpPr>
            <xdr:cNvPr id="2088" name="Check Box 40" hidden="1">
              <a:extLst>
                <a:ext uri="{63B3BB69-23CF-44E3-9099-C40C66FF867C}">
                  <a14:compatExt spid="_x0000_s2088"/>
                </a:ext>
                <a:ext uri="{FF2B5EF4-FFF2-40B4-BE49-F238E27FC236}">
                  <a16:creationId xmlns:a16="http://schemas.microsoft.com/office/drawing/2014/main" id="{00000000-0008-0000-0100-00002808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22</xdr:col>
          <xdr:colOff>7620</xdr:colOff>
          <xdr:row>69</xdr:row>
          <xdr:rowOff>22860</xdr:rowOff>
        </xdr:from>
        <xdr:to>
          <xdr:col>22</xdr:col>
          <xdr:colOff>1402080</xdr:colOff>
          <xdr:row>70</xdr:row>
          <xdr:rowOff>30480</xdr:rowOff>
        </xdr:to>
        <xdr:sp macro="" textlink="">
          <xdr:nvSpPr>
            <xdr:cNvPr id="2089" name="Check Box 41" hidden="1">
              <a:extLst>
                <a:ext uri="{63B3BB69-23CF-44E3-9099-C40C66FF867C}">
                  <a14:compatExt spid="_x0000_s2089"/>
                </a:ext>
                <a:ext uri="{FF2B5EF4-FFF2-40B4-BE49-F238E27FC236}">
                  <a16:creationId xmlns:a16="http://schemas.microsoft.com/office/drawing/2014/main" id="{00000000-0008-0000-0100-00002908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22</xdr:col>
          <xdr:colOff>7620</xdr:colOff>
          <xdr:row>70</xdr:row>
          <xdr:rowOff>0</xdr:rowOff>
        </xdr:from>
        <xdr:to>
          <xdr:col>22</xdr:col>
          <xdr:colOff>1402080</xdr:colOff>
          <xdr:row>71</xdr:row>
          <xdr:rowOff>30480</xdr:rowOff>
        </xdr:to>
        <xdr:sp macro="" textlink="">
          <xdr:nvSpPr>
            <xdr:cNvPr id="2090" name="Check Box 42" hidden="1">
              <a:extLst>
                <a:ext uri="{63B3BB69-23CF-44E3-9099-C40C66FF867C}">
                  <a14:compatExt spid="_x0000_s2090"/>
                </a:ext>
                <a:ext uri="{FF2B5EF4-FFF2-40B4-BE49-F238E27FC236}">
                  <a16:creationId xmlns:a16="http://schemas.microsoft.com/office/drawing/2014/main" id="{00000000-0008-0000-0100-00002A08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22</xdr:col>
          <xdr:colOff>7620</xdr:colOff>
          <xdr:row>70</xdr:row>
          <xdr:rowOff>175260</xdr:rowOff>
        </xdr:from>
        <xdr:to>
          <xdr:col>22</xdr:col>
          <xdr:colOff>1409700</xdr:colOff>
          <xdr:row>72</xdr:row>
          <xdr:rowOff>30480</xdr:rowOff>
        </xdr:to>
        <xdr:sp macro="" textlink="">
          <xdr:nvSpPr>
            <xdr:cNvPr id="2091" name="Check Box 43" hidden="1">
              <a:extLst>
                <a:ext uri="{63B3BB69-23CF-44E3-9099-C40C66FF867C}">
                  <a14:compatExt spid="_x0000_s2091"/>
                </a:ext>
                <a:ext uri="{FF2B5EF4-FFF2-40B4-BE49-F238E27FC236}">
                  <a16:creationId xmlns:a16="http://schemas.microsoft.com/office/drawing/2014/main" id="{00000000-0008-0000-0100-00002B08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22</xdr:col>
          <xdr:colOff>7620</xdr:colOff>
          <xdr:row>71</xdr:row>
          <xdr:rowOff>182880</xdr:rowOff>
        </xdr:from>
        <xdr:to>
          <xdr:col>23</xdr:col>
          <xdr:colOff>0</xdr:colOff>
          <xdr:row>73</xdr:row>
          <xdr:rowOff>30480</xdr:rowOff>
        </xdr:to>
        <xdr:sp macro="" textlink="">
          <xdr:nvSpPr>
            <xdr:cNvPr id="2092" name="Check Box 44" hidden="1">
              <a:extLst>
                <a:ext uri="{63B3BB69-23CF-44E3-9099-C40C66FF867C}">
                  <a14:compatExt spid="_x0000_s2092"/>
                </a:ext>
                <a:ext uri="{FF2B5EF4-FFF2-40B4-BE49-F238E27FC236}">
                  <a16:creationId xmlns:a16="http://schemas.microsoft.com/office/drawing/2014/main" id="{00000000-0008-0000-0100-00002C08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16</xdr:col>
          <xdr:colOff>22860</xdr:colOff>
          <xdr:row>72</xdr:row>
          <xdr:rowOff>0</xdr:rowOff>
        </xdr:from>
        <xdr:to>
          <xdr:col>16</xdr:col>
          <xdr:colOff>1493520</xdr:colOff>
          <xdr:row>73</xdr:row>
          <xdr:rowOff>30480</xdr:rowOff>
        </xdr:to>
        <xdr:sp macro="" textlink="">
          <xdr:nvSpPr>
            <xdr:cNvPr id="2093" name="Check Box 45" hidden="1">
              <a:extLst>
                <a:ext uri="{63B3BB69-23CF-44E3-9099-C40C66FF867C}">
                  <a14:compatExt spid="_x0000_s2093"/>
                </a:ext>
                <a:ext uri="{FF2B5EF4-FFF2-40B4-BE49-F238E27FC236}">
                  <a16:creationId xmlns:a16="http://schemas.microsoft.com/office/drawing/2014/main" id="{00000000-0008-0000-0100-00002D08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7620</xdr:colOff>
          <xdr:row>73</xdr:row>
          <xdr:rowOff>7620</xdr:rowOff>
        </xdr:from>
        <xdr:to>
          <xdr:col>3</xdr:col>
          <xdr:colOff>60960</xdr:colOff>
          <xdr:row>74</xdr:row>
          <xdr:rowOff>30480</xdr:rowOff>
        </xdr:to>
        <xdr:sp macro="" textlink="">
          <xdr:nvSpPr>
            <xdr:cNvPr id="2094" name="Check Box 46" hidden="1">
              <a:extLst>
                <a:ext uri="{63B3BB69-23CF-44E3-9099-C40C66FF867C}">
                  <a14:compatExt spid="_x0000_s2094"/>
                </a:ext>
                <a:ext uri="{FF2B5EF4-FFF2-40B4-BE49-F238E27FC236}">
                  <a16:creationId xmlns:a16="http://schemas.microsoft.com/office/drawing/2014/main" id="{00000000-0008-0000-0100-00002E08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7620</xdr:colOff>
          <xdr:row>74</xdr:row>
          <xdr:rowOff>7620</xdr:rowOff>
        </xdr:from>
        <xdr:to>
          <xdr:col>3</xdr:col>
          <xdr:colOff>60960</xdr:colOff>
          <xdr:row>75</xdr:row>
          <xdr:rowOff>38100</xdr:rowOff>
        </xdr:to>
        <xdr:sp macro="" textlink="">
          <xdr:nvSpPr>
            <xdr:cNvPr id="2095" name="Check Box 47" hidden="1">
              <a:extLst>
                <a:ext uri="{63B3BB69-23CF-44E3-9099-C40C66FF867C}">
                  <a14:compatExt spid="_x0000_s2095"/>
                </a:ext>
                <a:ext uri="{FF2B5EF4-FFF2-40B4-BE49-F238E27FC236}">
                  <a16:creationId xmlns:a16="http://schemas.microsoft.com/office/drawing/2014/main" id="{00000000-0008-0000-0100-00002F08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7620</xdr:colOff>
          <xdr:row>75</xdr:row>
          <xdr:rowOff>7620</xdr:rowOff>
        </xdr:from>
        <xdr:to>
          <xdr:col>3</xdr:col>
          <xdr:colOff>60960</xdr:colOff>
          <xdr:row>76</xdr:row>
          <xdr:rowOff>30480</xdr:rowOff>
        </xdr:to>
        <xdr:sp macro="" textlink="">
          <xdr:nvSpPr>
            <xdr:cNvPr id="2096" name="Check Box 48" hidden="1">
              <a:extLst>
                <a:ext uri="{63B3BB69-23CF-44E3-9099-C40C66FF867C}">
                  <a14:compatExt spid="_x0000_s2096"/>
                </a:ext>
                <a:ext uri="{FF2B5EF4-FFF2-40B4-BE49-F238E27FC236}">
                  <a16:creationId xmlns:a16="http://schemas.microsoft.com/office/drawing/2014/main" id="{00000000-0008-0000-0100-00003008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7620</xdr:colOff>
          <xdr:row>76</xdr:row>
          <xdr:rowOff>7620</xdr:rowOff>
        </xdr:from>
        <xdr:to>
          <xdr:col>3</xdr:col>
          <xdr:colOff>60960</xdr:colOff>
          <xdr:row>77</xdr:row>
          <xdr:rowOff>30480</xdr:rowOff>
        </xdr:to>
        <xdr:sp macro="" textlink="">
          <xdr:nvSpPr>
            <xdr:cNvPr id="2097" name="Check Box 49" hidden="1">
              <a:extLst>
                <a:ext uri="{63B3BB69-23CF-44E3-9099-C40C66FF867C}">
                  <a14:compatExt spid="_x0000_s2097"/>
                </a:ext>
                <a:ext uri="{FF2B5EF4-FFF2-40B4-BE49-F238E27FC236}">
                  <a16:creationId xmlns:a16="http://schemas.microsoft.com/office/drawing/2014/main" id="{00000000-0008-0000-0100-00003108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7620</xdr:colOff>
          <xdr:row>73</xdr:row>
          <xdr:rowOff>0</xdr:rowOff>
        </xdr:from>
        <xdr:to>
          <xdr:col>4</xdr:col>
          <xdr:colOff>990600</xdr:colOff>
          <xdr:row>74</xdr:row>
          <xdr:rowOff>30480</xdr:rowOff>
        </xdr:to>
        <xdr:sp macro="" textlink="">
          <xdr:nvSpPr>
            <xdr:cNvPr id="2098" name="Check Box 50" hidden="1">
              <a:extLst>
                <a:ext uri="{63B3BB69-23CF-44E3-9099-C40C66FF867C}">
                  <a14:compatExt spid="_x0000_s2098"/>
                </a:ext>
                <a:ext uri="{FF2B5EF4-FFF2-40B4-BE49-F238E27FC236}">
                  <a16:creationId xmlns:a16="http://schemas.microsoft.com/office/drawing/2014/main" id="{00000000-0008-0000-0100-00003208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7620</xdr:colOff>
          <xdr:row>73</xdr:row>
          <xdr:rowOff>175260</xdr:rowOff>
        </xdr:from>
        <xdr:to>
          <xdr:col>4</xdr:col>
          <xdr:colOff>1013460</xdr:colOff>
          <xdr:row>75</xdr:row>
          <xdr:rowOff>38100</xdr:rowOff>
        </xdr:to>
        <xdr:sp macro="" textlink="">
          <xdr:nvSpPr>
            <xdr:cNvPr id="2099" name="Check Box 51" hidden="1">
              <a:extLst>
                <a:ext uri="{63B3BB69-23CF-44E3-9099-C40C66FF867C}">
                  <a14:compatExt spid="_x0000_s2099"/>
                </a:ext>
                <a:ext uri="{FF2B5EF4-FFF2-40B4-BE49-F238E27FC236}">
                  <a16:creationId xmlns:a16="http://schemas.microsoft.com/office/drawing/2014/main" id="{00000000-0008-0000-0100-00003308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7620</xdr:colOff>
          <xdr:row>75</xdr:row>
          <xdr:rowOff>0</xdr:rowOff>
        </xdr:from>
        <xdr:to>
          <xdr:col>4</xdr:col>
          <xdr:colOff>998220</xdr:colOff>
          <xdr:row>76</xdr:row>
          <xdr:rowOff>30480</xdr:rowOff>
        </xdr:to>
        <xdr:sp macro="" textlink="">
          <xdr:nvSpPr>
            <xdr:cNvPr id="2100" name="Check Box 52" hidden="1">
              <a:extLst>
                <a:ext uri="{63B3BB69-23CF-44E3-9099-C40C66FF867C}">
                  <a14:compatExt spid="_x0000_s2100"/>
                </a:ext>
                <a:ext uri="{FF2B5EF4-FFF2-40B4-BE49-F238E27FC236}">
                  <a16:creationId xmlns:a16="http://schemas.microsoft.com/office/drawing/2014/main" id="{00000000-0008-0000-0100-00003408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7620</xdr:colOff>
          <xdr:row>76</xdr:row>
          <xdr:rowOff>7620</xdr:rowOff>
        </xdr:from>
        <xdr:to>
          <xdr:col>5</xdr:col>
          <xdr:colOff>213360</xdr:colOff>
          <xdr:row>77</xdr:row>
          <xdr:rowOff>30480</xdr:rowOff>
        </xdr:to>
        <xdr:sp macro="" textlink="">
          <xdr:nvSpPr>
            <xdr:cNvPr id="2101" name="Check Box 53" hidden="1">
              <a:extLst>
                <a:ext uri="{63B3BB69-23CF-44E3-9099-C40C66FF867C}">
                  <a14:compatExt spid="_x0000_s2101"/>
                </a:ext>
                <a:ext uri="{FF2B5EF4-FFF2-40B4-BE49-F238E27FC236}">
                  <a16:creationId xmlns:a16="http://schemas.microsoft.com/office/drawing/2014/main" id="{00000000-0008-0000-0100-00003508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7620</xdr:colOff>
          <xdr:row>73</xdr:row>
          <xdr:rowOff>7620</xdr:rowOff>
        </xdr:from>
        <xdr:to>
          <xdr:col>6</xdr:col>
          <xdr:colOff>861060</xdr:colOff>
          <xdr:row>74</xdr:row>
          <xdr:rowOff>30480</xdr:rowOff>
        </xdr:to>
        <xdr:sp macro="" textlink="">
          <xdr:nvSpPr>
            <xdr:cNvPr id="2102" name="Check Box 54" hidden="1">
              <a:extLst>
                <a:ext uri="{63B3BB69-23CF-44E3-9099-C40C66FF867C}">
                  <a14:compatExt spid="_x0000_s2102"/>
                </a:ext>
                <a:ext uri="{FF2B5EF4-FFF2-40B4-BE49-F238E27FC236}">
                  <a16:creationId xmlns:a16="http://schemas.microsoft.com/office/drawing/2014/main" id="{00000000-0008-0000-0100-00003608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7620</xdr:colOff>
          <xdr:row>74</xdr:row>
          <xdr:rowOff>7620</xdr:rowOff>
        </xdr:from>
        <xdr:to>
          <xdr:col>6</xdr:col>
          <xdr:colOff>861060</xdr:colOff>
          <xdr:row>75</xdr:row>
          <xdr:rowOff>38100</xdr:rowOff>
        </xdr:to>
        <xdr:sp macro="" textlink="">
          <xdr:nvSpPr>
            <xdr:cNvPr id="2103" name="Check Box 55" hidden="1">
              <a:extLst>
                <a:ext uri="{63B3BB69-23CF-44E3-9099-C40C66FF867C}">
                  <a14:compatExt spid="_x0000_s2103"/>
                </a:ext>
                <a:ext uri="{FF2B5EF4-FFF2-40B4-BE49-F238E27FC236}">
                  <a16:creationId xmlns:a16="http://schemas.microsoft.com/office/drawing/2014/main" id="{00000000-0008-0000-0100-00003708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7620</xdr:colOff>
          <xdr:row>75</xdr:row>
          <xdr:rowOff>7620</xdr:rowOff>
        </xdr:from>
        <xdr:to>
          <xdr:col>6</xdr:col>
          <xdr:colOff>861060</xdr:colOff>
          <xdr:row>76</xdr:row>
          <xdr:rowOff>30480</xdr:rowOff>
        </xdr:to>
        <xdr:sp macro="" textlink="">
          <xdr:nvSpPr>
            <xdr:cNvPr id="2104" name="Check Box 56" hidden="1">
              <a:extLst>
                <a:ext uri="{63B3BB69-23CF-44E3-9099-C40C66FF867C}">
                  <a14:compatExt spid="_x0000_s2104"/>
                </a:ext>
                <a:ext uri="{FF2B5EF4-FFF2-40B4-BE49-F238E27FC236}">
                  <a16:creationId xmlns:a16="http://schemas.microsoft.com/office/drawing/2014/main" id="{00000000-0008-0000-0100-00003808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7620</xdr:colOff>
          <xdr:row>76</xdr:row>
          <xdr:rowOff>7620</xdr:rowOff>
        </xdr:from>
        <xdr:to>
          <xdr:col>6</xdr:col>
          <xdr:colOff>861060</xdr:colOff>
          <xdr:row>77</xdr:row>
          <xdr:rowOff>30480</xdr:rowOff>
        </xdr:to>
        <xdr:sp macro="" textlink="">
          <xdr:nvSpPr>
            <xdr:cNvPr id="2105" name="Check Box 57" hidden="1">
              <a:extLst>
                <a:ext uri="{63B3BB69-23CF-44E3-9099-C40C66FF867C}">
                  <a14:compatExt spid="_x0000_s2105"/>
                </a:ext>
                <a:ext uri="{FF2B5EF4-FFF2-40B4-BE49-F238E27FC236}">
                  <a16:creationId xmlns:a16="http://schemas.microsoft.com/office/drawing/2014/main" id="{00000000-0008-0000-0100-00003908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7620</xdr:colOff>
          <xdr:row>72</xdr:row>
          <xdr:rowOff>182880</xdr:rowOff>
        </xdr:from>
        <xdr:to>
          <xdr:col>8</xdr:col>
          <xdr:colOff>1104900</xdr:colOff>
          <xdr:row>74</xdr:row>
          <xdr:rowOff>30480</xdr:rowOff>
        </xdr:to>
        <xdr:sp macro="" textlink="">
          <xdr:nvSpPr>
            <xdr:cNvPr id="2106" name="Check Box 58" hidden="1">
              <a:extLst>
                <a:ext uri="{63B3BB69-23CF-44E3-9099-C40C66FF867C}">
                  <a14:compatExt spid="_x0000_s2106"/>
                </a:ext>
                <a:ext uri="{FF2B5EF4-FFF2-40B4-BE49-F238E27FC236}">
                  <a16:creationId xmlns:a16="http://schemas.microsoft.com/office/drawing/2014/main" id="{00000000-0008-0000-0100-00003A08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7620</xdr:colOff>
          <xdr:row>74</xdr:row>
          <xdr:rowOff>0</xdr:rowOff>
        </xdr:from>
        <xdr:to>
          <xdr:col>8</xdr:col>
          <xdr:colOff>1112520</xdr:colOff>
          <xdr:row>75</xdr:row>
          <xdr:rowOff>38100</xdr:rowOff>
        </xdr:to>
        <xdr:sp macro="" textlink="">
          <xdr:nvSpPr>
            <xdr:cNvPr id="2107" name="Check Box 59" hidden="1">
              <a:extLst>
                <a:ext uri="{63B3BB69-23CF-44E3-9099-C40C66FF867C}">
                  <a14:compatExt spid="_x0000_s2107"/>
                </a:ext>
                <a:ext uri="{FF2B5EF4-FFF2-40B4-BE49-F238E27FC236}">
                  <a16:creationId xmlns:a16="http://schemas.microsoft.com/office/drawing/2014/main" id="{00000000-0008-0000-0100-00003B08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7620</xdr:colOff>
          <xdr:row>75</xdr:row>
          <xdr:rowOff>22860</xdr:rowOff>
        </xdr:from>
        <xdr:to>
          <xdr:col>8</xdr:col>
          <xdr:colOff>1104900</xdr:colOff>
          <xdr:row>76</xdr:row>
          <xdr:rowOff>30480</xdr:rowOff>
        </xdr:to>
        <xdr:sp macro="" textlink="">
          <xdr:nvSpPr>
            <xdr:cNvPr id="2108" name="Check Box 60" hidden="1">
              <a:extLst>
                <a:ext uri="{63B3BB69-23CF-44E3-9099-C40C66FF867C}">
                  <a14:compatExt spid="_x0000_s2108"/>
                </a:ext>
                <a:ext uri="{FF2B5EF4-FFF2-40B4-BE49-F238E27FC236}">
                  <a16:creationId xmlns:a16="http://schemas.microsoft.com/office/drawing/2014/main" id="{00000000-0008-0000-0100-00003C08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7620</xdr:colOff>
          <xdr:row>76</xdr:row>
          <xdr:rowOff>7620</xdr:rowOff>
        </xdr:from>
        <xdr:to>
          <xdr:col>9</xdr:col>
          <xdr:colOff>114300</xdr:colOff>
          <xdr:row>77</xdr:row>
          <xdr:rowOff>30480</xdr:rowOff>
        </xdr:to>
        <xdr:sp macro="" textlink="">
          <xdr:nvSpPr>
            <xdr:cNvPr id="2109" name="Check Box 61" hidden="1">
              <a:extLst>
                <a:ext uri="{63B3BB69-23CF-44E3-9099-C40C66FF867C}">
                  <a14:compatExt spid="_x0000_s2109"/>
                </a:ext>
                <a:ext uri="{FF2B5EF4-FFF2-40B4-BE49-F238E27FC236}">
                  <a16:creationId xmlns:a16="http://schemas.microsoft.com/office/drawing/2014/main" id="{00000000-0008-0000-0100-00003D08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7620</xdr:colOff>
          <xdr:row>72</xdr:row>
          <xdr:rowOff>175260</xdr:rowOff>
        </xdr:from>
        <xdr:to>
          <xdr:col>10</xdr:col>
          <xdr:colOff>982980</xdr:colOff>
          <xdr:row>74</xdr:row>
          <xdr:rowOff>30480</xdr:rowOff>
        </xdr:to>
        <xdr:sp macro="" textlink="">
          <xdr:nvSpPr>
            <xdr:cNvPr id="2110" name="Check Box 62" hidden="1">
              <a:extLst>
                <a:ext uri="{63B3BB69-23CF-44E3-9099-C40C66FF867C}">
                  <a14:compatExt spid="_x0000_s2110"/>
                </a:ext>
                <a:ext uri="{FF2B5EF4-FFF2-40B4-BE49-F238E27FC236}">
                  <a16:creationId xmlns:a16="http://schemas.microsoft.com/office/drawing/2014/main" id="{00000000-0008-0000-0100-00003E08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7620</xdr:colOff>
          <xdr:row>73</xdr:row>
          <xdr:rowOff>175260</xdr:rowOff>
        </xdr:from>
        <xdr:to>
          <xdr:col>10</xdr:col>
          <xdr:colOff>990600</xdr:colOff>
          <xdr:row>75</xdr:row>
          <xdr:rowOff>38100</xdr:rowOff>
        </xdr:to>
        <xdr:sp macro="" textlink="">
          <xdr:nvSpPr>
            <xdr:cNvPr id="2111" name="Check Box 63" hidden="1">
              <a:extLst>
                <a:ext uri="{63B3BB69-23CF-44E3-9099-C40C66FF867C}">
                  <a14:compatExt spid="_x0000_s2111"/>
                </a:ext>
                <a:ext uri="{FF2B5EF4-FFF2-40B4-BE49-F238E27FC236}">
                  <a16:creationId xmlns:a16="http://schemas.microsoft.com/office/drawing/2014/main" id="{00000000-0008-0000-0100-00003F08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7620</xdr:colOff>
          <xdr:row>75</xdr:row>
          <xdr:rowOff>22860</xdr:rowOff>
        </xdr:from>
        <xdr:to>
          <xdr:col>10</xdr:col>
          <xdr:colOff>990600</xdr:colOff>
          <xdr:row>76</xdr:row>
          <xdr:rowOff>30480</xdr:rowOff>
        </xdr:to>
        <xdr:sp macro="" textlink="">
          <xdr:nvSpPr>
            <xdr:cNvPr id="2112" name="Check Box 64" hidden="1">
              <a:extLst>
                <a:ext uri="{63B3BB69-23CF-44E3-9099-C40C66FF867C}">
                  <a14:compatExt spid="_x0000_s2112"/>
                </a:ext>
                <a:ext uri="{FF2B5EF4-FFF2-40B4-BE49-F238E27FC236}">
                  <a16:creationId xmlns:a16="http://schemas.microsoft.com/office/drawing/2014/main" id="{00000000-0008-0000-0100-00004008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7620</xdr:colOff>
          <xdr:row>76</xdr:row>
          <xdr:rowOff>7620</xdr:rowOff>
        </xdr:from>
        <xdr:to>
          <xdr:col>11</xdr:col>
          <xdr:colOff>175260</xdr:colOff>
          <xdr:row>77</xdr:row>
          <xdr:rowOff>30480</xdr:rowOff>
        </xdr:to>
        <xdr:sp macro="" textlink="">
          <xdr:nvSpPr>
            <xdr:cNvPr id="2113" name="Check Box 65" hidden="1">
              <a:extLst>
                <a:ext uri="{63B3BB69-23CF-44E3-9099-C40C66FF867C}">
                  <a14:compatExt spid="_x0000_s2113"/>
                </a:ext>
                <a:ext uri="{FF2B5EF4-FFF2-40B4-BE49-F238E27FC236}">
                  <a16:creationId xmlns:a16="http://schemas.microsoft.com/office/drawing/2014/main" id="{00000000-0008-0000-0100-00004108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7620</xdr:colOff>
          <xdr:row>73</xdr:row>
          <xdr:rowOff>7620</xdr:rowOff>
        </xdr:from>
        <xdr:to>
          <xdr:col>13</xdr:col>
          <xdr:colOff>22860</xdr:colOff>
          <xdr:row>74</xdr:row>
          <xdr:rowOff>30480</xdr:rowOff>
        </xdr:to>
        <xdr:sp macro="" textlink="">
          <xdr:nvSpPr>
            <xdr:cNvPr id="2114" name="Check Box 66" hidden="1">
              <a:extLst>
                <a:ext uri="{63B3BB69-23CF-44E3-9099-C40C66FF867C}">
                  <a14:compatExt spid="_x0000_s2114"/>
                </a:ext>
                <a:ext uri="{FF2B5EF4-FFF2-40B4-BE49-F238E27FC236}">
                  <a16:creationId xmlns:a16="http://schemas.microsoft.com/office/drawing/2014/main" id="{00000000-0008-0000-0100-00004208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7620</xdr:colOff>
          <xdr:row>74</xdr:row>
          <xdr:rowOff>7620</xdr:rowOff>
        </xdr:from>
        <xdr:to>
          <xdr:col>13</xdr:col>
          <xdr:colOff>22860</xdr:colOff>
          <xdr:row>75</xdr:row>
          <xdr:rowOff>38100</xdr:rowOff>
        </xdr:to>
        <xdr:sp macro="" textlink="">
          <xdr:nvSpPr>
            <xdr:cNvPr id="2115" name="Check Box 67" hidden="1">
              <a:extLst>
                <a:ext uri="{63B3BB69-23CF-44E3-9099-C40C66FF867C}">
                  <a14:compatExt spid="_x0000_s2115"/>
                </a:ext>
                <a:ext uri="{FF2B5EF4-FFF2-40B4-BE49-F238E27FC236}">
                  <a16:creationId xmlns:a16="http://schemas.microsoft.com/office/drawing/2014/main" id="{00000000-0008-0000-0100-00004308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7620</xdr:colOff>
          <xdr:row>75</xdr:row>
          <xdr:rowOff>7620</xdr:rowOff>
        </xdr:from>
        <xdr:to>
          <xdr:col>13</xdr:col>
          <xdr:colOff>22860</xdr:colOff>
          <xdr:row>76</xdr:row>
          <xdr:rowOff>30480</xdr:rowOff>
        </xdr:to>
        <xdr:sp macro="" textlink="">
          <xdr:nvSpPr>
            <xdr:cNvPr id="2116" name="Check Box 68" hidden="1">
              <a:extLst>
                <a:ext uri="{63B3BB69-23CF-44E3-9099-C40C66FF867C}">
                  <a14:compatExt spid="_x0000_s2116"/>
                </a:ext>
                <a:ext uri="{FF2B5EF4-FFF2-40B4-BE49-F238E27FC236}">
                  <a16:creationId xmlns:a16="http://schemas.microsoft.com/office/drawing/2014/main" id="{00000000-0008-0000-0100-00004408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7620</xdr:colOff>
          <xdr:row>76</xdr:row>
          <xdr:rowOff>7620</xdr:rowOff>
        </xdr:from>
        <xdr:to>
          <xdr:col>13</xdr:col>
          <xdr:colOff>22860</xdr:colOff>
          <xdr:row>77</xdr:row>
          <xdr:rowOff>30480</xdr:rowOff>
        </xdr:to>
        <xdr:sp macro="" textlink="">
          <xdr:nvSpPr>
            <xdr:cNvPr id="2117" name="Check Box 69" hidden="1">
              <a:extLst>
                <a:ext uri="{63B3BB69-23CF-44E3-9099-C40C66FF867C}">
                  <a14:compatExt spid="_x0000_s2117"/>
                </a:ext>
                <a:ext uri="{FF2B5EF4-FFF2-40B4-BE49-F238E27FC236}">
                  <a16:creationId xmlns:a16="http://schemas.microsoft.com/office/drawing/2014/main" id="{00000000-0008-0000-0100-00004508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7620</xdr:colOff>
          <xdr:row>73</xdr:row>
          <xdr:rowOff>7620</xdr:rowOff>
        </xdr:from>
        <xdr:to>
          <xdr:col>15</xdr:col>
          <xdr:colOff>0</xdr:colOff>
          <xdr:row>74</xdr:row>
          <xdr:rowOff>30480</xdr:rowOff>
        </xdr:to>
        <xdr:sp macro="" textlink="">
          <xdr:nvSpPr>
            <xdr:cNvPr id="2118" name="Check Box 70" hidden="1">
              <a:extLst>
                <a:ext uri="{63B3BB69-23CF-44E3-9099-C40C66FF867C}">
                  <a14:compatExt spid="_x0000_s2118"/>
                </a:ext>
                <a:ext uri="{FF2B5EF4-FFF2-40B4-BE49-F238E27FC236}">
                  <a16:creationId xmlns:a16="http://schemas.microsoft.com/office/drawing/2014/main" id="{00000000-0008-0000-0100-00004608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7620</xdr:colOff>
          <xdr:row>74</xdr:row>
          <xdr:rowOff>7620</xdr:rowOff>
        </xdr:from>
        <xdr:to>
          <xdr:col>15</xdr:col>
          <xdr:colOff>0</xdr:colOff>
          <xdr:row>75</xdr:row>
          <xdr:rowOff>38100</xdr:rowOff>
        </xdr:to>
        <xdr:sp macro="" textlink="">
          <xdr:nvSpPr>
            <xdr:cNvPr id="2119" name="Check Box 71" hidden="1">
              <a:extLst>
                <a:ext uri="{63B3BB69-23CF-44E3-9099-C40C66FF867C}">
                  <a14:compatExt spid="_x0000_s2119"/>
                </a:ext>
                <a:ext uri="{FF2B5EF4-FFF2-40B4-BE49-F238E27FC236}">
                  <a16:creationId xmlns:a16="http://schemas.microsoft.com/office/drawing/2014/main" id="{00000000-0008-0000-0100-00004708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7620</xdr:colOff>
          <xdr:row>75</xdr:row>
          <xdr:rowOff>7620</xdr:rowOff>
        </xdr:from>
        <xdr:to>
          <xdr:col>15</xdr:col>
          <xdr:colOff>0</xdr:colOff>
          <xdr:row>76</xdr:row>
          <xdr:rowOff>30480</xdr:rowOff>
        </xdr:to>
        <xdr:sp macro="" textlink="">
          <xdr:nvSpPr>
            <xdr:cNvPr id="2120" name="Check Box 72" hidden="1">
              <a:extLst>
                <a:ext uri="{63B3BB69-23CF-44E3-9099-C40C66FF867C}">
                  <a14:compatExt spid="_x0000_s2120"/>
                </a:ext>
                <a:ext uri="{FF2B5EF4-FFF2-40B4-BE49-F238E27FC236}">
                  <a16:creationId xmlns:a16="http://schemas.microsoft.com/office/drawing/2014/main" id="{00000000-0008-0000-0100-00004808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7620</xdr:colOff>
          <xdr:row>76</xdr:row>
          <xdr:rowOff>7620</xdr:rowOff>
        </xdr:from>
        <xdr:to>
          <xdr:col>15</xdr:col>
          <xdr:colOff>0</xdr:colOff>
          <xdr:row>77</xdr:row>
          <xdr:rowOff>30480</xdr:rowOff>
        </xdr:to>
        <xdr:sp macro="" textlink="">
          <xdr:nvSpPr>
            <xdr:cNvPr id="2121" name="Check Box 73" hidden="1">
              <a:extLst>
                <a:ext uri="{63B3BB69-23CF-44E3-9099-C40C66FF867C}">
                  <a14:compatExt spid="_x0000_s2121"/>
                </a:ext>
                <a:ext uri="{FF2B5EF4-FFF2-40B4-BE49-F238E27FC236}">
                  <a16:creationId xmlns:a16="http://schemas.microsoft.com/office/drawing/2014/main" id="{00000000-0008-0000-0100-00004908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16</xdr:col>
          <xdr:colOff>7620</xdr:colOff>
          <xdr:row>72</xdr:row>
          <xdr:rowOff>175260</xdr:rowOff>
        </xdr:from>
        <xdr:to>
          <xdr:col>16</xdr:col>
          <xdr:colOff>1493520</xdr:colOff>
          <xdr:row>74</xdr:row>
          <xdr:rowOff>30480</xdr:rowOff>
        </xdr:to>
        <xdr:sp macro="" textlink="">
          <xdr:nvSpPr>
            <xdr:cNvPr id="2122" name="Check Box 74" hidden="1">
              <a:extLst>
                <a:ext uri="{63B3BB69-23CF-44E3-9099-C40C66FF867C}">
                  <a14:compatExt spid="_x0000_s2122"/>
                </a:ext>
                <a:ext uri="{FF2B5EF4-FFF2-40B4-BE49-F238E27FC236}">
                  <a16:creationId xmlns:a16="http://schemas.microsoft.com/office/drawing/2014/main" id="{00000000-0008-0000-0100-00004A08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16</xdr:col>
          <xdr:colOff>7620</xdr:colOff>
          <xdr:row>73</xdr:row>
          <xdr:rowOff>182880</xdr:rowOff>
        </xdr:from>
        <xdr:to>
          <xdr:col>17</xdr:col>
          <xdr:colOff>7620</xdr:colOff>
          <xdr:row>75</xdr:row>
          <xdr:rowOff>38100</xdr:rowOff>
        </xdr:to>
        <xdr:sp macro="" textlink="">
          <xdr:nvSpPr>
            <xdr:cNvPr id="2123" name="Check Box 75" hidden="1">
              <a:extLst>
                <a:ext uri="{63B3BB69-23CF-44E3-9099-C40C66FF867C}">
                  <a14:compatExt spid="_x0000_s2123"/>
                </a:ext>
                <a:ext uri="{FF2B5EF4-FFF2-40B4-BE49-F238E27FC236}">
                  <a16:creationId xmlns:a16="http://schemas.microsoft.com/office/drawing/2014/main" id="{00000000-0008-0000-0100-00004B08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16</xdr:col>
          <xdr:colOff>7620</xdr:colOff>
          <xdr:row>75</xdr:row>
          <xdr:rowOff>7620</xdr:rowOff>
        </xdr:from>
        <xdr:to>
          <xdr:col>16</xdr:col>
          <xdr:colOff>1493520</xdr:colOff>
          <xdr:row>76</xdr:row>
          <xdr:rowOff>30480</xdr:rowOff>
        </xdr:to>
        <xdr:sp macro="" textlink="">
          <xdr:nvSpPr>
            <xdr:cNvPr id="2124" name="Check Box 76" hidden="1">
              <a:extLst>
                <a:ext uri="{63B3BB69-23CF-44E3-9099-C40C66FF867C}">
                  <a14:compatExt spid="_x0000_s2124"/>
                </a:ext>
                <a:ext uri="{FF2B5EF4-FFF2-40B4-BE49-F238E27FC236}">
                  <a16:creationId xmlns:a16="http://schemas.microsoft.com/office/drawing/2014/main" id="{00000000-0008-0000-0100-00004C08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16</xdr:col>
          <xdr:colOff>7620</xdr:colOff>
          <xdr:row>76</xdr:row>
          <xdr:rowOff>7620</xdr:rowOff>
        </xdr:from>
        <xdr:to>
          <xdr:col>16</xdr:col>
          <xdr:colOff>1051560</xdr:colOff>
          <xdr:row>77</xdr:row>
          <xdr:rowOff>30480</xdr:rowOff>
        </xdr:to>
        <xdr:sp macro="" textlink="">
          <xdr:nvSpPr>
            <xdr:cNvPr id="2125" name="Check Box 77" hidden="1">
              <a:extLst>
                <a:ext uri="{63B3BB69-23CF-44E3-9099-C40C66FF867C}">
                  <a14:compatExt spid="_x0000_s2125"/>
                </a:ext>
                <a:ext uri="{FF2B5EF4-FFF2-40B4-BE49-F238E27FC236}">
                  <a16:creationId xmlns:a16="http://schemas.microsoft.com/office/drawing/2014/main" id="{00000000-0008-0000-0100-00004D08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18</xdr:col>
          <xdr:colOff>7620</xdr:colOff>
          <xdr:row>73</xdr:row>
          <xdr:rowOff>7620</xdr:rowOff>
        </xdr:from>
        <xdr:to>
          <xdr:col>18</xdr:col>
          <xdr:colOff>1257300</xdr:colOff>
          <xdr:row>74</xdr:row>
          <xdr:rowOff>30480</xdr:rowOff>
        </xdr:to>
        <xdr:sp macro="" textlink="">
          <xdr:nvSpPr>
            <xdr:cNvPr id="2126" name="Check Box 78" hidden="1">
              <a:extLst>
                <a:ext uri="{63B3BB69-23CF-44E3-9099-C40C66FF867C}">
                  <a14:compatExt spid="_x0000_s2126"/>
                </a:ext>
                <a:ext uri="{FF2B5EF4-FFF2-40B4-BE49-F238E27FC236}">
                  <a16:creationId xmlns:a16="http://schemas.microsoft.com/office/drawing/2014/main" id="{00000000-0008-0000-0100-00004E08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18</xdr:col>
          <xdr:colOff>7620</xdr:colOff>
          <xdr:row>74</xdr:row>
          <xdr:rowOff>7620</xdr:rowOff>
        </xdr:from>
        <xdr:to>
          <xdr:col>18</xdr:col>
          <xdr:colOff>1257300</xdr:colOff>
          <xdr:row>75</xdr:row>
          <xdr:rowOff>38100</xdr:rowOff>
        </xdr:to>
        <xdr:sp macro="" textlink="">
          <xdr:nvSpPr>
            <xdr:cNvPr id="2127" name="Check Box 79" hidden="1">
              <a:extLst>
                <a:ext uri="{63B3BB69-23CF-44E3-9099-C40C66FF867C}">
                  <a14:compatExt spid="_x0000_s2127"/>
                </a:ext>
                <a:ext uri="{FF2B5EF4-FFF2-40B4-BE49-F238E27FC236}">
                  <a16:creationId xmlns:a16="http://schemas.microsoft.com/office/drawing/2014/main" id="{00000000-0008-0000-0100-00004F08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18</xdr:col>
          <xdr:colOff>7620</xdr:colOff>
          <xdr:row>75</xdr:row>
          <xdr:rowOff>7620</xdr:rowOff>
        </xdr:from>
        <xdr:to>
          <xdr:col>18</xdr:col>
          <xdr:colOff>1257300</xdr:colOff>
          <xdr:row>76</xdr:row>
          <xdr:rowOff>30480</xdr:rowOff>
        </xdr:to>
        <xdr:sp macro="" textlink="">
          <xdr:nvSpPr>
            <xdr:cNvPr id="2128" name="Check Box 80" hidden="1">
              <a:extLst>
                <a:ext uri="{63B3BB69-23CF-44E3-9099-C40C66FF867C}">
                  <a14:compatExt spid="_x0000_s2128"/>
                </a:ext>
                <a:ext uri="{FF2B5EF4-FFF2-40B4-BE49-F238E27FC236}">
                  <a16:creationId xmlns:a16="http://schemas.microsoft.com/office/drawing/2014/main" id="{00000000-0008-0000-0100-00005008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18</xdr:col>
          <xdr:colOff>7620</xdr:colOff>
          <xdr:row>76</xdr:row>
          <xdr:rowOff>7620</xdr:rowOff>
        </xdr:from>
        <xdr:to>
          <xdr:col>18</xdr:col>
          <xdr:colOff>1257300</xdr:colOff>
          <xdr:row>77</xdr:row>
          <xdr:rowOff>30480</xdr:rowOff>
        </xdr:to>
        <xdr:sp macro="" textlink="">
          <xdr:nvSpPr>
            <xdr:cNvPr id="2129" name="Check Box 81" hidden="1">
              <a:extLst>
                <a:ext uri="{63B3BB69-23CF-44E3-9099-C40C66FF867C}">
                  <a14:compatExt spid="_x0000_s2129"/>
                </a:ext>
                <a:ext uri="{FF2B5EF4-FFF2-40B4-BE49-F238E27FC236}">
                  <a16:creationId xmlns:a16="http://schemas.microsoft.com/office/drawing/2014/main" id="{00000000-0008-0000-0100-00005108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20</xdr:col>
          <xdr:colOff>7620</xdr:colOff>
          <xdr:row>73</xdr:row>
          <xdr:rowOff>7620</xdr:rowOff>
        </xdr:from>
        <xdr:to>
          <xdr:col>20</xdr:col>
          <xdr:colOff>1036320</xdr:colOff>
          <xdr:row>74</xdr:row>
          <xdr:rowOff>30480</xdr:rowOff>
        </xdr:to>
        <xdr:sp macro="" textlink="">
          <xdr:nvSpPr>
            <xdr:cNvPr id="2130" name="Check Box 82" hidden="1">
              <a:extLst>
                <a:ext uri="{63B3BB69-23CF-44E3-9099-C40C66FF867C}">
                  <a14:compatExt spid="_x0000_s2130"/>
                </a:ext>
                <a:ext uri="{FF2B5EF4-FFF2-40B4-BE49-F238E27FC236}">
                  <a16:creationId xmlns:a16="http://schemas.microsoft.com/office/drawing/2014/main" id="{00000000-0008-0000-0100-00005208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20</xdr:col>
          <xdr:colOff>7620</xdr:colOff>
          <xdr:row>74</xdr:row>
          <xdr:rowOff>7620</xdr:rowOff>
        </xdr:from>
        <xdr:to>
          <xdr:col>20</xdr:col>
          <xdr:colOff>1036320</xdr:colOff>
          <xdr:row>75</xdr:row>
          <xdr:rowOff>38100</xdr:rowOff>
        </xdr:to>
        <xdr:sp macro="" textlink="">
          <xdr:nvSpPr>
            <xdr:cNvPr id="2131" name="Check Box 83" hidden="1">
              <a:extLst>
                <a:ext uri="{63B3BB69-23CF-44E3-9099-C40C66FF867C}">
                  <a14:compatExt spid="_x0000_s2131"/>
                </a:ext>
                <a:ext uri="{FF2B5EF4-FFF2-40B4-BE49-F238E27FC236}">
                  <a16:creationId xmlns:a16="http://schemas.microsoft.com/office/drawing/2014/main" id="{00000000-0008-0000-0100-00005308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20</xdr:col>
          <xdr:colOff>7620</xdr:colOff>
          <xdr:row>75</xdr:row>
          <xdr:rowOff>7620</xdr:rowOff>
        </xdr:from>
        <xdr:to>
          <xdr:col>20</xdr:col>
          <xdr:colOff>1036320</xdr:colOff>
          <xdr:row>76</xdr:row>
          <xdr:rowOff>30480</xdr:rowOff>
        </xdr:to>
        <xdr:sp macro="" textlink="">
          <xdr:nvSpPr>
            <xdr:cNvPr id="2132" name="Check Box 84" hidden="1">
              <a:extLst>
                <a:ext uri="{63B3BB69-23CF-44E3-9099-C40C66FF867C}">
                  <a14:compatExt spid="_x0000_s2132"/>
                </a:ext>
                <a:ext uri="{FF2B5EF4-FFF2-40B4-BE49-F238E27FC236}">
                  <a16:creationId xmlns:a16="http://schemas.microsoft.com/office/drawing/2014/main" id="{00000000-0008-0000-0100-00005408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20</xdr:col>
          <xdr:colOff>7620</xdr:colOff>
          <xdr:row>76</xdr:row>
          <xdr:rowOff>7620</xdr:rowOff>
        </xdr:from>
        <xdr:to>
          <xdr:col>20</xdr:col>
          <xdr:colOff>1036320</xdr:colOff>
          <xdr:row>77</xdr:row>
          <xdr:rowOff>30480</xdr:rowOff>
        </xdr:to>
        <xdr:sp macro="" textlink="">
          <xdr:nvSpPr>
            <xdr:cNvPr id="2133" name="Check Box 85" hidden="1">
              <a:extLst>
                <a:ext uri="{63B3BB69-23CF-44E3-9099-C40C66FF867C}">
                  <a14:compatExt spid="_x0000_s2133"/>
                </a:ext>
                <a:ext uri="{FF2B5EF4-FFF2-40B4-BE49-F238E27FC236}">
                  <a16:creationId xmlns:a16="http://schemas.microsoft.com/office/drawing/2014/main" id="{00000000-0008-0000-0100-00005508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22</xdr:col>
          <xdr:colOff>7620</xdr:colOff>
          <xdr:row>72</xdr:row>
          <xdr:rowOff>175260</xdr:rowOff>
        </xdr:from>
        <xdr:to>
          <xdr:col>22</xdr:col>
          <xdr:colOff>1402080</xdr:colOff>
          <xdr:row>74</xdr:row>
          <xdr:rowOff>30480</xdr:rowOff>
        </xdr:to>
        <xdr:sp macro="" textlink="">
          <xdr:nvSpPr>
            <xdr:cNvPr id="2134" name="Check Box 86" hidden="1">
              <a:extLst>
                <a:ext uri="{63B3BB69-23CF-44E3-9099-C40C66FF867C}">
                  <a14:compatExt spid="_x0000_s2134"/>
                </a:ext>
                <a:ext uri="{FF2B5EF4-FFF2-40B4-BE49-F238E27FC236}">
                  <a16:creationId xmlns:a16="http://schemas.microsoft.com/office/drawing/2014/main" id="{00000000-0008-0000-0100-00005608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22</xdr:col>
          <xdr:colOff>7620</xdr:colOff>
          <xdr:row>74</xdr:row>
          <xdr:rowOff>0</xdr:rowOff>
        </xdr:from>
        <xdr:to>
          <xdr:col>22</xdr:col>
          <xdr:colOff>1402080</xdr:colOff>
          <xdr:row>75</xdr:row>
          <xdr:rowOff>38100</xdr:rowOff>
        </xdr:to>
        <xdr:sp macro="" textlink="">
          <xdr:nvSpPr>
            <xdr:cNvPr id="2135" name="Check Box 87" hidden="1">
              <a:extLst>
                <a:ext uri="{63B3BB69-23CF-44E3-9099-C40C66FF867C}">
                  <a14:compatExt spid="_x0000_s2135"/>
                </a:ext>
                <a:ext uri="{FF2B5EF4-FFF2-40B4-BE49-F238E27FC236}">
                  <a16:creationId xmlns:a16="http://schemas.microsoft.com/office/drawing/2014/main" id="{00000000-0008-0000-0100-00005708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22</xdr:col>
          <xdr:colOff>7620</xdr:colOff>
          <xdr:row>75</xdr:row>
          <xdr:rowOff>7620</xdr:rowOff>
        </xdr:from>
        <xdr:to>
          <xdr:col>22</xdr:col>
          <xdr:colOff>1409700</xdr:colOff>
          <xdr:row>76</xdr:row>
          <xdr:rowOff>30480</xdr:rowOff>
        </xdr:to>
        <xdr:sp macro="" textlink="">
          <xdr:nvSpPr>
            <xdr:cNvPr id="2136" name="Check Box 88" hidden="1">
              <a:extLst>
                <a:ext uri="{63B3BB69-23CF-44E3-9099-C40C66FF867C}">
                  <a14:compatExt spid="_x0000_s2136"/>
                </a:ext>
                <a:ext uri="{FF2B5EF4-FFF2-40B4-BE49-F238E27FC236}">
                  <a16:creationId xmlns:a16="http://schemas.microsoft.com/office/drawing/2014/main" id="{00000000-0008-0000-0100-00005808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22</xdr:col>
          <xdr:colOff>7620</xdr:colOff>
          <xdr:row>76</xdr:row>
          <xdr:rowOff>7620</xdr:rowOff>
        </xdr:from>
        <xdr:to>
          <xdr:col>22</xdr:col>
          <xdr:colOff>594360</xdr:colOff>
          <xdr:row>77</xdr:row>
          <xdr:rowOff>30480</xdr:rowOff>
        </xdr:to>
        <xdr:sp macro="" textlink="">
          <xdr:nvSpPr>
            <xdr:cNvPr id="2137" name="Check Box 89" hidden="1">
              <a:extLst>
                <a:ext uri="{63B3BB69-23CF-44E3-9099-C40C66FF867C}">
                  <a14:compatExt spid="_x0000_s2137"/>
                </a:ext>
                <a:ext uri="{FF2B5EF4-FFF2-40B4-BE49-F238E27FC236}">
                  <a16:creationId xmlns:a16="http://schemas.microsoft.com/office/drawing/2014/main" id="{00000000-0008-0000-0100-00005908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16</xdr:col>
          <xdr:colOff>22860</xdr:colOff>
          <xdr:row>75</xdr:row>
          <xdr:rowOff>190500</xdr:rowOff>
        </xdr:from>
        <xdr:to>
          <xdr:col>16</xdr:col>
          <xdr:colOff>1066800</xdr:colOff>
          <xdr:row>77</xdr:row>
          <xdr:rowOff>30480</xdr:rowOff>
        </xdr:to>
        <xdr:sp macro="" textlink="">
          <xdr:nvSpPr>
            <xdr:cNvPr id="2138" name="Check Box 90" hidden="1">
              <a:extLst>
                <a:ext uri="{63B3BB69-23CF-44E3-9099-C40C66FF867C}">
                  <a14:compatExt spid="_x0000_s2138"/>
                </a:ext>
                <a:ext uri="{FF2B5EF4-FFF2-40B4-BE49-F238E27FC236}">
                  <a16:creationId xmlns:a16="http://schemas.microsoft.com/office/drawing/2014/main" id="{00000000-0008-0000-0100-00005A08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7620</xdr:colOff>
          <xdr:row>76</xdr:row>
          <xdr:rowOff>7620</xdr:rowOff>
        </xdr:from>
        <xdr:to>
          <xdr:col>3</xdr:col>
          <xdr:colOff>60960</xdr:colOff>
          <xdr:row>77</xdr:row>
          <xdr:rowOff>30480</xdr:rowOff>
        </xdr:to>
        <xdr:sp macro="" textlink="">
          <xdr:nvSpPr>
            <xdr:cNvPr id="2139" name="Check Box 91" hidden="1">
              <a:extLst>
                <a:ext uri="{63B3BB69-23CF-44E3-9099-C40C66FF867C}">
                  <a14:compatExt spid="_x0000_s2139"/>
                </a:ext>
                <a:ext uri="{FF2B5EF4-FFF2-40B4-BE49-F238E27FC236}">
                  <a16:creationId xmlns:a16="http://schemas.microsoft.com/office/drawing/2014/main" id="{00000000-0008-0000-0100-00005B08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7620</xdr:colOff>
          <xdr:row>77</xdr:row>
          <xdr:rowOff>7620</xdr:rowOff>
        </xdr:from>
        <xdr:to>
          <xdr:col>3</xdr:col>
          <xdr:colOff>60960</xdr:colOff>
          <xdr:row>78</xdr:row>
          <xdr:rowOff>30480</xdr:rowOff>
        </xdr:to>
        <xdr:sp macro="" textlink="">
          <xdr:nvSpPr>
            <xdr:cNvPr id="2140" name="Check Box 92" hidden="1">
              <a:extLst>
                <a:ext uri="{63B3BB69-23CF-44E3-9099-C40C66FF867C}">
                  <a14:compatExt spid="_x0000_s2140"/>
                </a:ext>
                <a:ext uri="{FF2B5EF4-FFF2-40B4-BE49-F238E27FC236}">
                  <a16:creationId xmlns:a16="http://schemas.microsoft.com/office/drawing/2014/main" id="{00000000-0008-0000-0100-00005C08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7620</xdr:colOff>
          <xdr:row>78</xdr:row>
          <xdr:rowOff>7620</xdr:rowOff>
        </xdr:from>
        <xdr:to>
          <xdr:col>3</xdr:col>
          <xdr:colOff>60960</xdr:colOff>
          <xdr:row>79</xdr:row>
          <xdr:rowOff>30480</xdr:rowOff>
        </xdr:to>
        <xdr:sp macro="" textlink="">
          <xdr:nvSpPr>
            <xdr:cNvPr id="2141" name="Check Box 93" hidden="1">
              <a:extLst>
                <a:ext uri="{63B3BB69-23CF-44E3-9099-C40C66FF867C}">
                  <a14:compatExt spid="_x0000_s2141"/>
                </a:ext>
                <a:ext uri="{FF2B5EF4-FFF2-40B4-BE49-F238E27FC236}">
                  <a16:creationId xmlns:a16="http://schemas.microsoft.com/office/drawing/2014/main" id="{00000000-0008-0000-0100-00005D08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7620</xdr:colOff>
          <xdr:row>75</xdr:row>
          <xdr:rowOff>182880</xdr:rowOff>
        </xdr:from>
        <xdr:to>
          <xdr:col>4</xdr:col>
          <xdr:colOff>1013460</xdr:colOff>
          <xdr:row>77</xdr:row>
          <xdr:rowOff>30480</xdr:rowOff>
        </xdr:to>
        <xdr:sp macro="" textlink="">
          <xdr:nvSpPr>
            <xdr:cNvPr id="2142" name="Check Box 94" hidden="1">
              <a:extLst>
                <a:ext uri="{63B3BB69-23CF-44E3-9099-C40C66FF867C}">
                  <a14:compatExt spid="_x0000_s2142"/>
                </a:ext>
                <a:ext uri="{FF2B5EF4-FFF2-40B4-BE49-F238E27FC236}">
                  <a16:creationId xmlns:a16="http://schemas.microsoft.com/office/drawing/2014/main" id="{00000000-0008-0000-0100-00005E08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7620</xdr:colOff>
          <xdr:row>77</xdr:row>
          <xdr:rowOff>0</xdr:rowOff>
        </xdr:from>
        <xdr:to>
          <xdr:col>5</xdr:col>
          <xdr:colOff>0</xdr:colOff>
          <xdr:row>78</xdr:row>
          <xdr:rowOff>30480</xdr:rowOff>
        </xdr:to>
        <xdr:sp macro="" textlink="">
          <xdr:nvSpPr>
            <xdr:cNvPr id="2143" name="Check Box 95" hidden="1">
              <a:extLst>
                <a:ext uri="{63B3BB69-23CF-44E3-9099-C40C66FF867C}">
                  <a14:compatExt spid="_x0000_s2143"/>
                </a:ext>
                <a:ext uri="{FF2B5EF4-FFF2-40B4-BE49-F238E27FC236}">
                  <a16:creationId xmlns:a16="http://schemas.microsoft.com/office/drawing/2014/main" id="{00000000-0008-0000-0100-00005F08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7620</xdr:colOff>
          <xdr:row>78</xdr:row>
          <xdr:rowOff>7620</xdr:rowOff>
        </xdr:from>
        <xdr:to>
          <xdr:col>4</xdr:col>
          <xdr:colOff>1013460</xdr:colOff>
          <xdr:row>79</xdr:row>
          <xdr:rowOff>22860</xdr:rowOff>
        </xdr:to>
        <xdr:sp macro="" textlink="">
          <xdr:nvSpPr>
            <xdr:cNvPr id="2144" name="Check Box 96" hidden="1">
              <a:extLst>
                <a:ext uri="{63B3BB69-23CF-44E3-9099-C40C66FF867C}">
                  <a14:compatExt spid="_x0000_s2144"/>
                </a:ext>
                <a:ext uri="{FF2B5EF4-FFF2-40B4-BE49-F238E27FC236}">
                  <a16:creationId xmlns:a16="http://schemas.microsoft.com/office/drawing/2014/main" id="{00000000-0008-0000-0100-00006008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7620</xdr:colOff>
          <xdr:row>76</xdr:row>
          <xdr:rowOff>7620</xdr:rowOff>
        </xdr:from>
        <xdr:to>
          <xdr:col>6</xdr:col>
          <xdr:colOff>861060</xdr:colOff>
          <xdr:row>77</xdr:row>
          <xdr:rowOff>30480</xdr:rowOff>
        </xdr:to>
        <xdr:sp macro="" textlink="">
          <xdr:nvSpPr>
            <xdr:cNvPr id="2145" name="Check Box 97" hidden="1">
              <a:extLst>
                <a:ext uri="{63B3BB69-23CF-44E3-9099-C40C66FF867C}">
                  <a14:compatExt spid="_x0000_s2145"/>
                </a:ext>
                <a:ext uri="{FF2B5EF4-FFF2-40B4-BE49-F238E27FC236}">
                  <a16:creationId xmlns:a16="http://schemas.microsoft.com/office/drawing/2014/main" id="{00000000-0008-0000-0100-00006108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7620</xdr:colOff>
          <xdr:row>77</xdr:row>
          <xdr:rowOff>7620</xdr:rowOff>
        </xdr:from>
        <xdr:to>
          <xdr:col>6</xdr:col>
          <xdr:colOff>861060</xdr:colOff>
          <xdr:row>78</xdr:row>
          <xdr:rowOff>30480</xdr:rowOff>
        </xdr:to>
        <xdr:sp macro="" textlink="">
          <xdr:nvSpPr>
            <xdr:cNvPr id="2146" name="Check Box 98" hidden="1">
              <a:extLst>
                <a:ext uri="{63B3BB69-23CF-44E3-9099-C40C66FF867C}">
                  <a14:compatExt spid="_x0000_s2146"/>
                </a:ext>
                <a:ext uri="{FF2B5EF4-FFF2-40B4-BE49-F238E27FC236}">
                  <a16:creationId xmlns:a16="http://schemas.microsoft.com/office/drawing/2014/main" id="{00000000-0008-0000-0100-00006208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7620</xdr:colOff>
          <xdr:row>78</xdr:row>
          <xdr:rowOff>7620</xdr:rowOff>
        </xdr:from>
        <xdr:to>
          <xdr:col>6</xdr:col>
          <xdr:colOff>861060</xdr:colOff>
          <xdr:row>79</xdr:row>
          <xdr:rowOff>30480</xdr:rowOff>
        </xdr:to>
        <xdr:sp macro="" textlink="">
          <xdr:nvSpPr>
            <xdr:cNvPr id="2147" name="Check Box 99" hidden="1">
              <a:extLst>
                <a:ext uri="{63B3BB69-23CF-44E3-9099-C40C66FF867C}">
                  <a14:compatExt spid="_x0000_s2147"/>
                </a:ext>
                <a:ext uri="{FF2B5EF4-FFF2-40B4-BE49-F238E27FC236}">
                  <a16:creationId xmlns:a16="http://schemas.microsoft.com/office/drawing/2014/main" id="{00000000-0008-0000-0100-00006308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7620</xdr:colOff>
          <xdr:row>75</xdr:row>
          <xdr:rowOff>182880</xdr:rowOff>
        </xdr:from>
        <xdr:to>
          <xdr:col>9</xdr:col>
          <xdr:colOff>22860</xdr:colOff>
          <xdr:row>77</xdr:row>
          <xdr:rowOff>30480</xdr:rowOff>
        </xdr:to>
        <xdr:sp macro="" textlink="">
          <xdr:nvSpPr>
            <xdr:cNvPr id="2148" name="Check Box 100" hidden="1">
              <a:extLst>
                <a:ext uri="{63B3BB69-23CF-44E3-9099-C40C66FF867C}">
                  <a14:compatExt spid="_x0000_s2148"/>
                </a:ext>
                <a:ext uri="{FF2B5EF4-FFF2-40B4-BE49-F238E27FC236}">
                  <a16:creationId xmlns:a16="http://schemas.microsoft.com/office/drawing/2014/main" id="{00000000-0008-0000-0100-00006408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7620</xdr:colOff>
          <xdr:row>76</xdr:row>
          <xdr:rowOff>175260</xdr:rowOff>
        </xdr:from>
        <xdr:to>
          <xdr:col>9</xdr:col>
          <xdr:colOff>0</xdr:colOff>
          <xdr:row>78</xdr:row>
          <xdr:rowOff>30480</xdr:rowOff>
        </xdr:to>
        <xdr:sp macro="" textlink="">
          <xdr:nvSpPr>
            <xdr:cNvPr id="2149" name="Check Box 101" hidden="1">
              <a:extLst>
                <a:ext uri="{63B3BB69-23CF-44E3-9099-C40C66FF867C}">
                  <a14:compatExt spid="_x0000_s2149"/>
                </a:ext>
                <a:ext uri="{FF2B5EF4-FFF2-40B4-BE49-F238E27FC236}">
                  <a16:creationId xmlns:a16="http://schemas.microsoft.com/office/drawing/2014/main" id="{00000000-0008-0000-0100-00006508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7620</xdr:colOff>
          <xdr:row>78</xdr:row>
          <xdr:rowOff>7620</xdr:rowOff>
        </xdr:from>
        <xdr:to>
          <xdr:col>9</xdr:col>
          <xdr:colOff>0</xdr:colOff>
          <xdr:row>79</xdr:row>
          <xdr:rowOff>30480</xdr:rowOff>
        </xdr:to>
        <xdr:sp macro="" textlink="">
          <xdr:nvSpPr>
            <xdr:cNvPr id="2150" name="Check Box 102" hidden="1">
              <a:extLst>
                <a:ext uri="{63B3BB69-23CF-44E3-9099-C40C66FF867C}">
                  <a14:compatExt spid="_x0000_s2150"/>
                </a:ext>
                <a:ext uri="{FF2B5EF4-FFF2-40B4-BE49-F238E27FC236}">
                  <a16:creationId xmlns:a16="http://schemas.microsoft.com/office/drawing/2014/main" id="{00000000-0008-0000-0100-00006608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7620</xdr:colOff>
          <xdr:row>76</xdr:row>
          <xdr:rowOff>22860</xdr:rowOff>
        </xdr:from>
        <xdr:to>
          <xdr:col>10</xdr:col>
          <xdr:colOff>982980</xdr:colOff>
          <xdr:row>77</xdr:row>
          <xdr:rowOff>30480</xdr:rowOff>
        </xdr:to>
        <xdr:sp macro="" textlink="">
          <xdr:nvSpPr>
            <xdr:cNvPr id="2151" name="Check Box 103" hidden="1">
              <a:extLst>
                <a:ext uri="{63B3BB69-23CF-44E3-9099-C40C66FF867C}">
                  <a14:compatExt spid="_x0000_s2151"/>
                </a:ext>
                <a:ext uri="{FF2B5EF4-FFF2-40B4-BE49-F238E27FC236}">
                  <a16:creationId xmlns:a16="http://schemas.microsoft.com/office/drawing/2014/main" id="{00000000-0008-0000-0100-00006708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7620</xdr:colOff>
          <xdr:row>77</xdr:row>
          <xdr:rowOff>0</xdr:rowOff>
        </xdr:from>
        <xdr:to>
          <xdr:col>10</xdr:col>
          <xdr:colOff>982980</xdr:colOff>
          <xdr:row>78</xdr:row>
          <xdr:rowOff>30480</xdr:rowOff>
        </xdr:to>
        <xdr:sp macro="" textlink="">
          <xdr:nvSpPr>
            <xdr:cNvPr id="2152" name="Check Box 104" hidden="1">
              <a:extLst>
                <a:ext uri="{63B3BB69-23CF-44E3-9099-C40C66FF867C}">
                  <a14:compatExt spid="_x0000_s2152"/>
                </a:ext>
                <a:ext uri="{FF2B5EF4-FFF2-40B4-BE49-F238E27FC236}">
                  <a16:creationId xmlns:a16="http://schemas.microsoft.com/office/drawing/2014/main" id="{00000000-0008-0000-0100-00006808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7620</xdr:colOff>
          <xdr:row>77</xdr:row>
          <xdr:rowOff>175260</xdr:rowOff>
        </xdr:from>
        <xdr:to>
          <xdr:col>10</xdr:col>
          <xdr:colOff>990600</xdr:colOff>
          <xdr:row>79</xdr:row>
          <xdr:rowOff>30480</xdr:rowOff>
        </xdr:to>
        <xdr:sp macro="" textlink="">
          <xdr:nvSpPr>
            <xdr:cNvPr id="2153" name="Check Box 105" hidden="1">
              <a:extLst>
                <a:ext uri="{63B3BB69-23CF-44E3-9099-C40C66FF867C}">
                  <a14:compatExt spid="_x0000_s2153"/>
                </a:ext>
                <a:ext uri="{FF2B5EF4-FFF2-40B4-BE49-F238E27FC236}">
                  <a16:creationId xmlns:a16="http://schemas.microsoft.com/office/drawing/2014/main" id="{00000000-0008-0000-0100-00006908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7620</xdr:colOff>
          <xdr:row>76</xdr:row>
          <xdr:rowOff>7620</xdr:rowOff>
        </xdr:from>
        <xdr:to>
          <xdr:col>13</xdr:col>
          <xdr:colOff>22860</xdr:colOff>
          <xdr:row>77</xdr:row>
          <xdr:rowOff>30480</xdr:rowOff>
        </xdr:to>
        <xdr:sp macro="" textlink="">
          <xdr:nvSpPr>
            <xdr:cNvPr id="2154" name="Check Box 106" hidden="1">
              <a:extLst>
                <a:ext uri="{63B3BB69-23CF-44E3-9099-C40C66FF867C}">
                  <a14:compatExt spid="_x0000_s2154"/>
                </a:ext>
                <a:ext uri="{FF2B5EF4-FFF2-40B4-BE49-F238E27FC236}">
                  <a16:creationId xmlns:a16="http://schemas.microsoft.com/office/drawing/2014/main" id="{00000000-0008-0000-0100-00006A08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7620</xdr:colOff>
          <xdr:row>77</xdr:row>
          <xdr:rowOff>7620</xdr:rowOff>
        </xdr:from>
        <xdr:to>
          <xdr:col>13</xdr:col>
          <xdr:colOff>22860</xdr:colOff>
          <xdr:row>78</xdr:row>
          <xdr:rowOff>30480</xdr:rowOff>
        </xdr:to>
        <xdr:sp macro="" textlink="">
          <xdr:nvSpPr>
            <xdr:cNvPr id="2155" name="Check Box 107" hidden="1">
              <a:extLst>
                <a:ext uri="{63B3BB69-23CF-44E3-9099-C40C66FF867C}">
                  <a14:compatExt spid="_x0000_s2155"/>
                </a:ext>
                <a:ext uri="{FF2B5EF4-FFF2-40B4-BE49-F238E27FC236}">
                  <a16:creationId xmlns:a16="http://schemas.microsoft.com/office/drawing/2014/main" id="{00000000-0008-0000-0100-00006B08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7620</xdr:colOff>
          <xdr:row>78</xdr:row>
          <xdr:rowOff>7620</xdr:rowOff>
        </xdr:from>
        <xdr:to>
          <xdr:col>13</xdr:col>
          <xdr:colOff>22860</xdr:colOff>
          <xdr:row>79</xdr:row>
          <xdr:rowOff>30480</xdr:rowOff>
        </xdr:to>
        <xdr:sp macro="" textlink="">
          <xdr:nvSpPr>
            <xdr:cNvPr id="2156" name="Check Box 108" hidden="1">
              <a:extLst>
                <a:ext uri="{63B3BB69-23CF-44E3-9099-C40C66FF867C}">
                  <a14:compatExt spid="_x0000_s2156"/>
                </a:ext>
                <a:ext uri="{FF2B5EF4-FFF2-40B4-BE49-F238E27FC236}">
                  <a16:creationId xmlns:a16="http://schemas.microsoft.com/office/drawing/2014/main" id="{00000000-0008-0000-0100-00006C08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7620</xdr:colOff>
          <xdr:row>76</xdr:row>
          <xdr:rowOff>7620</xdr:rowOff>
        </xdr:from>
        <xdr:to>
          <xdr:col>15</xdr:col>
          <xdr:colOff>0</xdr:colOff>
          <xdr:row>77</xdr:row>
          <xdr:rowOff>30480</xdr:rowOff>
        </xdr:to>
        <xdr:sp macro="" textlink="">
          <xdr:nvSpPr>
            <xdr:cNvPr id="2157" name="Check Box 109" hidden="1">
              <a:extLst>
                <a:ext uri="{63B3BB69-23CF-44E3-9099-C40C66FF867C}">
                  <a14:compatExt spid="_x0000_s2157"/>
                </a:ext>
                <a:ext uri="{FF2B5EF4-FFF2-40B4-BE49-F238E27FC236}">
                  <a16:creationId xmlns:a16="http://schemas.microsoft.com/office/drawing/2014/main" id="{00000000-0008-0000-0100-00006D08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7620</xdr:colOff>
          <xdr:row>77</xdr:row>
          <xdr:rowOff>7620</xdr:rowOff>
        </xdr:from>
        <xdr:to>
          <xdr:col>15</xdr:col>
          <xdr:colOff>0</xdr:colOff>
          <xdr:row>78</xdr:row>
          <xdr:rowOff>30480</xdr:rowOff>
        </xdr:to>
        <xdr:sp macro="" textlink="">
          <xdr:nvSpPr>
            <xdr:cNvPr id="2158" name="Check Box 110" hidden="1">
              <a:extLst>
                <a:ext uri="{63B3BB69-23CF-44E3-9099-C40C66FF867C}">
                  <a14:compatExt spid="_x0000_s2158"/>
                </a:ext>
                <a:ext uri="{FF2B5EF4-FFF2-40B4-BE49-F238E27FC236}">
                  <a16:creationId xmlns:a16="http://schemas.microsoft.com/office/drawing/2014/main" id="{00000000-0008-0000-0100-00006E08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7620</xdr:colOff>
          <xdr:row>78</xdr:row>
          <xdr:rowOff>7620</xdr:rowOff>
        </xdr:from>
        <xdr:to>
          <xdr:col>15</xdr:col>
          <xdr:colOff>0</xdr:colOff>
          <xdr:row>79</xdr:row>
          <xdr:rowOff>30480</xdr:rowOff>
        </xdr:to>
        <xdr:sp macro="" textlink="">
          <xdr:nvSpPr>
            <xdr:cNvPr id="2159" name="Check Box 111" hidden="1">
              <a:extLst>
                <a:ext uri="{63B3BB69-23CF-44E3-9099-C40C66FF867C}">
                  <a14:compatExt spid="_x0000_s2159"/>
                </a:ext>
                <a:ext uri="{FF2B5EF4-FFF2-40B4-BE49-F238E27FC236}">
                  <a16:creationId xmlns:a16="http://schemas.microsoft.com/office/drawing/2014/main" id="{00000000-0008-0000-0100-00006F08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16</xdr:col>
          <xdr:colOff>7620</xdr:colOff>
          <xdr:row>76</xdr:row>
          <xdr:rowOff>7620</xdr:rowOff>
        </xdr:from>
        <xdr:to>
          <xdr:col>16</xdr:col>
          <xdr:colOff>1478280</xdr:colOff>
          <xdr:row>77</xdr:row>
          <xdr:rowOff>30480</xdr:rowOff>
        </xdr:to>
        <xdr:sp macro="" textlink="">
          <xdr:nvSpPr>
            <xdr:cNvPr id="2160" name="Check Box 112" hidden="1">
              <a:extLst>
                <a:ext uri="{63B3BB69-23CF-44E3-9099-C40C66FF867C}">
                  <a14:compatExt spid="_x0000_s2160"/>
                </a:ext>
                <a:ext uri="{FF2B5EF4-FFF2-40B4-BE49-F238E27FC236}">
                  <a16:creationId xmlns:a16="http://schemas.microsoft.com/office/drawing/2014/main" id="{00000000-0008-0000-0100-00007008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16</xdr:col>
          <xdr:colOff>7620</xdr:colOff>
          <xdr:row>77</xdr:row>
          <xdr:rowOff>22860</xdr:rowOff>
        </xdr:from>
        <xdr:to>
          <xdr:col>16</xdr:col>
          <xdr:colOff>1485900</xdr:colOff>
          <xdr:row>78</xdr:row>
          <xdr:rowOff>30480</xdr:rowOff>
        </xdr:to>
        <xdr:sp macro="" textlink="">
          <xdr:nvSpPr>
            <xdr:cNvPr id="2161" name="Check Box 113" hidden="1">
              <a:extLst>
                <a:ext uri="{63B3BB69-23CF-44E3-9099-C40C66FF867C}">
                  <a14:compatExt spid="_x0000_s2161"/>
                </a:ext>
                <a:ext uri="{FF2B5EF4-FFF2-40B4-BE49-F238E27FC236}">
                  <a16:creationId xmlns:a16="http://schemas.microsoft.com/office/drawing/2014/main" id="{00000000-0008-0000-0100-00007108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16</xdr:col>
          <xdr:colOff>7620</xdr:colOff>
          <xdr:row>78</xdr:row>
          <xdr:rowOff>7620</xdr:rowOff>
        </xdr:from>
        <xdr:to>
          <xdr:col>16</xdr:col>
          <xdr:colOff>1051560</xdr:colOff>
          <xdr:row>79</xdr:row>
          <xdr:rowOff>30480</xdr:rowOff>
        </xdr:to>
        <xdr:sp macro="" textlink="">
          <xdr:nvSpPr>
            <xdr:cNvPr id="2162" name="Check Box 114" hidden="1">
              <a:extLst>
                <a:ext uri="{63B3BB69-23CF-44E3-9099-C40C66FF867C}">
                  <a14:compatExt spid="_x0000_s2162"/>
                </a:ext>
                <a:ext uri="{FF2B5EF4-FFF2-40B4-BE49-F238E27FC236}">
                  <a16:creationId xmlns:a16="http://schemas.microsoft.com/office/drawing/2014/main" id="{00000000-0008-0000-0100-00007208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18</xdr:col>
          <xdr:colOff>7620</xdr:colOff>
          <xdr:row>76</xdr:row>
          <xdr:rowOff>7620</xdr:rowOff>
        </xdr:from>
        <xdr:to>
          <xdr:col>18</xdr:col>
          <xdr:colOff>1257300</xdr:colOff>
          <xdr:row>77</xdr:row>
          <xdr:rowOff>30480</xdr:rowOff>
        </xdr:to>
        <xdr:sp macro="" textlink="">
          <xdr:nvSpPr>
            <xdr:cNvPr id="2163" name="Check Box 115" hidden="1">
              <a:extLst>
                <a:ext uri="{63B3BB69-23CF-44E3-9099-C40C66FF867C}">
                  <a14:compatExt spid="_x0000_s2163"/>
                </a:ext>
                <a:ext uri="{FF2B5EF4-FFF2-40B4-BE49-F238E27FC236}">
                  <a16:creationId xmlns:a16="http://schemas.microsoft.com/office/drawing/2014/main" id="{00000000-0008-0000-0100-00007308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18</xdr:col>
          <xdr:colOff>7620</xdr:colOff>
          <xdr:row>77</xdr:row>
          <xdr:rowOff>7620</xdr:rowOff>
        </xdr:from>
        <xdr:to>
          <xdr:col>18</xdr:col>
          <xdr:colOff>1257300</xdr:colOff>
          <xdr:row>78</xdr:row>
          <xdr:rowOff>30480</xdr:rowOff>
        </xdr:to>
        <xdr:sp macro="" textlink="">
          <xdr:nvSpPr>
            <xdr:cNvPr id="2164" name="Check Box 116" hidden="1">
              <a:extLst>
                <a:ext uri="{63B3BB69-23CF-44E3-9099-C40C66FF867C}">
                  <a14:compatExt spid="_x0000_s2164"/>
                </a:ext>
                <a:ext uri="{FF2B5EF4-FFF2-40B4-BE49-F238E27FC236}">
                  <a16:creationId xmlns:a16="http://schemas.microsoft.com/office/drawing/2014/main" id="{00000000-0008-0000-0100-00007408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18</xdr:col>
          <xdr:colOff>7620</xdr:colOff>
          <xdr:row>78</xdr:row>
          <xdr:rowOff>7620</xdr:rowOff>
        </xdr:from>
        <xdr:to>
          <xdr:col>18</xdr:col>
          <xdr:colOff>1257300</xdr:colOff>
          <xdr:row>79</xdr:row>
          <xdr:rowOff>30480</xdr:rowOff>
        </xdr:to>
        <xdr:sp macro="" textlink="">
          <xdr:nvSpPr>
            <xdr:cNvPr id="2165" name="Check Box 117" hidden="1">
              <a:extLst>
                <a:ext uri="{63B3BB69-23CF-44E3-9099-C40C66FF867C}">
                  <a14:compatExt spid="_x0000_s2165"/>
                </a:ext>
                <a:ext uri="{FF2B5EF4-FFF2-40B4-BE49-F238E27FC236}">
                  <a16:creationId xmlns:a16="http://schemas.microsoft.com/office/drawing/2014/main" id="{00000000-0008-0000-0100-00007508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20</xdr:col>
          <xdr:colOff>7620</xdr:colOff>
          <xdr:row>76</xdr:row>
          <xdr:rowOff>7620</xdr:rowOff>
        </xdr:from>
        <xdr:to>
          <xdr:col>20</xdr:col>
          <xdr:colOff>1036320</xdr:colOff>
          <xdr:row>77</xdr:row>
          <xdr:rowOff>30480</xdr:rowOff>
        </xdr:to>
        <xdr:sp macro="" textlink="">
          <xdr:nvSpPr>
            <xdr:cNvPr id="2166" name="Check Box 118" hidden="1">
              <a:extLst>
                <a:ext uri="{63B3BB69-23CF-44E3-9099-C40C66FF867C}">
                  <a14:compatExt spid="_x0000_s2166"/>
                </a:ext>
                <a:ext uri="{FF2B5EF4-FFF2-40B4-BE49-F238E27FC236}">
                  <a16:creationId xmlns:a16="http://schemas.microsoft.com/office/drawing/2014/main" id="{00000000-0008-0000-0100-00007608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20</xdr:col>
          <xdr:colOff>7620</xdr:colOff>
          <xdr:row>77</xdr:row>
          <xdr:rowOff>7620</xdr:rowOff>
        </xdr:from>
        <xdr:to>
          <xdr:col>20</xdr:col>
          <xdr:colOff>1036320</xdr:colOff>
          <xdr:row>78</xdr:row>
          <xdr:rowOff>30480</xdr:rowOff>
        </xdr:to>
        <xdr:sp macro="" textlink="">
          <xdr:nvSpPr>
            <xdr:cNvPr id="2167" name="Check Box 119" hidden="1">
              <a:extLst>
                <a:ext uri="{63B3BB69-23CF-44E3-9099-C40C66FF867C}">
                  <a14:compatExt spid="_x0000_s2167"/>
                </a:ext>
                <a:ext uri="{FF2B5EF4-FFF2-40B4-BE49-F238E27FC236}">
                  <a16:creationId xmlns:a16="http://schemas.microsoft.com/office/drawing/2014/main" id="{00000000-0008-0000-0100-00007708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20</xdr:col>
          <xdr:colOff>7620</xdr:colOff>
          <xdr:row>78</xdr:row>
          <xdr:rowOff>7620</xdr:rowOff>
        </xdr:from>
        <xdr:to>
          <xdr:col>20</xdr:col>
          <xdr:colOff>1036320</xdr:colOff>
          <xdr:row>79</xdr:row>
          <xdr:rowOff>30480</xdr:rowOff>
        </xdr:to>
        <xdr:sp macro="" textlink="">
          <xdr:nvSpPr>
            <xdr:cNvPr id="2168" name="Check Box 120" hidden="1">
              <a:extLst>
                <a:ext uri="{63B3BB69-23CF-44E3-9099-C40C66FF867C}">
                  <a14:compatExt spid="_x0000_s2168"/>
                </a:ext>
                <a:ext uri="{FF2B5EF4-FFF2-40B4-BE49-F238E27FC236}">
                  <a16:creationId xmlns:a16="http://schemas.microsoft.com/office/drawing/2014/main" id="{00000000-0008-0000-0100-00007808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22</xdr:col>
          <xdr:colOff>7620</xdr:colOff>
          <xdr:row>76</xdr:row>
          <xdr:rowOff>22860</xdr:rowOff>
        </xdr:from>
        <xdr:to>
          <xdr:col>22</xdr:col>
          <xdr:colOff>1394460</xdr:colOff>
          <xdr:row>77</xdr:row>
          <xdr:rowOff>30480</xdr:rowOff>
        </xdr:to>
        <xdr:sp macro="" textlink="">
          <xdr:nvSpPr>
            <xdr:cNvPr id="2169" name="Check Box 121" hidden="1">
              <a:extLst>
                <a:ext uri="{63B3BB69-23CF-44E3-9099-C40C66FF867C}">
                  <a14:compatExt spid="_x0000_s2169"/>
                </a:ext>
                <a:ext uri="{FF2B5EF4-FFF2-40B4-BE49-F238E27FC236}">
                  <a16:creationId xmlns:a16="http://schemas.microsoft.com/office/drawing/2014/main" id="{00000000-0008-0000-0100-00007908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22</xdr:col>
          <xdr:colOff>7620</xdr:colOff>
          <xdr:row>77</xdr:row>
          <xdr:rowOff>7620</xdr:rowOff>
        </xdr:from>
        <xdr:to>
          <xdr:col>22</xdr:col>
          <xdr:colOff>1402080</xdr:colOff>
          <xdr:row>78</xdr:row>
          <xdr:rowOff>30480</xdr:rowOff>
        </xdr:to>
        <xdr:sp macro="" textlink="">
          <xdr:nvSpPr>
            <xdr:cNvPr id="2170" name="Check Box 122" hidden="1">
              <a:extLst>
                <a:ext uri="{63B3BB69-23CF-44E3-9099-C40C66FF867C}">
                  <a14:compatExt spid="_x0000_s2170"/>
                </a:ext>
                <a:ext uri="{FF2B5EF4-FFF2-40B4-BE49-F238E27FC236}">
                  <a16:creationId xmlns:a16="http://schemas.microsoft.com/office/drawing/2014/main" id="{00000000-0008-0000-0100-00007A08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22</xdr:col>
          <xdr:colOff>7620</xdr:colOff>
          <xdr:row>78</xdr:row>
          <xdr:rowOff>7620</xdr:rowOff>
        </xdr:from>
        <xdr:to>
          <xdr:col>22</xdr:col>
          <xdr:colOff>1402080</xdr:colOff>
          <xdr:row>79</xdr:row>
          <xdr:rowOff>30480</xdr:rowOff>
        </xdr:to>
        <xdr:sp macro="" textlink="">
          <xdr:nvSpPr>
            <xdr:cNvPr id="2171" name="Check Box 123" hidden="1">
              <a:extLst>
                <a:ext uri="{63B3BB69-23CF-44E3-9099-C40C66FF867C}">
                  <a14:compatExt spid="_x0000_s2171"/>
                </a:ext>
                <a:ext uri="{FF2B5EF4-FFF2-40B4-BE49-F238E27FC236}">
                  <a16:creationId xmlns:a16="http://schemas.microsoft.com/office/drawing/2014/main" id="{00000000-0008-0000-0100-00007B08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16</xdr:col>
          <xdr:colOff>22860</xdr:colOff>
          <xdr:row>78</xdr:row>
          <xdr:rowOff>0</xdr:rowOff>
        </xdr:from>
        <xdr:to>
          <xdr:col>16</xdr:col>
          <xdr:colOff>1485900</xdr:colOff>
          <xdr:row>79</xdr:row>
          <xdr:rowOff>30480</xdr:rowOff>
        </xdr:to>
        <xdr:sp macro="" textlink="">
          <xdr:nvSpPr>
            <xdr:cNvPr id="2172" name="Check Box 124" hidden="1">
              <a:extLst>
                <a:ext uri="{63B3BB69-23CF-44E3-9099-C40C66FF867C}">
                  <a14:compatExt spid="_x0000_s2172"/>
                </a:ext>
                <a:ext uri="{FF2B5EF4-FFF2-40B4-BE49-F238E27FC236}">
                  <a16:creationId xmlns:a16="http://schemas.microsoft.com/office/drawing/2014/main" id="{00000000-0008-0000-0100-00007C08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7620</xdr:colOff>
          <xdr:row>70</xdr:row>
          <xdr:rowOff>7620</xdr:rowOff>
        </xdr:from>
        <xdr:to>
          <xdr:col>3</xdr:col>
          <xdr:colOff>60960</xdr:colOff>
          <xdr:row>71</xdr:row>
          <xdr:rowOff>30480</xdr:rowOff>
        </xdr:to>
        <xdr:sp macro="" textlink="">
          <xdr:nvSpPr>
            <xdr:cNvPr id="2173" name="Check Box 125" hidden="1">
              <a:extLst>
                <a:ext uri="{63B3BB69-23CF-44E3-9099-C40C66FF867C}">
                  <a14:compatExt spid="_x0000_s2173"/>
                </a:ext>
                <a:ext uri="{FF2B5EF4-FFF2-40B4-BE49-F238E27FC236}">
                  <a16:creationId xmlns:a16="http://schemas.microsoft.com/office/drawing/2014/main" id="{00000000-0008-0000-0100-00007D08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7620</xdr:colOff>
          <xdr:row>71</xdr:row>
          <xdr:rowOff>7620</xdr:rowOff>
        </xdr:from>
        <xdr:to>
          <xdr:col>3</xdr:col>
          <xdr:colOff>60960</xdr:colOff>
          <xdr:row>72</xdr:row>
          <xdr:rowOff>30480</xdr:rowOff>
        </xdr:to>
        <xdr:sp macro="" textlink="">
          <xdr:nvSpPr>
            <xdr:cNvPr id="2174" name="Check Box 126" hidden="1">
              <a:extLst>
                <a:ext uri="{63B3BB69-23CF-44E3-9099-C40C66FF867C}">
                  <a14:compatExt spid="_x0000_s2174"/>
                </a:ext>
                <a:ext uri="{FF2B5EF4-FFF2-40B4-BE49-F238E27FC236}">
                  <a16:creationId xmlns:a16="http://schemas.microsoft.com/office/drawing/2014/main" id="{00000000-0008-0000-0100-00007E08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7620</xdr:colOff>
          <xdr:row>72</xdr:row>
          <xdr:rowOff>7620</xdr:rowOff>
        </xdr:from>
        <xdr:to>
          <xdr:col>3</xdr:col>
          <xdr:colOff>60960</xdr:colOff>
          <xdr:row>73</xdr:row>
          <xdr:rowOff>30480</xdr:rowOff>
        </xdr:to>
        <xdr:sp macro="" textlink="">
          <xdr:nvSpPr>
            <xdr:cNvPr id="2175" name="Check Box 127" hidden="1">
              <a:extLst>
                <a:ext uri="{63B3BB69-23CF-44E3-9099-C40C66FF867C}">
                  <a14:compatExt spid="_x0000_s2175"/>
                </a:ext>
                <a:ext uri="{FF2B5EF4-FFF2-40B4-BE49-F238E27FC236}">
                  <a16:creationId xmlns:a16="http://schemas.microsoft.com/office/drawing/2014/main" id="{00000000-0008-0000-0100-00007F08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7620</xdr:colOff>
          <xdr:row>73</xdr:row>
          <xdr:rowOff>7620</xdr:rowOff>
        </xdr:from>
        <xdr:to>
          <xdr:col>3</xdr:col>
          <xdr:colOff>60960</xdr:colOff>
          <xdr:row>74</xdr:row>
          <xdr:rowOff>30480</xdr:rowOff>
        </xdr:to>
        <xdr:sp macro="" textlink="">
          <xdr:nvSpPr>
            <xdr:cNvPr id="2176" name="Check Box 128" hidden="1">
              <a:extLst>
                <a:ext uri="{63B3BB69-23CF-44E3-9099-C40C66FF867C}">
                  <a14:compatExt spid="_x0000_s2176"/>
                </a:ext>
                <a:ext uri="{FF2B5EF4-FFF2-40B4-BE49-F238E27FC236}">
                  <a16:creationId xmlns:a16="http://schemas.microsoft.com/office/drawing/2014/main" id="{00000000-0008-0000-0100-00008008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7620</xdr:colOff>
          <xdr:row>74</xdr:row>
          <xdr:rowOff>7620</xdr:rowOff>
        </xdr:from>
        <xdr:to>
          <xdr:col>3</xdr:col>
          <xdr:colOff>60960</xdr:colOff>
          <xdr:row>75</xdr:row>
          <xdr:rowOff>30480</xdr:rowOff>
        </xdr:to>
        <xdr:sp macro="" textlink="">
          <xdr:nvSpPr>
            <xdr:cNvPr id="2177" name="Check Box 129" hidden="1">
              <a:extLst>
                <a:ext uri="{63B3BB69-23CF-44E3-9099-C40C66FF867C}">
                  <a14:compatExt spid="_x0000_s2177"/>
                </a:ext>
                <a:ext uri="{FF2B5EF4-FFF2-40B4-BE49-F238E27FC236}">
                  <a16:creationId xmlns:a16="http://schemas.microsoft.com/office/drawing/2014/main" id="{00000000-0008-0000-0100-00008108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7620</xdr:colOff>
          <xdr:row>75</xdr:row>
          <xdr:rowOff>7620</xdr:rowOff>
        </xdr:from>
        <xdr:to>
          <xdr:col>3</xdr:col>
          <xdr:colOff>60960</xdr:colOff>
          <xdr:row>76</xdr:row>
          <xdr:rowOff>30480</xdr:rowOff>
        </xdr:to>
        <xdr:sp macro="" textlink="">
          <xdr:nvSpPr>
            <xdr:cNvPr id="2178" name="Check Box 130" hidden="1">
              <a:extLst>
                <a:ext uri="{63B3BB69-23CF-44E3-9099-C40C66FF867C}">
                  <a14:compatExt spid="_x0000_s2178"/>
                </a:ext>
                <a:ext uri="{FF2B5EF4-FFF2-40B4-BE49-F238E27FC236}">
                  <a16:creationId xmlns:a16="http://schemas.microsoft.com/office/drawing/2014/main" id="{00000000-0008-0000-0100-00008208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7620</xdr:colOff>
          <xdr:row>76</xdr:row>
          <xdr:rowOff>7620</xdr:rowOff>
        </xdr:from>
        <xdr:to>
          <xdr:col>3</xdr:col>
          <xdr:colOff>60960</xdr:colOff>
          <xdr:row>77</xdr:row>
          <xdr:rowOff>30480</xdr:rowOff>
        </xdr:to>
        <xdr:sp macro="" textlink="">
          <xdr:nvSpPr>
            <xdr:cNvPr id="2179" name="Check Box 131" hidden="1">
              <a:extLst>
                <a:ext uri="{63B3BB69-23CF-44E3-9099-C40C66FF867C}">
                  <a14:compatExt spid="_x0000_s2179"/>
                </a:ext>
                <a:ext uri="{FF2B5EF4-FFF2-40B4-BE49-F238E27FC236}">
                  <a16:creationId xmlns:a16="http://schemas.microsoft.com/office/drawing/2014/main" id="{00000000-0008-0000-0100-00008308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7620</xdr:colOff>
          <xdr:row>77</xdr:row>
          <xdr:rowOff>7620</xdr:rowOff>
        </xdr:from>
        <xdr:to>
          <xdr:col>3</xdr:col>
          <xdr:colOff>60960</xdr:colOff>
          <xdr:row>78</xdr:row>
          <xdr:rowOff>30480</xdr:rowOff>
        </xdr:to>
        <xdr:sp macro="" textlink="">
          <xdr:nvSpPr>
            <xdr:cNvPr id="2180" name="Check Box 132" hidden="1">
              <a:extLst>
                <a:ext uri="{63B3BB69-23CF-44E3-9099-C40C66FF867C}">
                  <a14:compatExt spid="_x0000_s2180"/>
                </a:ext>
                <a:ext uri="{FF2B5EF4-FFF2-40B4-BE49-F238E27FC236}">
                  <a16:creationId xmlns:a16="http://schemas.microsoft.com/office/drawing/2014/main" id="{00000000-0008-0000-0100-00008408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7620</xdr:colOff>
          <xdr:row>78</xdr:row>
          <xdr:rowOff>7620</xdr:rowOff>
        </xdr:from>
        <xdr:to>
          <xdr:col>3</xdr:col>
          <xdr:colOff>60960</xdr:colOff>
          <xdr:row>79</xdr:row>
          <xdr:rowOff>30480</xdr:rowOff>
        </xdr:to>
        <xdr:sp macro="" textlink="">
          <xdr:nvSpPr>
            <xdr:cNvPr id="2181" name="Check Box 133" hidden="1">
              <a:extLst>
                <a:ext uri="{63B3BB69-23CF-44E3-9099-C40C66FF867C}">
                  <a14:compatExt spid="_x0000_s2181"/>
                </a:ext>
                <a:ext uri="{FF2B5EF4-FFF2-40B4-BE49-F238E27FC236}">
                  <a16:creationId xmlns:a16="http://schemas.microsoft.com/office/drawing/2014/main" id="{00000000-0008-0000-0100-00008508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7620</xdr:colOff>
          <xdr:row>70</xdr:row>
          <xdr:rowOff>7620</xdr:rowOff>
        </xdr:from>
        <xdr:to>
          <xdr:col>13</xdr:col>
          <xdr:colOff>22860</xdr:colOff>
          <xdr:row>71</xdr:row>
          <xdr:rowOff>30480</xdr:rowOff>
        </xdr:to>
        <xdr:sp macro="" textlink="">
          <xdr:nvSpPr>
            <xdr:cNvPr id="2182" name="Check Box 134" hidden="1">
              <a:extLst>
                <a:ext uri="{63B3BB69-23CF-44E3-9099-C40C66FF867C}">
                  <a14:compatExt spid="_x0000_s2182"/>
                </a:ext>
                <a:ext uri="{FF2B5EF4-FFF2-40B4-BE49-F238E27FC236}">
                  <a16:creationId xmlns:a16="http://schemas.microsoft.com/office/drawing/2014/main" id="{00000000-0008-0000-0100-00008608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7620</xdr:colOff>
          <xdr:row>71</xdr:row>
          <xdr:rowOff>7620</xdr:rowOff>
        </xdr:from>
        <xdr:to>
          <xdr:col>13</xdr:col>
          <xdr:colOff>22860</xdr:colOff>
          <xdr:row>72</xdr:row>
          <xdr:rowOff>30480</xdr:rowOff>
        </xdr:to>
        <xdr:sp macro="" textlink="">
          <xdr:nvSpPr>
            <xdr:cNvPr id="2183" name="Check Box 135" hidden="1">
              <a:extLst>
                <a:ext uri="{63B3BB69-23CF-44E3-9099-C40C66FF867C}">
                  <a14:compatExt spid="_x0000_s2183"/>
                </a:ext>
                <a:ext uri="{FF2B5EF4-FFF2-40B4-BE49-F238E27FC236}">
                  <a16:creationId xmlns:a16="http://schemas.microsoft.com/office/drawing/2014/main" id="{00000000-0008-0000-0100-00008708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7620</xdr:colOff>
          <xdr:row>72</xdr:row>
          <xdr:rowOff>7620</xdr:rowOff>
        </xdr:from>
        <xdr:to>
          <xdr:col>13</xdr:col>
          <xdr:colOff>22860</xdr:colOff>
          <xdr:row>73</xdr:row>
          <xdr:rowOff>30480</xdr:rowOff>
        </xdr:to>
        <xdr:sp macro="" textlink="">
          <xdr:nvSpPr>
            <xdr:cNvPr id="2184" name="Check Box 136" hidden="1">
              <a:extLst>
                <a:ext uri="{63B3BB69-23CF-44E3-9099-C40C66FF867C}">
                  <a14:compatExt spid="_x0000_s2184"/>
                </a:ext>
                <a:ext uri="{FF2B5EF4-FFF2-40B4-BE49-F238E27FC236}">
                  <a16:creationId xmlns:a16="http://schemas.microsoft.com/office/drawing/2014/main" id="{00000000-0008-0000-0100-00008808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7620</xdr:colOff>
          <xdr:row>73</xdr:row>
          <xdr:rowOff>7620</xdr:rowOff>
        </xdr:from>
        <xdr:to>
          <xdr:col>13</xdr:col>
          <xdr:colOff>22860</xdr:colOff>
          <xdr:row>74</xdr:row>
          <xdr:rowOff>30480</xdr:rowOff>
        </xdr:to>
        <xdr:sp macro="" textlink="">
          <xdr:nvSpPr>
            <xdr:cNvPr id="2185" name="Check Box 137" hidden="1">
              <a:extLst>
                <a:ext uri="{63B3BB69-23CF-44E3-9099-C40C66FF867C}">
                  <a14:compatExt spid="_x0000_s2185"/>
                </a:ext>
                <a:ext uri="{FF2B5EF4-FFF2-40B4-BE49-F238E27FC236}">
                  <a16:creationId xmlns:a16="http://schemas.microsoft.com/office/drawing/2014/main" id="{00000000-0008-0000-0100-00008908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7620</xdr:colOff>
          <xdr:row>74</xdr:row>
          <xdr:rowOff>7620</xdr:rowOff>
        </xdr:from>
        <xdr:to>
          <xdr:col>13</xdr:col>
          <xdr:colOff>22860</xdr:colOff>
          <xdr:row>75</xdr:row>
          <xdr:rowOff>30480</xdr:rowOff>
        </xdr:to>
        <xdr:sp macro="" textlink="">
          <xdr:nvSpPr>
            <xdr:cNvPr id="2186" name="Check Box 138" hidden="1">
              <a:extLst>
                <a:ext uri="{63B3BB69-23CF-44E3-9099-C40C66FF867C}">
                  <a14:compatExt spid="_x0000_s2186"/>
                </a:ext>
                <a:ext uri="{FF2B5EF4-FFF2-40B4-BE49-F238E27FC236}">
                  <a16:creationId xmlns:a16="http://schemas.microsoft.com/office/drawing/2014/main" id="{00000000-0008-0000-0100-00008A08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7620</xdr:colOff>
          <xdr:row>75</xdr:row>
          <xdr:rowOff>7620</xdr:rowOff>
        </xdr:from>
        <xdr:to>
          <xdr:col>13</xdr:col>
          <xdr:colOff>22860</xdr:colOff>
          <xdr:row>76</xdr:row>
          <xdr:rowOff>30480</xdr:rowOff>
        </xdr:to>
        <xdr:sp macro="" textlink="">
          <xdr:nvSpPr>
            <xdr:cNvPr id="2187" name="Check Box 139" hidden="1">
              <a:extLst>
                <a:ext uri="{63B3BB69-23CF-44E3-9099-C40C66FF867C}">
                  <a14:compatExt spid="_x0000_s2187"/>
                </a:ext>
                <a:ext uri="{FF2B5EF4-FFF2-40B4-BE49-F238E27FC236}">
                  <a16:creationId xmlns:a16="http://schemas.microsoft.com/office/drawing/2014/main" id="{00000000-0008-0000-0100-00008B08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7620</xdr:colOff>
          <xdr:row>76</xdr:row>
          <xdr:rowOff>7620</xdr:rowOff>
        </xdr:from>
        <xdr:to>
          <xdr:col>13</xdr:col>
          <xdr:colOff>22860</xdr:colOff>
          <xdr:row>77</xdr:row>
          <xdr:rowOff>30480</xdr:rowOff>
        </xdr:to>
        <xdr:sp macro="" textlink="">
          <xdr:nvSpPr>
            <xdr:cNvPr id="2188" name="Check Box 140" hidden="1">
              <a:extLst>
                <a:ext uri="{63B3BB69-23CF-44E3-9099-C40C66FF867C}">
                  <a14:compatExt spid="_x0000_s2188"/>
                </a:ext>
                <a:ext uri="{FF2B5EF4-FFF2-40B4-BE49-F238E27FC236}">
                  <a16:creationId xmlns:a16="http://schemas.microsoft.com/office/drawing/2014/main" id="{00000000-0008-0000-0100-00008C08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7620</xdr:colOff>
          <xdr:row>77</xdr:row>
          <xdr:rowOff>7620</xdr:rowOff>
        </xdr:from>
        <xdr:to>
          <xdr:col>13</xdr:col>
          <xdr:colOff>22860</xdr:colOff>
          <xdr:row>78</xdr:row>
          <xdr:rowOff>30480</xdr:rowOff>
        </xdr:to>
        <xdr:sp macro="" textlink="">
          <xdr:nvSpPr>
            <xdr:cNvPr id="2189" name="Check Box 141" hidden="1">
              <a:extLst>
                <a:ext uri="{63B3BB69-23CF-44E3-9099-C40C66FF867C}">
                  <a14:compatExt spid="_x0000_s2189"/>
                </a:ext>
                <a:ext uri="{FF2B5EF4-FFF2-40B4-BE49-F238E27FC236}">
                  <a16:creationId xmlns:a16="http://schemas.microsoft.com/office/drawing/2014/main" id="{00000000-0008-0000-0100-00008D08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7620</xdr:colOff>
          <xdr:row>78</xdr:row>
          <xdr:rowOff>7620</xdr:rowOff>
        </xdr:from>
        <xdr:to>
          <xdr:col>13</xdr:col>
          <xdr:colOff>22860</xdr:colOff>
          <xdr:row>79</xdr:row>
          <xdr:rowOff>30480</xdr:rowOff>
        </xdr:to>
        <xdr:sp macro="" textlink="">
          <xdr:nvSpPr>
            <xdr:cNvPr id="2190" name="Check Box 142" hidden="1">
              <a:extLst>
                <a:ext uri="{63B3BB69-23CF-44E3-9099-C40C66FF867C}">
                  <a14:compatExt spid="_x0000_s2190"/>
                </a:ext>
                <a:ext uri="{FF2B5EF4-FFF2-40B4-BE49-F238E27FC236}">
                  <a16:creationId xmlns:a16="http://schemas.microsoft.com/office/drawing/2014/main" id="{00000000-0008-0000-0100-00008E08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xdr:twoCellAnchor>
    <xdr:from>
      <xdr:col>1</xdr:col>
      <xdr:colOff>1</xdr:colOff>
      <xdr:row>49</xdr:row>
      <xdr:rowOff>167768</xdr:rowOff>
    </xdr:from>
    <xdr:to>
      <xdr:col>12</xdr:col>
      <xdr:colOff>1</xdr:colOff>
      <xdr:row>68</xdr:row>
      <xdr:rowOff>152399</xdr:rowOff>
    </xdr:to>
    <xdr:graphicFrame macro="">
      <xdr:nvGraphicFramePr>
        <xdr:cNvPr id="2" name="Grafik 1">
          <a:extLst>
            <a:ext uri="{FF2B5EF4-FFF2-40B4-BE49-F238E27FC236}">
              <a16:creationId xmlns:a16="http://schemas.microsoft.com/office/drawing/2014/main" id="{00000000-0008-0000-02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0</xdr:colOff>
      <xdr:row>0</xdr:row>
      <xdr:rowOff>0</xdr:rowOff>
    </xdr:from>
    <xdr:to>
      <xdr:col>0</xdr:col>
      <xdr:colOff>892711</xdr:colOff>
      <xdr:row>3</xdr:row>
      <xdr:rowOff>101821</xdr:rowOff>
    </xdr:to>
    <xdr:pic>
      <xdr:nvPicPr>
        <xdr:cNvPr id="3" name="Resim 2" descr="Bilgisayar Mühendisliği - Çankaya Üniversitesi">
          <a:extLst>
            <a:ext uri="{FF2B5EF4-FFF2-40B4-BE49-F238E27FC236}">
              <a16:creationId xmlns:a16="http://schemas.microsoft.com/office/drawing/2014/main" id="{00000000-0008-0000-0200-000003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0" y="0"/>
          <a:ext cx="892711" cy="89430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26</xdr:col>
      <xdr:colOff>70756</xdr:colOff>
      <xdr:row>0</xdr:row>
      <xdr:rowOff>0</xdr:rowOff>
    </xdr:from>
    <xdr:to>
      <xdr:col>27</xdr:col>
      <xdr:colOff>385213</xdr:colOff>
      <xdr:row>3</xdr:row>
      <xdr:rowOff>77147</xdr:rowOff>
    </xdr:to>
    <xdr:pic>
      <xdr:nvPicPr>
        <xdr:cNvPr id="4" name="Resim 3">
          <a:extLst>
            <a:ext uri="{FF2B5EF4-FFF2-40B4-BE49-F238E27FC236}">
              <a16:creationId xmlns:a16="http://schemas.microsoft.com/office/drawing/2014/main" id="{00000000-0008-0000-0200-000004000000}"/>
            </a:ext>
          </a:extLst>
        </xdr:cNvPr>
        <xdr:cNvPicPr>
          <a:picLocks noChangeAspect="1"/>
        </xdr:cNvPicPr>
      </xdr:nvPicPr>
      <xdr:blipFill>
        <a:blip xmlns:r="http://schemas.openxmlformats.org/officeDocument/2006/relationships" r:embed="rId3"/>
        <a:stretch>
          <a:fillRect/>
        </a:stretch>
      </xdr:blipFill>
      <xdr:spPr>
        <a:xfrm>
          <a:off x="22031596" y="0"/>
          <a:ext cx="901197" cy="869627"/>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25</xdr:col>
      <xdr:colOff>97971</xdr:colOff>
      <xdr:row>0</xdr:row>
      <xdr:rowOff>0</xdr:rowOff>
    </xdr:from>
    <xdr:to>
      <xdr:col>28</xdr:col>
      <xdr:colOff>79175</xdr:colOff>
      <xdr:row>3</xdr:row>
      <xdr:rowOff>105343</xdr:rowOff>
    </xdr:to>
    <xdr:pic>
      <xdr:nvPicPr>
        <xdr:cNvPr id="2" name="Resim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stretch>
          <a:fillRect/>
        </a:stretch>
      </xdr:blipFill>
      <xdr:spPr>
        <a:xfrm>
          <a:off x="23453271" y="0"/>
          <a:ext cx="895604" cy="897823"/>
        </a:xfrm>
        <a:prstGeom prst="rect">
          <a:avLst/>
        </a:prstGeom>
      </xdr:spPr>
    </xdr:pic>
    <xdr:clientData/>
  </xdr:twoCellAnchor>
  <xdr:twoCellAnchor editAs="oneCell">
    <xdr:from>
      <xdr:col>0</xdr:col>
      <xdr:colOff>0</xdr:colOff>
      <xdr:row>0</xdr:row>
      <xdr:rowOff>0</xdr:rowOff>
    </xdr:from>
    <xdr:to>
      <xdr:col>0</xdr:col>
      <xdr:colOff>892711</xdr:colOff>
      <xdr:row>3</xdr:row>
      <xdr:rowOff>101821</xdr:rowOff>
    </xdr:to>
    <xdr:pic>
      <xdr:nvPicPr>
        <xdr:cNvPr id="3" name="Resim 2" descr="Bilgisayar Mühendisliği - Çankaya Üniversitesi">
          <a:extLst>
            <a:ext uri="{FF2B5EF4-FFF2-40B4-BE49-F238E27FC236}">
              <a16:creationId xmlns:a16="http://schemas.microsoft.com/office/drawing/2014/main" id="{00000000-0008-0000-0300-000003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0" y="0"/>
          <a:ext cx="892711" cy="89430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10885</xdr:colOff>
      <xdr:row>50</xdr:row>
      <xdr:rowOff>16328</xdr:rowOff>
    </xdr:from>
    <xdr:to>
      <xdr:col>11</xdr:col>
      <xdr:colOff>1175657</xdr:colOff>
      <xdr:row>68</xdr:row>
      <xdr:rowOff>10884</xdr:rowOff>
    </xdr:to>
    <xdr:graphicFrame macro="">
      <xdr:nvGraphicFramePr>
        <xdr:cNvPr id="4" name="Grafik 3">
          <a:extLst>
            <a:ext uri="{FF2B5EF4-FFF2-40B4-BE49-F238E27FC236}">
              <a16:creationId xmlns:a16="http://schemas.microsoft.com/office/drawing/2014/main" id="{00000000-0008-0000-03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892711</xdr:colOff>
      <xdr:row>3</xdr:row>
      <xdr:rowOff>101821</xdr:rowOff>
    </xdr:to>
    <xdr:pic>
      <xdr:nvPicPr>
        <xdr:cNvPr id="2" name="Resim 1" descr="Bilgisayar Mühendisliği - Çankaya Üniversitesi">
          <a:extLst>
            <a:ext uri="{FF2B5EF4-FFF2-40B4-BE49-F238E27FC236}">
              <a16:creationId xmlns:a16="http://schemas.microsoft.com/office/drawing/2014/main" id="{00000000-0008-0000-0400-00000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892711" cy="89430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23</xdr:col>
      <xdr:colOff>506185</xdr:colOff>
      <xdr:row>0</xdr:row>
      <xdr:rowOff>10885</xdr:rowOff>
    </xdr:from>
    <xdr:to>
      <xdr:col>23</xdr:col>
      <xdr:colOff>1408471</xdr:colOff>
      <xdr:row>3</xdr:row>
      <xdr:rowOff>88032</xdr:rowOff>
    </xdr:to>
    <xdr:pic>
      <xdr:nvPicPr>
        <xdr:cNvPr id="3" name="Resim 2">
          <a:extLst>
            <a:ext uri="{FF2B5EF4-FFF2-40B4-BE49-F238E27FC236}">
              <a16:creationId xmlns:a16="http://schemas.microsoft.com/office/drawing/2014/main" id="{00000000-0008-0000-0400-000003000000}"/>
            </a:ext>
          </a:extLst>
        </xdr:cNvPr>
        <xdr:cNvPicPr>
          <a:picLocks noChangeAspect="1"/>
        </xdr:cNvPicPr>
      </xdr:nvPicPr>
      <xdr:blipFill>
        <a:blip xmlns:r="http://schemas.openxmlformats.org/officeDocument/2006/relationships" r:embed="rId2"/>
        <a:stretch>
          <a:fillRect/>
        </a:stretch>
      </xdr:blipFill>
      <xdr:spPr>
        <a:xfrm>
          <a:off x="20562025" y="10885"/>
          <a:ext cx="902286" cy="869627"/>
        </a:xfrm>
        <a:prstGeom prst="rect">
          <a:avLst/>
        </a:prstGeom>
      </xdr:spPr>
    </xdr:pic>
    <xdr:clientData/>
  </xdr:twoCellAnchor>
  <xdr:twoCellAnchor>
    <xdr:from>
      <xdr:col>1</xdr:col>
      <xdr:colOff>32656</xdr:colOff>
      <xdr:row>49</xdr:row>
      <xdr:rowOff>179613</xdr:rowOff>
    </xdr:from>
    <xdr:to>
      <xdr:col>11</xdr:col>
      <xdr:colOff>1012370</xdr:colOff>
      <xdr:row>78</xdr:row>
      <xdr:rowOff>163285</xdr:rowOff>
    </xdr:to>
    <xdr:graphicFrame macro="">
      <xdr:nvGraphicFramePr>
        <xdr:cNvPr id="4" name="Grafik 3">
          <a:extLst>
            <a:ext uri="{FF2B5EF4-FFF2-40B4-BE49-F238E27FC236}">
              <a16:creationId xmlns:a16="http://schemas.microsoft.com/office/drawing/2014/main" id="{00000000-0008-0000-04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1</xdr:rowOff>
    </xdr:from>
    <xdr:to>
      <xdr:col>1</xdr:col>
      <xdr:colOff>283111</xdr:colOff>
      <xdr:row>3</xdr:row>
      <xdr:rowOff>65314</xdr:rowOff>
    </xdr:to>
    <xdr:pic>
      <xdr:nvPicPr>
        <xdr:cNvPr id="2" name="Resim 1" descr="Bilgisayar Mühendisliği - Çankaya Üniversitesi">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1"/>
          <a:ext cx="892711" cy="85779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32</xdr:col>
      <xdr:colOff>61851</xdr:colOff>
      <xdr:row>0</xdr:row>
      <xdr:rowOff>0</xdr:rowOff>
    </xdr:from>
    <xdr:to>
      <xdr:col>33</xdr:col>
      <xdr:colOff>354537</xdr:colOff>
      <xdr:row>3</xdr:row>
      <xdr:rowOff>76200</xdr:rowOff>
    </xdr:to>
    <xdr:pic>
      <xdr:nvPicPr>
        <xdr:cNvPr id="3" name="Resim 2">
          <a:extLst>
            <a:ext uri="{FF2B5EF4-FFF2-40B4-BE49-F238E27FC236}">
              <a16:creationId xmlns:a16="http://schemas.microsoft.com/office/drawing/2014/main" id="{00000000-0008-0000-0500-000003000000}"/>
            </a:ext>
          </a:extLst>
        </xdr:cNvPr>
        <xdr:cNvPicPr>
          <a:picLocks noChangeAspect="1"/>
        </xdr:cNvPicPr>
      </xdr:nvPicPr>
      <xdr:blipFill>
        <a:blip xmlns:r="http://schemas.openxmlformats.org/officeDocument/2006/relationships" r:embed="rId2"/>
        <a:stretch>
          <a:fillRect/>
        </a:stretch>
      </xdr:blipFill>
      <xdr:spPr>
        <a:xfrm>
          <a:off x="28301571" y="0"/>
          <a:ext cx="902286" cy="868680"/>
        </a:xfrm>
        <a:prstGeom prst="rect">
          <a:avLst/>
        </a:prstGeom>
      </xdr:spPr>
    </xdr:pic>
    <xdr:clientData/>
  </xdr:twoCellAnchor>
  <xdr:twoCellAnchor>
    <xdr:from>
      <xdr:col>0</xdr:col>
      <xdr:colOff>607620</xdr:colOff>
      <xdr:row>54</xdr:row>
      <xdr:rowOff>10886</xdr:rowOff>
    </xdr:from>
    <xdr:to>
      <xdr:col>12</xdr:col>
      <xdr:colOff>1012371</xdr:colOff>
      <xdr:row>83</xdr:row>
      <xdr:rowOff>10887</xdr:rowOff>
    </xdr:to>
    <xdr:graphicFrame macro="">
      <xdr:nvGraphicFramePr>
        <xdr:cNvPr id="4" name="Grafik 3">
          <a:extLst>
            <a:ext uri="{FF2B5EF4-FFF2-40B4-BE49-F238E27FC236}">
              <a16:creationId xmlns:a16="http://schemas.microsoft.com/office/drawing/2014/main" id="{00000000-0008-0000-05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2645217-5FF7-4D31-A0B4-166E5D013418}" name="Tablo23" displayName="Tablo23" ref="B3:I10" totalsRowShown="0">
  <autoFilter ref="B3:I10" xr:uid="{64AD45C8-2718-4B4C-A6BB-40D12800E48F}">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8">
    <tableColumn id="1" xr3:uid="{7AF81B9D-FE87-4754-ACC0-EBF3BFAAC999}" name="-"/>
    <tableColumn id="2" xr3:uid="{7DFCDFAA-27FE-49BA-97AC-F381CAE66E87}" name="Midterm" dataDxfId="425"/>
    <tableColumn id="3" xr3:uid="{3AD37843-8589-4C65-B9C1-E9759FD107A8}" name="FINAL" dataDxfId="424"/>
    <tableColumn id="4" xr3:uid="{F300A55C-9F65-4482-8516-97C84F4A5A10}" name="HOMEWORK" dataDxfId="423"/>
    <tableColumn id="5" xr3:uid="{CB8E3BD4-E3A3-4429-9E01-EFE3A719DF01}" name="LAB" dataDxfId="422"/>
    <tableColumn id="6" xr3:uid="{152E3FA1-6549-4475-939E-AC834E80BCB5}" name="BONUS" dataCellStyle="Nötr"/>
    <tableColumn id="7" xr3:uid="{45E13D86-5C99-4B1C-A8A2-0D663D3DD815}" name="Total Points" dataDxfId="421"/>
    <tableColumn id="8" xr3:uid="{70369358-B2CB-45D9-9737-F5F053137E50}" name="Letter Grade" dataDxfId="420"/>
  </tableColumns>
  <tableStyleInfo name="TableStyleMedium3"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943D166-D7E0-4FA2-A9AB-AF2FA21B3E19}" name="Tablo2331" displayName="Tablo2331" ref="B13:I20" totalsRowShown="0">
  <autoFilter ref="B13:I20" xr:uid="{B41D653D-CBD3-421B-8BD9-5351A7AC0D1C}"/>
  <tableColumns count="8">
    <tableColumn id="1" xr3:uid="{CA589D59-9A08-4232-BC0D-8474F1E7946E}" name="-"/>
    <tableColumn id="2" xr3:uid="{8691ABE3-BFE8-41D0-8ACD-3CEBFB23400B}" name="Q1" dataDxfId="419"/>
    <tableColumn id="3" xr3:uid="{BED74918-D262-4214-BAFF-950DCB7C5EE5}" name="Q2" dataDxfId="418"/>
    <tableColumn id="4" xr3:uid="{FE10BCD7-733C-40E4-9D77-8D300B9201C8}" name="Q3" dataDxfId="417"/>
    <tableColumn id="5" xr3:uid="{3BFE0AB7-ADA1-4440-BA7F-2F593FBBCA08}" name="Q4" dataDxfId="416"/>
    <tableColumn id="6" xr3:uid="{9808C7FA-D0E6-4F54-AF44-99D79B80AE06}" name="Q5" dataCellStyle="Normal"/>
    <tableColumn id="7" xr3:uid="{CB6CC4F2-4E55-4917-86BC-2D032FEB671C}" name="Q6" dataCellStyle="İşaretli Hücre"/>
    <tableColumn id="8" xr3:uid="{405D18CB-BF69-466E-BA4C-0E5B6F2EBF50}" name="Total Points2" dataCellStyle="İşaretli Hücre"/>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46E4516-06D7-4C98-B92B-1FE52DFD67FD}" name="Tablo643" displayName="Tablo643" ref="B27:D37" totalsRowShown="0">
  <autoFilter ref="B27:D37" xr:uid="{04A54518-26DB-4A77-A1BA-33435BD5BD10}"/>
  <tableColumns count="3">
    <tableColumn id="1" xr3:uid="{B56A22BC-7BAD-46CC-B18D-6FF9949A87AC}" name="Grade"/>
    <tableColumn id="2" xr3:uid="{31EF1D48-5552-4540-855A-1BBB6D14A224}" name="Min" dataDxfId="415"/>
    <tableColumn id="3" xr3:uid="{C6F757F5-6B83-4402-9051-511F9A19B36C}" name="Max" dataDxfId="414"/>
  </tableColumns>
  <tableStyleInfo name="TableStyleMedium13"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EBAF149-1353-4F04-A19C-2F23FB9FC8CD}" name="Tablo1947" displayName="Tablo1947" ref="B22:J23" totalsRowShown="0" headerRowDxfId="413" dataDxfId="412">
  <autoFilter ref="B22:J23" xr:uid="{F263088E-9F4A-4139-87BF-FD37B9C787AA}"/>
  <tableColumns count="9">
    <tableColumn id="1" xr3:uid="{1F3837C4-E7E7-4FC6-B903-D0FD3C96DEA1}" name="Sütun1"/>
    <tableColumn id="2" xr3:uid="{BCBD6105-C9E9-456E-8935-464D7B79E481}" name="Q1" dataDxfId="411"/>
    <tableColumn id="3" xr3:uid="{34F3AA0F-FB64-4C93-945F-8FA4BF00AF12}" name="Q2" dataDxfId="410"/>
    <tableColumn id="4" xr3:uid="{D7D5A5B1-F0EB-44E6-A3EC-AAAACCE80FFF}" name="Q3" dataDxfId="409"/>
    <tableColumn id="5" xr3:uid="{B08DFC22-AA86-4A01-AA40-C2F4FBAB422F}" name="Q4" dataDxfId="408"/>
    <tableColumn id="6" xr3:uid="{0A111EFE-6EA3-43DB-B85D-A7B01140EE86}" name="Q5" dataDxfId="407"/>
    <tableColumn id="7" xr3:uid="{C944AE08-54FB-4717-92AE-D58D07AF2E1D}" name="Q6" dataDxfId="406"/>
    <tableColumn id="8" xr3:uid="{F5341F37-4860-470C-99FF-5F6871C50DCD}" name="Q7" dataDxfId="405"/>
    <tableColumn id="9" xr3:uid="{B00E7B38-9E75-4CB2-948B-71CC1D70C553}" name="TOTAL" dataDxfId="404" dataCellStyle="İşaretli Hücre">
      <calculatedColumnFormula>SUM(C23:I23)</calculatedColumnFormula>
    </tableColumn>
  </tableColumns>
  <tableStyleInfo name="TableStyleDark6"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B6FDB904-B73B-4183-88B4-35B0695CC06B}" name="Tablo849" displayName="Tablo849" ref="B40:D45" totalsRowShown="0">
  <autoFilter ref="B40:D45" xr:uid="{BD708D14-2781-4379-94F6-A5FF0E1DD845}"/>
  <tableColumns count="3">
    <tableColumn id="1" xr3:uid="{04EF7C39-9BF5-4AAC-B6F4-23F3E418341E}" name="Item"/>
    <tableColumn id="2" xr3:uid="{5E25B3AF-C6D3-41D9-BAD6-97EF74964E40}" name="Multiplier" dataDxfId="403"/>
    <tableColumn id="3" xr3:uid="{3B4B3A01-EFBD-43EB-9AD1-065755596E40}" name="Base Value" dataDxfId="402" dataCellStyle="İşaretli Hücre"/>
  </tableColumns>
  <tableStyleInfo name="TableStyleMedium13"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94AA4620-62D8-44E8-B680-117B6DA4F6DB}" name="Tablo451" displayName="Tablo451" ref="B57:C61" totalsRowShown="0">
  <autoFilter ref="B57:C61" xr:uid="{2774CDC5-1B7B-431D-901B-D7430390CEA9}"/>
  <tableColumns count="2">
    <tableColumn id="1" xr3:uid="{FFE20EC3-1C95-4415-B096-7F4BA21FA2C9}" name="DERS ÇIKTILARI" dataDxfId="401"/>
    <tableColumn id="2" xr3:uid="{37FFD67B-1307-4009-BF73-E1A113CA8ED0}" name="DERS ÇIKTISI ADI"/>
  </tableColumns>
  <tableStyleInfo name="TableStyleMedium3"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2D0EE396-5F4A-4723-911D-5E7DE6A5FED4}" name="Tablo1653" displayName="Tablo1653" ref="B66:L70" totalsRowShown="0">
  <autoFilter ref="B66:L70" xr:uid="{50F93EB3-93D0-495A-9DF0-531D14167A0B}"/>
  <tableColumns count="11">
    <tableColumn id="1" xr3:uid="{F5E99BC0-213E-4645-B547-D811AA1D5B0B}" name="Ders Çıktıları" dataDxfId="400"/>
    <tableColumn id="2" xr3:uid="{B17BFE29-ACD4-4A14-A578-45BED4C44434}" name="Q1" dataDxfId="399">
      <calculatedColumnFormula>SUM(N29:N58)</calculatedColumnFormula>
    </tableColumn>
    <tableColumn id="3" xr3:uid="{5AE9743C-42C3-4E33-993B-F7C96E089A66}" name="Q2" dataDxfId="398"/>
    <tableColumn id="4" xr3:uid="{EAB2F5C9-8A06-42FB-B91E-1B34C1EBA1B5}" name="Q3" dataDxfId="397"/>
    <tableColumn id="5" xr3:uid="{7FD68B9A-9130-43B6-8634-2DD072D83EBD}" name="Q4" dataDxfId="396"/>
    <tableColumn id="6" xr3:uid="{0D949DD2-0190-4B8C-AACD-9B2A7026F150}" name="Q5" dataDxfId="395"/>
    <tableColumn id="7" xr3:uid="{07507570-BA73-48CD-9E7D-A063421D4CE5}" name="Q6" dataDxfId="394"/>
    <tableColumn id="8" xr3:uid="{44D1864A-E4DD-4D7A-A153-D17D672ED9ED}" name="Q7" dataDxfId="393"/>
    <tableColumn id="9" xr3:uid="{0385AE26-0E00-462C-9E0B-CEEFC3F50715}" name="TOPLAM" dataDxfId="392" dataCellStyle="İşaretli Hücre">
      <calculatedColumnFormula>SUM(Tablo1653[[#This Row],[Q1]:[Q7]])</calculatedColumnFormula>
    </tableColumn>
    <tableColumn id="10" xr3:uid="{6BD2775F-998B-49A2-A625-254A4970D0EF}" name="TOTAL DÇ" dataDxfId="391" dataCellStyle="İşaretli Hücre"/>
    <tableColumn id="11" xr3:uid="{1478EF4A-F628-4B44-BEA9-3954ED47821C}" name="CONTRIBUTION" dataDxfId="390" dataCellStyle="İşaretli Hücre">
      <calculatedColumnFormula>$K67*#REF!</calculatedColumnFormula>
    </tableColumn>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EBB72BB4-295C-4187-BF46-F1A61C5C1262}" name="Tablo41357" displayName="Tablo41357" ref="B76:H80" totalsRowShown="0" headerRowDxfId="389" dataDxfId="388">
  <autoFilter ref="B76:H80" xr:uid="{6408FF75-656B-4886-A59F-96CA01491BDE}"/>
  <tableColumns count="7">
    <tableColumn id="1" xr3:uid="{45F06B6D-6A29-4ADB-8C24-C0EE24866988}" name="DERS ÇIKTILARI" dataDxfId="387"/>
    <tableColumn id="2" xr3:uid="{2D5C9B30-2BA9-4222-A369-18563FC41ED3}" name="DERS ÇIKTISI ADI" dataDxfId="386" dataCellStyle="Nötr"/>
    <tableColumn id="3" xr3:uid="{DF6974C3-DE9D-47CF-AE23-31D6A4EED907}" name="DÇ KATSAYISI" dataDxfId="385"/>
    <tableColumn id="4" xr3:uid="{CEC3E711-0930-4456-B977-6179A65D1843}" name="Midterm" dataDxfId="384"/>
    <tableColumn id="5" xr3:uid="{DDB3B01A-C3A2-4A02-9FEA-F3CE9B3D4367}" name="FINAL" dataDxfId="383"/>
    <tableColumn id="6" xr3:uid="{01B57EE7-6621-4C4F-A905-BC8AA27F5D2A}" name="HOMEWORK" dataDxfId="382"/>
    <tableColumn id="7" xr3:uid="{AEEB47BA-FA60-47CA-ACA3-F1BEB6258687}" name="LAB" dataDxfId="381"/>
  </tableColumns>
  <tableStyleInfo name="TableStyleMedium3"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9ADE622F-9EED-4174-A34E-BD63BAA5AEB0}" name="Tablo2326" displayName="Tablo2326" ref="B124:I131" totalsRowShown="0">
  <autoFilter ref="B124:I131" xr:uid="{D8CE9546-9B6D-4D95-B69A-D7F1699BBB68}"/>
  <tableColumns count="8">
    <tableColumn id="1" xr3:uid="{5964B881-E1C4-498E-A9EF-0062E2E35245}" name="-"/>
    <tableColumn id="2" xr3:uid="{7B35CDF1-A643-4641-86BC-844F9D3CC92C}" name="Midterm" dataDxfId="380"/>
    <tableColumn id="3" xr3:uid="{ED5F58BB-800F-4C2A-9500-7229808B33D2}" name="FINAL" dataDxfId="379"/>
    <tableColumn id="4" xr3:uid="{E92A7EB8-2AA9-4293-BDAB-4C3A2FED259B}" name="HOMEWORK" dataDxfId="378"/>
    <tableColumn id="5" xr3:uid="{8C28296C-C20B-4AB8-ABDD-9B85E0BB286A}" name="LAB" dataDxfId="377"/>
    <tableColumn id="6" xr3:uid="{C6E77EC1-19C3-4E91-A659-C42C25A8A2ED}" name="BONUS" dataDxfId="376" dataCellStyle="Normal"/>
    <tableColumn id="7" xr3:uid="{8551D93F-907B-4F21-9D4E-A98EA069CEC3}" name="Total Points" dataDxfId="375"/>
    <tableColumn id="8" xr3:uid="{A9C064A5-703C-4463-9693-5F4CE2D00CC4}" name="Letter Grade" dataDxfId="374"/>
  </tableColumns>
  <tableStyleInfo name="TableStyleMedium3"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30242973-56F5-4E5F-8B9C-9B223A77C780}" name="Tablo32" displayName="Tablo32" ref="B135:I137" totalsRowShown="0" headerRowDxfId="373" dataDxfId="372">
  <autoFilter ref="B135:I137" xr:uid="{23204194-D051-4CFA-8810-3D0A02150D06}"/>
  <tableColumns count="8">
    <tableColumn id="1" xr3:uid="{97D33448-DF9A-442F-8316-42EFB27FEB0D}" name="Number"/>
    <tableColumn id="2" xr3:uid="{5CBC6289-24E5-4619-901D-69674F618955}" name="Student No" dataDxfId="371"/>
    <tableColumn id="3" xr3:uid="{DBED62D4-B3B6-4142-A719-13C21E09E328}" name="Student Name" dataDxfId="370"/>
    <tableColumn id="4" xr3:uid="{E148B3B1-3FE8-4206-A80B-5AB4817A7C87}" name="Student Surname" dataDxfId="369"/>
    <tableColumn id="5" xr3:uid="{B203D6DC-5B9E-47E2-9CAC-8A8E06F40E50}" name="DÇ-1" dataDxfId="368"/>
    <tableColumn id="6" xr3:uid="{43D076D1-E3F9-407B-8182-EA6F9C1D3D6E}" name="DÇ-2" dataDxfId="367"/>
    <tableColumn id="7" xr3:uid="{D39F3AA2-8B10-4FBE-852E-7275C1DA27EB}" name="DÇ-3" dataDxfId="366"/>
    <tableColumn id="8" xr3:uid="{F76EDC5F-DCA8-44A5-873A-5515663E7F02}" name="DÇ-4" dataDxfId="365"/>
  </tableColumns>
  <tableStyleInfo name="TableStyleMedium3"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A8CCC27B-F5FE-4E36-B27C-7C337003132B}" name="Tablo9" displayName="Tablo9" ref="M3:M33" totalsRowShown="0" headerRowDxfId="364" dataDxfId="363">
  <autoFilter ref="M3:M33" xr:uid="{EA17154D-6873-489E-8F36-2FB4EBBABD47}"/>
  <tableColumns count="1">
    <tableColumn id="1" xr3:uid="{DE026D7B-CBBC-42DF-8F58-EE1F573BB0F1}" name="Normal Dist." dataDxfId="362">
      <calculatedColumnFormula>_xlfn.NORM.DIST(K4,$T$32,$U$32,FALSE)</calculatedColumnFormula>
    </tableColumn>
  </tableColumns>
  <tableStyleInfo name="TableStyleMedium3"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11EBA6B0-AA08-49AE-B587-30C3E2FD3841}" name="Tablo2" displayName="Tablo2" ref="C36:O66" totalsRowShown="0" headerRowDxfId="361" dataDxfId="360">
  <autoFilter ref="C36:O66" xr:uid="{DEDDCB13-C9D9-4AA3-8F71-86DB1041A886}"/>
  <tableColumns count="13">
    <tableColumn id="1" xr3:uid="{4FA38ECE-5BCF-427B-AFBA-0A52700F698A}" name="Student No" dataDxfId="359"/>
    <tableColumn id="2" xr3:uid="{AC2D095F-E7AC-4525-9EC6-96A7956C91C3}" name="Student Name" dataDxfId="358">
      <calculatedColumnFormula>VLOOKUP(Tablo2[[#This Row],[Student No]],Tablo1[[Student No]:[Surname]],2,FALSE)</calculatedColumnFormula>
    </tableColumn>
    <tableColumn id="3" xr3:uid="{4852E2C5-B4A7-486D-A13D-4CCD5396D2F3}" name="Student Surname" dataDxfId="357">
      <calculatedColumnFormula>VLOOKUP(Tablo2[[#This Row],[Student No]],Tablo1[[Student No]:[Surname]],3,FALSE)</calculatedColumnFormula>
    </tableColumn>
    <tableColumn id="4" xr3:uid="{C7CB0E82-772F-472D-8507-FD2C9E871617}" name="DÇ-1" dataDxfId="356">
      <calculatedColumnFormula>((IF(MIDTERM!$J$37=0,0,VLOOKUP(Tablo2[[#This Row],[Student No]],Tablo17[[STUDENT ID]:[DÇ10]],12,FALSE)/MIDTERM!$J$37))+(IF(FINAL!$J$37=0,0,VLOOKUP(Tablo2[[#This Row],[Student No]],Tablo1744[[STUDENT ID]:[DÇ10]],12,FALSE)/FINAL!$J$37))+(IF(HOMEWORK!$I$38=0,0,VLOOKUP(Tablo2[[#This Row],[Student No]],Tablo3[[Student No]:[DÇ10]],10,FALSE)/HOMEWORK!$I$38))+(IF(LAB!$Q$40=0,0,VLOOKUP(Tablo2[[#This Row],[Student No]],Tablo314[[Student No]:[DÇ10]],19,FALSE)/LAB!$Q$40)))/4</calculatedColumnFormula>
    </tableColumn>
    <tableColumn id="5" xr3:uid="{A2F4EC6C-654A-4214-8211-E83550D633FD}" name="DÇ-2" dataDxfId="355">
      <calculatedColumnFormula>((IF(MIDTERM!$J$38=0,0,VLOOKUP(Tablo2[[#This Row],[Student No]],Tablo17[[STUDENT ID]:[DÇ10]],13,FALSE)/MIDTERM!$J$38))+(IF(FINAL!$J$38=0,0,VLOOKUP(Tablo2[[#This Row],[Student No]],Tablo1744[[STUDENT ID]:[DÇ10]],13,FALSE)/FINAL!$J$38))+(IF(HOMEWORK!$I$39=0,0,VLOOKUP(Tablo2[[#This Row],[Student No]],Tablo3[[Student No]:[DÇ10]],11,FALSE)/HOMEWORK!$I$39))+(IF(LAB!$Q$41=0,0,VLOOKUP(Tablo2[[#This Row],[Student No]],Tablo314[[Student No]:[DÇ10]],20,FALSE)/LAB!$Q$41)))/4</calculatedColumnFormula>
    </tableColumn>
    <tableColumn id="6" xr3:uid="{93C6E400-A458-4143-8B61-3700EFCB1A61}" name="DÇ-3" dataDxfId="354">
      <calculatedColumnFormula>((IF(MIDTERM!$J$39=0,0,VLOOKUP(Tablo2[[#This Row],[Student No]],Tablo17[[STUDENT ID]:[DÇ10]],14,FALSE)/MIDTERM!$J$39))+(IF(FINAL!$J$39=0,0,VLOOKUP(Tablo2[[#This Row],[Student No]],Tablo1744[[STUDENT ID]:[DÇ10]],14,FALSE)/FINAL!$J$39))+(IF(HOMEWORK!$I$40=0,0,VLOOKUP(Tablo2[[#This Row],[Student No]],Tablo3[[Student No]:[DÇ10]],12,FALSE)/HOMEWORK!$I$40))+(IF(LAB!$Q$42=0,0,VLOOKUP(Tablo2[[#This Row],[Student No]],Tablo314[[Student No]:[DÇ10]],21,FALSE)/LAB!$Q$42)))/4</calculatedColumnFormula>
    </tableColumn>
    <tableColumn id="7" xr3:uid="{9DF5FE52-EFF9-40D2-BA73-83596B4FD73C}" name="DÇ-4" dataDxfId="353">
      <calculatedColumnFormula>((IF(MIDTERM!$J$40=0,0,VLOOKUP(Tablo2[[#This Row],[Student No]],Tablo17[[STUDENT ID]:[DÇ10]],15,FALSE)/MIDTERM!$J$40))+(IF(FINAL!$J$40=0,0,VLOOKUP(Tablo2[[#This Row],[Student No]],Tablo1744[[STUDENT ID]:[DÇ10]],15,FALSE)/FINAL!$J$40))+(IF(HOMEWORK!$I$41=0,0,VLOOKUP(Tablo2[[#This Row],[Student No]],Tablo3[[Student No]:[DÇ10]],13,FALSE)/HOMEWORK!$I$41))+(IF(LAB!$Q$43=0,0,VLOOKUP(Tablo2[[#This Row],[Student No]],Tablo314[[Student No]:[DÇ10]],22,FALSE)/LAB!$Q$43)))/4</calculatedColumnFormula>
    </tableColumn>
    <tableColumn id="8" xr3:uid="{3F9EB8CE-E963-4D06-8BB7-1D571B56D200}" name="DÇ-5" dataDxfId="352">
      <calculatedColumnFormula>((IF(MIDTERM!$J$41=0,0,VLOOKUP(Tablo2[[#This Row],[Student No]],Tablo17[[STUDENT ID]:[DÇ10]],16,FALSE)/MIDTERM!$J$41))+(IF(FINAL!$J$41=0,0,VLOOKUP(Tablo2[[#This Row],[Student No]],Tablo1744[[STUDENT ID]:[DÇ10]],16,FALSE)/FINAL!$J$41))+(IF(HOMEWORK!$I$42=0,0,VLOOKUP(Tablo2[[#This Row],[Student No]],Tablo3[[Student No]:[DÇ10]],14,FALSE)/HOMEWORK!$I$42))+(IF(LAB!$Q$44=0,0,VLOOKUP(Tablo2[[#This Row],[Student No]],Tablo314[[Student No]:[DÇ10]],23,FALSE)/LAB!$Q$44)))/4</calculatedColumnFormula>
    </tableColumn>
    <tableColumn id="9" xr3:uid="{FD231411-DF4A-4AAD-95CF-7CD0DBC871E2}" name="DÇ-6" dataDxfId="351">
      <calculatedColumnFormula>((IF(MIDTERM!$J$42=0,0,VLOOKUP(Tablo2[[#This Row],[Student No]],Tablo17[[STUDENT ID]:[DÇ10]],17,FALSE)/MIDTERM!$J$42))+(IF(FINAL!$J$42=0,0,VLOOKUP(Tablo2[[#This Row],[Student No]],Tablo1744[[STUDENT ID]:[DÇ10]],17,FALSE)/FINAL!$J$42))+(IF(HOMEWORK!$I$43=0,0,VLOOKUP(Tablo2[[#This Row],[Student No]],Tablo3[[Student No]:[DÇ10]],15,FALSE)/HOMEWORK!$I$43))+(IF(LAB!$Q$45=0,0,VLOOKUP(Tablo2[[#This Row],[Student No]],Tablo314[[Student No]:[DÇ10]],24,FALSE)/LAB!$Q$45)))/4</calculatedColumnFormula>
    </tableColumn>
    <tableColumn id="10" xr3:uid="{91698D83-17A2-4BFE-9E0B-F986120AD8C1}" name="DÇ-7" dataDxfId="350">
      <calculatedColumnFormula>((IF(MIDTERM!$J$43=0,0,VLOOKUP(Tablo2[[#This Row],[Student No]],Tablo17[[STUDENT ID]:[DÇ10]],18,FALSE)/MIDTERM!$J$43))+(IF(FINAL!$J$43=0,0,VLOOKUP(Tablo2[[#This Row],[Student No]],Tablo1744[[STUDENT ID]:[DÇ10]],18,FALSE)/FINAL!$J$43))+(IF(HOMEWORK!$I$44=0,0,VLOOKUP(Tablo2[[#This Row],[Student No]],Tablo3[[Student No]:[DÇ10]],16,FALSE)/HOMEWORK!$I$44))+(IF(LAB!$Q$46=0,0,VLOOKUP(Tablo2[[#This Row],[Student No]],Tablo314[[Student No]:[DÇ10]],25,FALSE)/LAB!$Q$46)))/4</calculatedColumnFormula>
    </tableColumn>
    <tableColumn id="11" xr3:uid="{6D5C925C-CABC-48DC-B2E5-317F9D849D7B}" name="DÇ-8" dataDxfId="349">
      <calculatedColumnFormula>((IF(MIDTERM!$J$44=0,0,VLOOKUP(Tablo2[[#This Row],[Student No]],Tablo17[[STUDENT ID]:[DÇ10]],19,FALSE)/MIDTERM!$J$44))+(IF(FINAL!$J$44=0,0,VLOOKUP(Tablo2[[#This Row],[Student No]],Tablo1744[[STUDENT ID]:[DÇ10]],19,FALSE)/FINAL!$J$44))+(IF(HOMEWORK!$I$45=0,0,VLOOKUP(Tablo2[[#This Row],[Student No]],Tablo3[[Student No]:[DÇ10]],17,FALSE)/HOMEWORK!$I$45))+(IF(LAB!$Q$47=0,0,VLOOKUP(Tablo2[[#This Row],[Student No]],Tablo314[[Student No]:[DÇ10]],26,FALSE)/LAB!$Q$47)))/4</calculatedColumnFormula>
    </tableColumn>
    <tableColumn id="12" xr3:uid="{333AC4FC-A002-4FF2-9C2D-45402B2C02AC}" name="DÇ-9" dataDxfId="348">
      <calculatedColumnFormula>((IF(MIDTERM!$J$45=0,0,VLOOKUP(Tablo2[[#This Row],[Student No]],Tablo17[[STUDENT ID]:[DÇ10]],20,FALSE)/MIDTERM!$J$45))+(IF(FINAL!$J$45=0,0,VLOOKUP(Tablo2[[#This Row],[Student No]],Tablo1744[[STUDENT ID]:[DÇ10]],20,FALSE)/FINAL!$J$45))+(IF(HOMEWORK!$I$46=0,0,VLOOKUP(Tablo2[[#This Row],[Student No]],Tablo3[[Student No]:[DÇ10]],18,FALSE)/HOMEWORK!$I$46))+(IF(LAB!$Q$48=0,0,VLOOKUP(Tablo2[[#This Row],[Student No]],Tablo314[[Student No]:[DÇ10]],27,FALSE)/LAB!$Q$48)))/4</calculatedColumnFormula>
    </tableColumn>
    <tableColumn id="13" xr3:uid="{B8BE5184-1213-40DD-AA34-E276BB06392F}" name="DÇ-10" dataDxfId="347">
      <calculatedColumnFormula>((IF(MIDTERM!$J$46=0,0,VLOOKUP(Tablo2[[#This Row],[Student No]],Tablo17[[STUDENT ID]:[DÇ10]],21,FALSE)/MIDTERM!$J$46))+(IF(FINAL!$J$46=0,0,VLOOKUP(Tablo2[[#This Row],[Student No]],Tablo1744[[STUDENT ID]:[DÇ10]],21,FALSE)/FINAL!$J$46))+(IF(HOMEWORK!$I$47=0,0,VLOOKUP(Tablo2[[#This Row],[Student No]],Tablo3[[Student No]:[DÇ10]],19,FALSE)/HOMEWORK!$I$47))+(IF(LAB!$Q$49=0,0,VLOOKUP(Tablo2[[#This Row],[Student No]],Tablo314[[Student No]:[DÇ10]],28,FALSE)/LAB!$Q$49)))/4</calculatedColumnFormula>
    </tableColumn>
  </tableColumns>
  <tableStyleInfo name="TableStyleMedium3"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452A0D4C-2205-45EB-9F46-E0A3DC337091}" name="Tablo413" displayName="Tablo413" ref="Q37:W47" totalsRowShown="0" headerRowDxfId="346" dataDxfId="345">
  <autoFilter ref="Q37:W47" xr:uid="{41641738-48B6-4143-B9C3-7BB111516182}"/>
  <tableColumns count="7">
    <tableColumn id="1" xr3:uid="{1D8690C6-0091-4EE3-84F9-EBEAFBFCD6AD}" name="DERS ÇIKTILARI" dataDxfId="344"/>
    <tableColumn id="2" xr3:uid="{02018C1C-C258-456C-BC9D-2BF12262A3AB}" name="DERS ÇIKTISI ADI" dataDxfId="343" dataCellStyle="Nötr"/>
    <tableColumn id="3" xr3:uid="{69B2DFBA-D9C0-4DB9-B77E-A76EAA1CF4CD}" name="Toplam DÇ" dataDxfId="342">
      <calculatedColumnFormula>Tablo413[[#This Row],[Midterm]]+Tablo413[[#This Row],[FINAL]]+Tablo413[[#This Row],[HOMEWORK]]+Tablo413[[#This Row],[LAB]]</calculatedColumnFormula>
    </tableColumn>
    <tableColumn id="4" xr3:uid="{081E13C8-2AC0-4DE5-A41D-208824F7A094}" name="Midterm" dataDxfId="341">
      <calculatedColumnFormula>MIDTERM!J37</calculatedColumnFormula>
    </tableColumn>
    <tableColumn id="5" xr3:uid="{FE8BEEF4-86D6-4DBC-8B58-55A0B4293D22}" name="FINAL" dataDxfId="340">
      <calculatedColumnFormula>FINAL!J37</calculatedColumnFormula>
    </tableColumn>
    <tableColumn id="6" xr3:uid="{EAF10198-7C43-4014-9111-2BB542172D55}" name="HOMEWORK" dataDxfId="339">
      <calculatedColumnFormula>Tablo163719[[#This Row],[TOPLAM]]</calculatedColumnFormula>
    </tableColumn>
    <tableColumn id="7" xr3:uid="{EBD03361-5022-4C9C-8EA0-2DA5BB380008}" name="LAB" dataDxfId="338">
      <calculatedColumnFormula>LAB!Q40</calculatedColumnFormula>
    </tableColumn>
  </tableColumns>
  <tableStyleInfo name="TableStyleMedium3"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0155C34C-E9F0-4060-BF55-55B5D59911BC}" name="Tablo41342" displayName="Tablo41342" ref="Q50:W60" totalsRowShown="0" headerRowDxfId="337" dataDxfId="336">
  <autoFilter ref="Q50:W60" xr:uid="{C5AA04C5-DD01-4DCA-AC46-04658F661912}"/>
  <tableColumns count="7">
    <tableColumn id="1" xr3:uid="{D2703656-DCB5-4939-87D5-99FC656D3C1F}" name="DERS ÇIKTILARI" dataDxfId="335"/>
    <tableColumn id="2" xr3:uid="{707136BB-3A58-4166-A323-B3B072871373}" name="DERS ÇIKTISI ADI" dataDxfId="334">
      <calculatedColumnFormula>R38</calculatedColumnFormula>
    </tableColumn>
    <tableColumn id="3" xr3:uid="{B5D6B806-ABC7-477A-B6DF-B09FB87A0C09}" name="LAB" dataDxfId="333">
      <calculatedColumnFormula>LAB!S40</calculatedColumnFormula>
    </tableColumn>
    <tableColumn id="4" xr3:uid="{90357AD3-7923-4DBF-8D17-6972061C2AC6}" name="Midterm" dataDxfId="332">
      <calculatedColumnFormula>MIDTERM!L37</calculatedColumnFormula>
    </tableColumn>
    <tableColumn id="5" xr3:uid="{B3DFD6A6-E751-4D4F-870E-739A5B14584C}" name="FINAL" dataDxfId="331">
      <calculatedColumnFormula>FINAL!L37</calculatedColumnFormula>
    </tableColumn>
    <tableColumn id="6" xr3:uid="{7FB38429-78F3-4753-88F4-A888BD5796E0}" name="HOMEWORK" dataDxfId="330">
      <calculatedColumnFormula>HOMEWORK!K38</calculatedColumnFormula>
    </tableColumn>
    <tableColumn id="7" xr3:uid="{D29E9D0D-13A2-4CBB-AF15-D291A2B21856}" name="Toplam Katkı" dataDxfId="329">
      <calculatedColumnFormula>IF(S38=0,0,SUM(Tablo41342[[#This Row],[LAB]:[HOMEWORK]])/S38)</calculatedColumnFormula>
    </tableColumn>
  </tableColumns>
  <tableStyleInfo name="TableStyleMedium3"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E8A39156-2A40-45AA-8D8F-A59DCCE6CD60}" name="Tablo6" displayName="Tablo6" ref="O6:Q16" totalsRowShown="0">
  <autoFilter ref="O6:Q16" xr:uid="{EC0E0B44-7234-4F1F-88FB-1DED5C02D3D4}"/>
  <tableColumns count="3">
    <tableColumn id="1" xr3:uid="{45856B95-6428-4D2D-8D5D-F03B93076F3E}" name="Grade"/>
    <tableColumn id="2" xr3:uid="{8A521B09-FBF8-42D6-BE93-C6187483EE17}" name="Min" dataDxfId="328"/>
    <tableColumn id="3" xr3:uid="{329FC499-C676-459B-A1E1-C1F06F81E102}" name="Max" dataDxfId="327"/>
  </tableColumns>
  <tableStyleInfo name="TableStyleMedium13"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7AF91E69-9832-48E6-8EDE-B189A434B3D8}" name="Tablo8" displayName="Tablo8" ref="O19:Q24" totalsRowShown="0">
  <autoFilter ref="O19:Q24" xr:uid="{8139BC6B-F648-4220-AF63-57FDFB2CC3E4}"/>
  <tableColumns count="3">
    <tableColumn id="1" xr3:uid="{71EA6E28-2404-4386-AAA0-D7DCC92D8194}" name="Item"/>
    <tableColumn id="2" xr3:uid="{9CA1BA0D-CDBC-4B69-960D-50959E885AB4}" name="Multiplier" dataDxfId="326"/>
    <tableColumn id="3" xr3:uid="{E67A4D57-1D56-472F-B6AC-22DFE57F0EBF}" name="Base Value" dataDxfId="325" dataCellStyle="İşaretli Hücre"/>
  </tableColumns>
  <tableStyleInfo name="TableStyleMedium13"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313AF2A6-3AFB-4F96-961C-43E7E1A7E6E9}" name="Tablo10" displayName="Tablo10" ref="T31:U32" totalsRowShown="0" headerRowDxfId="324" dataDxfId="323">
  <autoFilter ref="T31:U32" xr:uid="{BA65856D-8288-4CD4-BBED-CDDC7BAC08B9}"/>
  <tableColumns count="2">
    <tableColumn id="1" xr3:uid="{A29943D0-9C9B-4A60-9026-32DA2B6F9C48}" name="Mean" dataDxfId="322">
      <calculatedColumnFormula>AVERAGE(Tablo1[Total Points])</calculatedColumnFormula>
    </tableColumn>
    <tableColumn id="2" xr3:uid="{88038C43-8E16-4774-8213-8E6AF4D7049C}" name="Variance" dataDxfId="321">
      <calculatedColumnFormula>_xlfn.STDEV.P(Tablo1[Total Points])</calculatedColumnFormula>
    </tableColumn>
  </tableColumns>
  <tableStyleInfo name="TableStyleMedium3"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0D8E8C1D-C9D6-41DB-AD02-D51D39D205D7}" name="Tablo1" displayName="Tablo1" ref="C3:L33" totalsRowShown="0" headerRowDxfId="320" dataDxfId="319">
  <autoFilter ref="C3:L33" xr:uid="{003B8D3F-61E0-4F2B-BDC4-0D84F48031F7}"/>
  <sortState xmlns:xlrd2="http://schemas.microsoft.com/office/spreadsheetml/2017/richdata2" ref="C4:L33">
    <sortCondition descending="1" ref="K3:K33"/>
  </sortState>
  <tableColumns count="10">
    <tableColumn id="1" xr3:uid="{B7E1677C-9F15-46D9-B6C4-258112FBFFFA}" name="Student No" dataDxfId="318">
      <calculatedColumnFormula>C3+1</calculatedColumnFormula>
    </tableColumn>
    <tableColumn id="2" xr3:uid="{53361963-E353-4CE7-8B84-A65944E7C89E}" name="Name" dataDxfId="317"/>
    <tableColumn id="3" xr3:uid="{9826EB8C-5956-4A60-A84D-6E1202EA66A9}" name="Surname" dataDxfId="316"/>
    <tableColumn id="4" xr3:uid="{1807BE3B-87EC-48EB-A12A-E3FE6005F194}" name="Midterm" dataDxfId="315">
      <calculatedColumnFormula>VLOOKUP(Tablo1[[#This Row],[Student No]],Tablo17[[STUDENT ID]:[TOTAL GRADE]],11,FALSE)</calculatedColumnFormula>
    </tableColumn>
    <tableColumn id="5" xr3:uid="{4D31EE6D-52E3-4E1D-B12C-A3EC2B74AD34}" name="FINAL" dataDxfId="314">
      <calculatedColumnFormula>VLOOKUP(Tablo1[[#This Row],[Student No]],Tablo1744[[STUDENT ID]:[TOTAL GRADE]],11,FALSE)</calculatedColumnFormula>
    </tableColumn>
    <tableColumn id="6" xr3:uid="{1C40EBF3-B920-4476-BBE5-B46C0979B7BD}" name="HOMEWORK" dataDxfId="313"/>
    <tableColumn id="7" xr3:uid="{7E143D3A-C9E1-4610-B77B-555722A2485B}" name="LAB" dataDxfId="312">
      <calculatedColumnFormula>VLOOKUP(Tablo1[[#This Row],[Student No]],Tablo314[[Student No]:[TOTAL]],18,FALSE)</calculatedColumnFormula>
    </tableColumn>
    <tableColumn id="8" xr3:uid="{19B552DF-8A09-4D13-A80E-8B37ACA36C1E}" name="BONUS" dataDxfId="311" dataCellStyle="Nötr"/>
    <tableColumn id="9" xr3:uid="{E01FE57D-EA29-4811-B7E9-CAD4AC5ABA45}" name="Total Points" dataDxfId="310">
      <calculatedColumnFormula>(F4*$P$22%*100/$Q$22+G4*$P$23%*100/$Q$23+H4*$P$20%*100/$Q$20+I4*$P$21%*100/$Q$21)+Tablo1[[#This Row],[BONUS]]</calculatedColumnFormula>
    </tableColumn>
    <tableColumn id="10" xr3:uid="{EAC346F8-1E55-4DB5-9CB9-26AC92B13480}" name="Letter Grade" dataDxfId="309">
      <calculatedColumnFormula array="1">_xlfn.IFS(AND(K4&gt;=$P$7,K4&lt;$Q$7),"AA",AND(K4&gt;=$P$8,K4&lt;$Q$8),"AB",AND(K4&gt;=$P$9,K4&lt;$Q$9),"BB",AND(K4&gt;=$P$10,K4&lt;$Q$10),"CB",AND(K4&gt;=$P$11,K4&lt;$Q$11),"CC",AND(K4&gt;=$P$12,K4&lt;$Q$12),"DC",AND(K4&gt;=$P$13,K4&lt;$Q$13),"DD",AND(K4&gt;=$P$14,K4&lt;$Q$14),"FD",AND(K4&gt;=$P$15,K4&lt;$Q$15),"FF")</calculatedColumnFormula>
    </tableColumn>
  </tableColumns>
  <tableStyleInfo name="TableStyleMedium3"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A71892F1-26EE-45FE-800B-59E307DF01D6}" name="Tablo4" displayName="Tablo4" ref="N36:O46" totalsRowShown="0">
  <autoFilter ref="N36:O46" xr:uid="{6D21FA25-FDF7-4DA4-A79D-25DD4AF9FF07}">
    <filterColumn colId="0" hiddenButton="1"/>
    <filterColumn colId="1" hiddenButton="1"/>
  </autoFilter>
  <tableColumns count="2">
    <tableColumn id="1" xr3:uid="{77C71727-712F-41F8-ADC3-455BF3600D53}" name="DERS ÇIKTILARI" dataDxfId="308"/>
    <tableColumn id="2" xr3:uid="{49963406-377A-4E3D-9003-A049BFF976DC}" name="DERS ÇIKTISI ADI" dataDxfId="307">
      <calculatedColumnFormula>MAIN!R51</calculatedColumnFormula>
    </tableColumn>
  </tableColumns>
  <tableStyleInfo name="TableStyleMedium3"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72436024-BA12-49B4-80CF-EAD02BB45819}" name="Tablo16" displayName="Tablo16" ref="B36:L46" totalsRowShown="0">
  <autoFilter ref="B36:L46" xr:uid="{4F67F6BB-2F57-4582-8889-85F254035DE3}">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autoFilter>
  <tableColumns count="11">
    <tableColumn id="1" xr3:uid="{0C6B0CD8-DD04-4EF1-AB66-2F8E9228480F}" name="Ders Çıktıları" dataDxfId="306"/>
    <tableColumn id="2" xr3:uid="{03E41510-BAF5-447C-9830-B3758099B854}" name="Q1" dataDxfId="305">
      <calculatedColumnFormula>SUM(N5:N34)</calculatedColumnFormula>
    </tableColumn>
    <tableColumn id="3" xr3:uid="{02AA1D97-3211-47A5-8451-E2346DD904C7}" name="Q2" dataDxfId="304"/>
    <tableColumn id="4" xr3:uid="{218149A5-7983-4DD3-9E61-4D0F7FA1565F}" name="Q3" dataDxfId="303"/>
    <tableColumn id="5" xr3:uid="{FBFC5462-AC11-4B38-B5E4-7D3CFEEEF7F0}" name="Q4" dataDxfId="302"/>
    <tableColumn id="6" xr3:uid="{D54E09E7-5FD3-4EFF-BD8E-873B52E0E57C}" name="Q5" dataDxfId="301"/>
    <tableColumn id="7" xr3:uid="{9EDA8561-6F2C-4E50-9482-6A8D98C6FDCE}" name="Q6" dataDxfId="300"/>
    <tableColumn id="8" xr3:uid="{A6766AAB-29D1-4BE7-BE8D-5009E164B1C1}" name="Q7" dataDxfId="299"/>
    <tableColumn id="9" xr3:uid="{D987AE84-9152-4928-8EF8-CF33324B90DA}" name="TOPLAM" dataDxfId="298" dataCellStyle="İşaretli Hücre">
      <calculatedColumnFormula>SUM(Tablo16[[#This Row],[Q1]:[Q7]])</calculatedColumnFormula>
    </tableColumn>
    <tableColumn id="10" xr3:uid="{371D2CC2-ECA0-4630-BBE6-8BDE6267B67A}" name="TOTAL DÇ" dataDxfId="297" dataCellStyle="İşaretli Hücre">
      <calculatedColumnFormula>IF($J37=0,"0",SUM(Tablo17[DÇ1])/(30*J37))</calculatedColumnFormula>
    </tableColumn>
    <tableColumn id="11" xr3:uid="{120D2081-8B82-47C0-98A4-B89A24623000}" name="CONTRIBUTION" dataDxfId="296" dataCellStyle="İşaretli Hücre">
      <calculatedColumnFormula>$K37*$J37</calculatedColumnFormula>
    </tableColumn>
  </tableColumns>
  <tableStyleInfo name="TableStyleMedium6"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0C32910B-E269-4C3B-B864-2154BD4DB1F6}" name="Tablo17" displayName="Tablo17" ref="C4:X34" headerRowDxfId="295" dataDxfId="294" totalsRowDxfId="293">
  <autoFilter ref="C4:X34" xr:uid="{1D47A4E7-FFBD-4986-ADC6-27B2471D3E4F}"/>
  <sortState xmlns:xlrd2="http://schemas.microsoft.com/office/spreadsheetml/2017/richdata2" ref="C5:X34">
    <sortCondition descending="1" ref="M4:M34"/>
  </sortState>
  <tableColumns count="22">
    <tableColumn id="1" xr3:uid="{B62AFC1F-8D9A-4C57-B00A-7BB917F93305}" name="STUDENT ID" totalsRowLabel="Toplam" dataDxfId="292"/>
    <tableColumn id="16" xr3:uid="{D6651FFA-3D43-4E61-B2C4-26B5F9824D6D}" name="Name" dataDxfId="291"/>
    <tableColumn id="2" xr3:uid="{8B8E4A44-0813-4996-8CDF-84CF7F4242F3}" name="Surname" dataDxfId="290"/>
    <tableColumn id="3" xr3:uid="{D6A51D98-A168-4993-8C16-0BB8D622CAC0}" name="Q1" dataDxfId="289" totalsRowDxfId="288"/>
    <tableColumn id="4" xr3:uid="{116598B5-708C-4737-A7B0-F2B88489DBD0}" name="Q2" dataDxfId="287" totalsRowDxfId="286"/>
    <tableColumn id="5" xr3:uid="{A9D0333E-C81F-447D-A056-3CE2174BF2F2}" name="Q3" dataDxfId="285" totalsRowDxfId="284"/>
    <tableColumn id="6" xr3:uid="{DB495FBE-C6A8-464B-8A80-5CC0352A9D0B}" name="Q4" dataDxfId="283" totalsRowDxfId="282"/>
    <tableColumn id="7" xr3:uid="{13E49EF2-A8D5-4091-A49F-8387611AEB35}" name="Q5" dataDxfId="281" totalsRowDxfId="280"/>
    <tableColumn id="8" xr3:uid="{A4FC8838-649D-4B14-BD69-27E285FC7C23}" name="Q6" dataDxfId="279" totalsRowDxfId="278"/>
    <tableColumn id="9" xr3:uid="{C4BE0C65-3F8A-4564-B98A-19D670675550}" name="Q7" totalsRowFunction="sum" dataDxfId="277" totalsRowDxfId="276"/>
    <tableColumn id="10" xr3:uid="{9C54875D-1086-4535-BC6B-E3BD2F9705CF}" name="TOTAL GRADE" dataDxfId="275" dataCellStyle="İşaretli Hücre">
      <calculatedColumnFormula>SUM(F5:L5)</calculatedColumnFormula>
    </tableColumn>
    <tableColumn id="11" xr3:uid="{4380C5D6-C280-44C8-B5A3-9766E711F423}" name="DÇ1" dataDxfId="274" totalsRowDxfId="273" dataCellStyle="İşaretli Hücre">
      <calculatedColumnFormula array="1">Tablo17[[#This Row],[Q1]]/Tablo19[Q1]*$C$37+G5/Tablo19[Q2]*$D$37+H5/Tablo19[Q3]*$E$37+I5/Tablo19[Q4]*$F$37+J5/Tablo19[Q5]*$G$37+K5/Tablo19[Q6]*$H$37+L5/Tablo19[Q7]*$I$37</calculatedColumnFormula>
    </tableColumn>
    <tableColumn id="12" xr3:uid="{BA031199-32BB-459F-8FCC-E76CB0087F68}" name="DÇ2" dataDxfId="272" dataCellStyle="İşaretli Hücre">
      <calculatedColumnFormula array="1">Tablo17[[#This Row],[Q1]]/Tablo19[Q1]*$C$38+G5/Tablo19[Q2]*$D$38+H5/Tablo19[Q3]*$E$38+I5/Tablo19[Q4]*$F$38+J5/Tablo19[Q5]*$G$38+K5/Tablo19[Q6]*$H$38+L5/Tablo19[Q7]*$I$38</calculatedColumnFormula>
    </tableColumn>
    <tableColumn id="13" xr3:uid="{DB064603-636B-483D-B6C1-4C7723D3BAC1}" name="DÇ3" dataDxfId="271" totalsRowDxfId="270" dataCellStyle="İşaretli Hücre">
      <calculatedColumnFormula array="1">Tablo17[[#This Row],[Q1]]/Tablo19[Q1]*$C$39+G5/Tablo19[Q2]*$D$39+H5/Tablo19[Q3]*$E$39+I5/Tablo19[Q4]*$F$39+J5/Tablo19[Q5]*$G$39+K5/Tablo19[Q6]*$H$39+L5/Tablo19[Q7]*$I$39</calculatedColumnFormula>
    </tableColumn>
    <tableColumn id="14" xr3:uid="{5643E8C8-818D-4D06-951E-C0ED5CF270EF}" name="DÇ4" dataDxfId="269" totalsRowDxfId="268" dataCellStyle="İşaretli Hücre">
      <calculatedColumnFormula array="1">Tablo17[[#This Row],[Q1]]/Tablo19[Q1]*$C$40+G5/Tablo19[Q2]*$D$40+H5/Tablo19[Q3]*$E$40+I5/Tablo19[Q4]*$F$40+J5/Tablo19[Q5]*$G$40+K5/Tablo19[Q6]*$H$40+L5/Tablo19[Q7]*$I$40</calculatedColumnFormula>
    </tableColumn>
    <tableColumn id="15" xr3:uid="{85AE277E-9D2B-48D9-9CEC-375ED003A963}" name="DÇ5" dataDxfId="267" dataCellStyle="İşaretli Hücre">
      <calculatedColumnFormula array="1">Tablo17[[#This Row],[Q1]]/Tablo19[Q1]*$C$41+$G5/Tablo19[Q2]*$D$41+$H5/Tablo19[Q3]*$E$41+$I5/Tablo19[Q4]*$F$41+$J5/Tablo19[Q5]*$G$41+$K5/Tablo19[Q6]*$H$41+$L5/Tablo19[Q7]*$I$41</calculatedColumnFormula>
    </tableColumn>
    <tableColumn id="17" xr3:uid="{70D98743-8055-4E2F-8FEE-4DD2FDEA3838}" name="DÇ6" dataDxfId="266" totalsRowDxfId="265" dataCellStyle="İşaretli Hücre">
      <calculatedColumnFormula array="1">Tablo17[[#This Row],[Q1]]/Tablo19[Q1]*$C$42+$G5/Tablo19[Q2]*$D$42+$H5/Tablo19[Q3]*$E$42+$I5/Tablo19[Q4]*$F$42+$J5/Tablo19[Q5]*$G$42+$K5/Tablo19[Q6]*$H$42+$L5/Tablo19[Q7]*$I$42</calculatedColumnFormula>
    </tableColumn>
    <tableColumn id="18" xr3:uid="{6E8EC685-E253-44B8-BD7F-CC18643CCAC6}" name="DÇ7" dataDxfId="264" dataCellStyle="İşaretli Hücre">
      <calculatedColumnFormula array="1">Tablo17[[#This Row],[Q1]]/Tablo19[Q1]*$C$43+$G5/Tablo19[Q2]*$D$43+$H5/Tablo19[Q3]*$E$43+$I5/Tablo19[Q4]*$F$43+$J5/Tablo19[Q5]*$G$43+$K5/Tablo19[Q6]*$H$43+$L5/Tablo19[Q7]*$I$43</calculatedColumnFormula>
    </tableColumn>
    <tableColumn id="19" xr3:uid="{F16D4EC4-EA67-412C-A6E4-567DC83AEBD7}" name="DÇ8" dataDxfId="263" totalsRowDxfId="262" dataCellStyle="İşaretli Hücre">
      <calculatedColumnFormula array="1">Tablo17[[#This Row],[Q1]]/Tablo19[Q1]*$C$44+$G5/Tablo19[Q2]*$D$44+$H5/Tablo19[Q3]*$E$44+$I5/Tablo19[Q4]*$F$44+$J5/Tablo19[Q5]*$G$44+$K5/Tablo19[Q6]*$H$44+$L5/Tablo19[Q7]*$I$44</calculatedColumnFormula>
    </tableColumn>
    <tableColumn id="20" xr3:uid="{DAF4D3D3-E4AA-4815-96AB-44A0988A756B}" name="DÇ9" dataDxfId="261" totalsRowDxfId="260" dataCellStyle="İşaretli Hücre">
      <calculatedColumnFormula array="1">Tablo17[[#This Row],[Q1]]/Tablo19[Q1]*$C$45+$G5/Tablo19[Q2]*$D$45+$H5/Tablo19[Q3]*$E$45+$I5/Tablo19[Q4]*$F$45+$J5/Tablo19[Q5]*$G$45+$K5/Tablo19[Q6]*$H$45+$L5/Tablo19[Q7]*$I$45</calculatedColumnFormula>
    </tableColumn>
    <tableColumn id="21" xr3:uid="{A83E38A2-E7ED-4DCE-B782-7DDF93A6E166}" name="DÇ10" dataDxfId="259" totalsRowDxfId="258" dataCellStyle="İşaretli Hücre">
      <calculatedColumnFormula array="1">Tablo17[[#This Row],[Q1]]/Tablo19[Q1]*$C$46+$G5/Tablo19[Q2]*$D$46+$H5/Tablo19[Q3]*$E$46+$I5/Tablo19[Q4]*$F$46+$J5/Tablo19[Q5]*$G$46+$K5/Tablo19[Q6]*$H$46+$L5/Tablo19[Q7]*$I$46</calculatedColumnFormula>
    </tableColumn>
    <tableColumn id="22" xr3:uid="{3F4866FF-2C38-40F5-9496-19332F4B5296}" name="TOT" dataDxfId="257" dataCellStyle="İşaretli Hücre">
      <calculatedColumnFormula>SUM(N5:W5)</calculatedColumnFormula>
    </tableColumn>
  </tableColumns>
  <tableStyleInfo name="TableStyleMedium6"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50847930-F3A1-4557-963D-6DACC22017D1}" name="Tablo19" displayName="Tablo19" ref="B48:J49" totalsRowShown="0" headerRowDxfId="256" dataDxfId="255">
  <autoFilter ref="B48:J49" xr:uid="{A67FE10B-DC8C-4119-87C3-07629A08B2C1}">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autoFilter>
  <tableColumns count="9">
    <tableColumn id="1" xr3:uid="{77276FF4-3F7D-48F1-8923-AC28E6E45F5A}" name="Sütun1"/>
    <tableColumn id="2" xr3:uid="{9B83D317-F6BA-41B3-923B-B147EFF16244}" name="Q1" dataDxfId="254"/>
    <tableColumn id="3" xr3:uid="{847CA7F2-167B-4FE7-A7DD-5373D8893B3E}" name="Q2" dataDxfId="253"/>
    <tableColumn id="4" xr3:uid="{A37008B3-419B-4245-ABBF-33DC6EC6F9F3}" name="Q3" dataDxfId="252"/>
    <tableColumn id="5" xr3:uid="{24E1AE79-34A4-476E-8E55-F73942355458}" name="Q4" dataDxfId="251"/>
    <tableColumn id="6" xr3:uid="{E647959D-50D7-4091-8F75-F90831B3BFF2}" name="Q5" dataDxfId="250"/>
    <tableColumn id="7" xr3:uid="{AE513293-2A4A-4B0E-9729-A18FC1D274CE}" name="Q6" dataDxfId="249"/>
    <tableColumn id="8" xr3:uid="{1DC3C0C1-5E53-48A0-BB7D-D83ECF6C965F}" name="Q7" dataDxfId="248"/>
    <tableColumn id="9" xr3:uid="{973838EE-26C6-400E-83E9-E403BB27D12A}" name="TOTAL" dataDxfId="247">
      <calculatedColumnFormula>SUM(C49:I49)</calculatedColumnFormula>
    </tableColumn>
  </tableColumns>
  <tableStyleInfo name="TableStyleDark6"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2C9701C0-6361-4BD5-A999-DEAF4A23036A}" name="Tablo20" displayName="Tablo20" ref="N61:O62" totalsRowShown="0" headerRowDxfId="246" dataDxfId="245">
  <autoFilter ref="N61:O62" xr:uid="{C969751D-E417-49AC-84A5-5CA00045EC12}">
    <filterColumn colId="0" hiddenButton="1"/>
    <filterColumn colId="1" hiddenButton="1"/>
  </autoFilter>
  <tableColumns count="2">
    <tableColumn id="1" xr3:uid="{DE72E65D-604E-4878-9282-67434D21488A}" name="Mean" dataDxfId="244">
      <calculatedColumnFormula>AVERAGE(Tablo17[TOTAL GRADE])</calculatedColumnFormula>
    </tableColumn>
    <tableColumn id="2" xr3:uid="{2DEEA555-4F64-46FA-8F1C-10D1CEE9A443}" name="Variance" dataDxfId="243">
      <calculatedColumnFormula>_xlfn.STDEV.P(Tablo17[TOTAL GRADE])</calculatedColumnFormula>
    </tableColumn>
  </tableColumns>
  <tableStyleInfo name="TableStyleMedium3"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877D844E-77FD-4DB0-99B8-8A311CA5C697}" name="Tablo21" displayName="Tablo21" ref="Y4:Y34" totalsRowShown="0" headerRowDxfId="242" dataCellStyle="İşaretli Hücre">
  <autoFilter ref="Y4:Y34" xr:uid="{D15F6FE7-C47D-42B5-B026-DE07E448DED7}">
    <filterColumn colId="0" hiddenButton="1"/>
  </autoFilter>
  <tableColumns count="1">
    <tableColumn id="1" xr3:uid="{56A9B56B-B965-4B48-A6D1-0FCBC1CA7E7D}" name="Normal Dist" dataCellStyle="İşaretli Hücre">
      <calculatedColumnFormula>_xlfn.NORM.DIST(Tablo17[[#This Row],[TOTAL GRADE]],$N$62,$O$62,FALSE)</calculatedColumnFormula>
    </tableColumn>
  </tableColumns>
  <tableStyleInfo name="TableStyleMedium6" showFirstColumn="0" showLastColumn="0" showRowStripes="1"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A5D81B21-A86E-4913-B3EF-275BDA5D8E4D}" name="Tablo434" displayName="Tablo434" ref="N36:O46" totalsRowShown="0">
  <autoFilter ref="N36:O46" xr:uid="{AB3A3E58-F89E-49A2-B88C-CA52FCCE0A5A}"/>
  <tableColumns count="2">
    <tableColumn id="1" xr3:uid="{21607B7F-A0C5-47A7-9D25-C71FF18E8D64}" name="DERS ÇIKTILARI" dataDxfId="241"/>
    <tableColumn id="2" xr3:uid="{D89463E2-5187-4D0D-A84A-6FBB2ACB3D79}" name="DERS ÇIKTISI ADI" dataDxfId="240">
      <calculatedColumnFormula>MAIN!R51</calculatedColumnFormula>
    </tableColumn>
  </tableColumns>
  <tableStyleInfo name="TableStyleMedium3" showFirstColumn="0" showLastColumn="0" showRowStripes="1" showColumnStripes="0"/>
</table>
</file>

<file path=xl/tables/table2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DD8BEB84-883A-483B-AC82-4F42DF96C24D}" name="Tablo1635" displayName="Tablo1635" ref="B36:L46" totalsRowShown="0">
  <autoFilter ref="B36:L46" xr:uid="{07B90420-23DD-47A6-9A55-127C4549A1ED}"/>
  <tableColumns count="11">
    <tableColumn id="1" xr3:uid="{9059FE35-E413-4CCF-B874-C3714379FB29}" name="Ders Çıktıları" dataDxfId="239"/>
    <tableColumn id="2" xr3:uid="{05E166F5-6275-480B-99EE-07E75293BE56}" name="Q1" dataDxfId="238">
      <calculatedColumnFormula>SUM(N5:N34)</calculatedColumnFormula>
    </tableColumn>
    <tableColumn id="3" xr3:uid="{55530CEB-4DD5-41DE-8E9E-69EF66B1414C}" name="Q2" dataDxfId="237"/>
    <tableColumn id="4" xr3:uid="{2EA04562-517E-4AED-B3FD-9EE6CE9DD6D3}" name="Q3" dataDxfId="236"/>
    <tableColumn id="5" xr3:uid="{7D080676-D6D9-4CCB-A9D4-26353B817250}" name="Q4" dataDxfId="235"/>
    <tableColumn id="6" xr3:uid="{5C2A404E-EAE7-4B66-9BD7-2A136805B5CF}" name="Q5" dataDxfId="234"/>
    <tableColumn id="7" xr3:uid="{BFD919C2-8834-41D0-9325-D48AD731EF6B}" name="Q6" dataDxfId="233"/>
    <tableColumn id="8" xr3:uid="{1B7D9577-588A-4FCA-860A-4816D108F0E9}" name="Q7" dataDxfId="232"/>
    <tableColumn id="9" xr3:uid="{57A0FD1C-4460-483E-8207-E8B6E83B0EDA}" name="TOPLAM" dataDxfId="231" dataCellStyle="İşaretli Hücre">
      <calculatedColumnFormula>SUM(Tablo1635[[#This Row],[Q1]:[Q7]])</calculatedColumnFormula>
    </tableColumn>
    <tableColumn id="10" xr3:uid="{D5BF35CA-9994-4CF2-83AE-6C29DD5DBAAF}" name="TOTAL DÇ" dataDxfId="230" dataCellStyle="İşaretli Hücre"/>
    <tableColumn id="11" xr3:uid="{2247F776-C09D-4752-9F6F-A773909ED3DE}" name="CONTRIBUTION" dataDxfId="229" dataCellStyle="İşaretli Hücre">
      <calculatedColumnFormula>$K37*$J37</calculatedColumnFormula>
    </tableColumn>
  </tableColumns>
  <tableStyleInfo name="TableStyleMedium6" showFirstColumn="0" showLastColumn="0" showRowStripes="1" showColumnStripes="0"/>
</table>
</file>

<file path=xl/tables/table2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 xr:uid="{9F83537B-4F61-4B1B-89B6-BA9CAE46C9A6}" name="Tablo1744" displayName="Tablo1744" ref="C4:X34" headerRowDxfId="228" dataDxfId="227" totalsRowDxfId="226">
  <autoFilter ref="C4:X34" xr:uid="{3D541A4C-8D02-4EE3-AB38-38DE23E11534}"/>
  <sortState xmlns:xlrd2="http://schemas.microsoft.com/office/spreadsheetml/2017/richdata2" ref="C5:X34">
    <sortCondition ref="M4:M34"/>
  </sortState>
  <tableColumns count="22">
    <tableColumn id="1" xr3:uid="{6B7C447F-6D83-401A-BD03-F21050908D16}" name="STUDENT ID" totalsRowLabel="Toplam" dataDxfId="225"/>
    <tableColumn id="16" xr3:uid="{19973805-1A5E-49E2-89CF-9FB6594C7F13}" name="Name" dataDxfId="224"/>
    <tableColumn id="2" xr3:uid="{7F63DDF6-D7AB-4AF2-8FDF-303F01B304AB}" name="Surname" dataDxfId="223"/>
    <tableColumn id="3" xr3:uid="{FA46F19D-ED90-41EF-9CB3-07BB229CE29C}" name="Q1" dataDxfId="222" totalsRowDxfId="221"/>
    <tableColumn id="4" xr3:uid="{8B2164FF-4BFD-471D-886E-D308195F13BD}" name="Q2" dataDxfId="220" totalsRowDxfId="219"/>
    <tableColumn id="5" xr3:uid="{28182BF7-F4B6-4561-9A29-C44A8C6F51CD}" name="Q3" dataDxfId="218" totalsRowDxfId="217"/>
    <tableColumn id="6" xr3:uid="{A3EE95B9-31B5-4D4C-B903-110A0085D901}" name="Q4" dataDxfId="216" totalsRowDxfId="215"/>
    <tableColumn id="7" xr3:uid="{4ABEF05C-5446-4F24-9352-9FFED894B713}" name="Q5" dataDxfId="214" totalsRowDxfId="213"/>
    <tableColumn id="8" xr3:uid="{A503DBFE-77BC-4D24-BA32-559840E8E184}" name="Q6" dataDxfId="212" totalsRowDxfId="211"/>
    <tableColumn id="9" xr3:uid="{9F8BAB7A-A08E-4903-AC4D-67580C3734C1}" name="Q7" totalsRowFunction="sum" dataDxfId="210" totalsRowDxfId="209"/>
    <tableColumn id="10" xr3:uid="{EDACC257-13C0-494B-A1FF-78DEE7A7155A}" name="TOTAL GRADE" dataDxfId="208" dataCellStyle="İşaretli Hücre">
      <calculatedColumnFormula>SUM(F5:L5)</calculatedColumnFormula>
    </tableColumn>
    <tableColumn id="11" xr3:uid="{16D024E4-4502-4237-81FF-CC9D37D379DF}" name="DÇ1" dataDxfId="207" totalsRowDxfId="206" dataCellStyle="İşaretli Hücre">
      <calculatedColumnFormula array="1">Tablo1744[[#This Row],[Q1]]/Tablo1945[Q1]*$C$37+G5/Tablo1945[Q2]*$D$37+H5/Tablo1945[Q3]*$E$37+I5/Tablo1945[Q4]*$F$37+J5/Tablo1945[Q5]*$G$37+K5/Tablo1945[Q6]*$H$37+L5/Tablo1945[Q7]*$I$37</calculatedColumnFormula>
    </tableColumn>
    <tableColumn id="12" xr3:uid="{80B1BA59-D6FD-4BEF-B231-BD71DB567F58}" name="DÇ2" dataDxfId="205" dataCellStyle="İşaretli Hücre">
      <calculatedColumnFormula array="1">Tablo1744[[#This Row],[Q1]]/Tablo1945[Q1]*$C$38+G5/Tablo1945[Q2]*$D$38+H5/Tablo1945[Q3]*$E$38+I5/Tablo1945[Q4]*$F$38+J5/Tablo1945[Q5]*$G$38+K5/Tablo1945[Q6]*$H$38+L5/Tablo1945[Q7]*$I$38</calculatedColumnFormula>
    </tableColumn>
    <tableColumn id="13" xr3:uid="{3C21A15C-DF84-4F14-B829-A2106EE59ED2}" name="DÇ3" dataDxfId="204" totalsRowDxfId="203" dataCellStyle="İşaretli Hücre">
      <calculatedColumnFormula array="1">Tablo1744[[#This Row],[Q1]]/Tablo1945[Q1]*$C$39+G5/Tablo1945[Q2]*$D$39+H5/Tablo1945[Q3]*$E$39+I5/Tablo1945[Q4]*$F$39+J5/Tablo1945[Q5]*$G$39+K5/Tablo1945[Q6]*$H$39+L5/Tablo1945[Q7]*$I$39</calculatedColumnFormula>
    </tableColumn>
    <tableColumn id="14" xr3:uid="{BB81B4B6-78C1-47B6-AA5F-A6C8066C2C5C}" name="DÇ4" dataDxfId="202" totalsRowDxfId="201" dataCellStyle="İşaretli Hücre">
      <calculatedColumnFormula array="1">Tablo1744[[#This Row],[Q1]]/Tablo1945[Q1]*$C$40+G5/Tablo1945[Q2]*$D$40+H5/Tablo1945[Q3]*$E$40+I5/Tablo1945[Q4]*$F$40+J5/Tablo1945[Q5]*$G$40+K5/Tablo1945[Q6]*$H$40+L5/Tablo1945[Q7]*$I$40</calculatedColumnFormula>
    </tableColumn>
    <tableColumn id="15" xr3:uid="{54D22EB9-CBC9-4CDC-8039-3CFEE74B988A}" name="DÇ5" dataDxfId="200" dataCellStyle="İşaretli Hücre">
      <calculatedColumnFormula array="1">Tablo1744[[#This Row],[Q1]]/Tablo1945[Q1]*$C$41+$G5/Tablo1945[Q2]*$D$41+$H5/Tablo1945[Q3]*$E$41+$I5/Tablo1945[Q4]*$F$41+$J5/Tablo1945[Q5]*$G$41+$K5/Tablo1945[Q6]*$H$41+$L5/Tablo1945[Q7]*$I$41</calculatedColumnFormula>
    </tableColumn>
    <tableColumn id="17" xr3:uid="{956D0E26-F4C9-4353-8E04-BC0C1E9CDA2B}" name="DÇ6" dataDxfId="199" totalsRowDxfId="198" dataCellStyle="İşaretli Hücre">
      <calculatedColumnFormula array="1">Tablo1744[[#This Row],[Q1]]/Tablo1945[Q1]*$C$42+$G5/Tablo1945[Q2]*$D$42+$H5/Tablo1945[Q3]*$E$42+$I5/Tablo1945[Q4]*$F$42+$J5/Tablo1945[Q5]*$G$42+$K5/Tablo1945[Q6]*$H$42+$L5/Tablo1945[Q7]*$I$42</calculatedColumnFormula>
    </tableColumn>
    <tableColumn id="18" xr3:uid="{AA00CCD0-5318-43AA-AFC3-772E8D322A8E}" name="DÇ7" dataDxfId="197" dataCellStyle="İşaretli Hücre">
      <calculatedColumnFormula array="1">Tablo1744[[#This Row],[Q1]]/Tablo1945[Q1]*$C$43+$G5/Tablo1945[Q2]*$D$43+$H5/Tablo1945[Q3]*$E$43+$I5/Tablo1945[Q4]*$F$43+$J5/Tablo1945[Q5]*$G$43+$K5/Tablo1945[Q6]*$H$43+$L5/Tablo1945[Q7]*$I$43</calculatedColumnFormula>
    </tableColumn>
    <tableColumn id="19" xr3:uid="{F1427337-11EE-452D-8DD0-A8038B562D09}" name="DÇ8" dataDxfId="196" totalsRowDxfId="195" dataCellStyle="İşaretli Hücre">
      <calculatedColumnFormula array="1">Tablo1744[[#This Row],[Q1]]/Tablo1945[Q1]*$C$44+$G5/Tablo1945[Q2]*$D$44+$H5/Tablo1945[Q3]*$E$44+$I5/Tablo1945[Q4]*$F$44+$J5/Tablo1945[Q5]*$G$44+$K5/Tablo1945[Q6]*$H$44+$L5/Tablo1945[Q7]*$I$44</calculatedColumnFormula>
    </tableColumn>
    <tableColumn id="20" xr3:uid="{3C9A3A99-66BD-4300-BC3C-A775DF1F48A9}" name="DÇ9" dataDxfId="194" totalsRowDxfId="193" dataCellStyle="İşaretli Hücre">
      <calculatedColumnFormula array="1">Tablo1744[[#This Row],[Q1]]/Tablo1945[Q1]*$C$45+$G5/Tablo1945[Q2]*$D$45+$H5/Tablo1945[Q3]*$E$45+$I5/Tablo1945[Q4]*$F$45+$J5/Tablo1945[Q5]*$G$45+$K5/Tablo1945[Q6]*$H$45+$L5/Tablo1945[Q7]*$I$45</calculatedColumnFormula>
    </tableColumn>
    <tableColumn id="21" xr3:uid="{89250CC8-EFD8-443E-A11A-7109595861CF}" name="DÇ10" dataDxfId="192" totalsRowDxfId="191" dataCellStyle="İşaretli Hücre">
      <calculatedColumnFormula array="1">Tablo1744[[#This Row],[Q1]]/Tablo1945[Q1]*$C$46+$G5/Tablo1945[Q2]*$D$46+$H5/Tablo1945[Q3]*$E$46+$I5/Tablo1945[Q4]*$F$46+$J5/Tablo1945[Q5]*$G$46+$K5/Tablo1945[Q6]*$H$46+$L5/Tablo1945[Q7]*$I$46</calculatedColumnFormula>
    </tableColumn>
    <tableColumn id="22" xr3:uid="{13D8D5D1-0339-4287-9036-DAAD73407CF3}" name="TOT" dataDxfId="190" dataCellStyle="İşaretli Hücre">
      <calculatedColumnFormula>SUM(N5:W5)</calculatedColumnFormula>
    </tableColumn>
  </tableColumns>
  <tableStyleInfo name="TableStyleMedium6" showFirstColumn="0" showLastColumn="0" showRowStripes="1" showColumnStripes="0"/>
</table>
</file>

<file path=xl/tables/table2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8" xr:uid="{C1BFB338-EA74-4A18-BDD4-ADE18C6D1DB0}" name="Tablo1945" displayName="Tablo1945" ref="B48:J49" totalsRowShown="0" headerRowDxfId="189" dataDxfId="188">
  <autoFilter ref="B48:J49" xr:uid="{05BA4497-B99A-468F-AFD1-FEBC60BCB841}"/>
  <tableColumns count="9">
    <tableColumn id="1" xr3:uid="{B7099335-D149-4764-B18B-8484D3342D8A}" name="Sütun1"/>
    <tableColumn id="2" xr3:uid="{465D815D-837B-4132-B4B4-DCB134A4B6C4}" name="Q1" dataDxfId="187"/>
    <tableColumn id="3" xr3:uid="{C3D5FE97-8C7A-4C0F-ADF4-5107F6AAB8BB}" name="Q2" dataDxfId="186"/>
    <tableColumn id="4" xr3:uid="{723B59C3-7139-4E61-A3A2-6355F59EDEA5}" name="Q3" dataDxfId="185"/>
    <tableColumn id="5" xr3:uid="{D16FDA5F-EF28-4390-AE08-40B757695EC3}" name="Q4" dataDxfId="184"/>
    <tableColumn id="6" xr3:uid="{C6E71A42-638D-4283-9B68-CCA78B273150}" name="Q5" dataDxfId="183"/>
    <tableColumn id="7" xr3:uid="{4813B142-0A81-48B6-B90B-77A2253D7A5D}" name="Q6" dataDxfId="182"/>
    <tableColumn id="8" xr3:uid="{B7BF0382-4EFF-4D33-BA07-6D44D03F2EC2}" name="Q7" dataDxfId="181"/>
    <tableColumn id="9" xr3:uid="{E28A0042-F5C8-490A-B0BD-A48A950246EF}" name="TOTAL" dataDxfId="180">
      <calculatedColumnFormula>SUM(C49:I49)</calculatedColumnFormula>
    </tableColumn>
  </tableColumns>
  <tableStyleInfo name="TableStyleDark6" showFirstColumn="0" showLastColumn="0" showRowStripes="1" showColumnStripes="0"/>
</table>
</file>

<file path=xl/tables/table2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9" xr:uid="{BDB2F5ED-4686-43B3-8B56-6DB19D675FDA}" name="Tablo2046" displayName="Tablo2046" ref="N61:O62" totalsRowShown="0" headerRowDxfId="179" dataDxfId="178">
  <autoFilter ref="N61:O62" xr:uid="{70AF1AF0-A03D-4401-9018-1FFD4796C671}"/>
  <tableColumns count="2">
    <tableColumn id="1" xr3:uid="{97961D24-A684-4AE1-AA0A-0B04BCBFED98}" name="Mean" dataDxfId="177">
      <calculatedColumnFormula>AVERAGE(Tablo1744[TOTAL GRADE])</calculatedColumnFormula>
    </tableColumn>
    <tableColumn id="2" xr3:uid="{832D7F5C-2B1E-4D04-A573-C7B841DB2CB6}" name="Variance" dataDxfId="176">
      <calculatedColumnFormula>_xlfn.STDEV.P(Tablo1744[TOTAL GRADE])</calculatedColumnFormula>
    </tableColumn>
  </tableColumns>
  <tableStyleInfo name="TableStyleMedium3" showFirstColumn="0" showLastColumn="0" showRowStripes="1" showColumnStripes="0"/>
</table>
</file>

<file path=xl/tables/table3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0" xr:uid="{7D66ABDC-52D6-446C-96BE-93C3B8B1F2BB}" name="Tablo2148" displayName="Tablo2148" ref="Y4:Y34" totalsRowShown="0" headerRowDxfId="175" dataCellStyle="İşaretli Hücre">
  <autoFilter ref="Y4:Y34" xr:uid="{FD6719D6-E1A0-4D95-958C-C92C6302C6AE}"/>
  <tableColumns count="1">
    <tableColumn id="1" xr3:uid="{C295FA75-6BE1-441E-BD8D-DC18601E2BCD}" name="Normal Dist" dataCellStyle="İşaretli Hücre">
      <calculatedColumnFormula>_xlfn.NORM.DIST(Tablo1744[[#This Row],[TOTAL GRADE]],$N$62,$O$62,FALSE)</calculatedColumnFormula>
    </tableColumn>
  </tableColumns>
  <tableStyleInfo name="TableStyleMedium6" showFirstColumn="0" showLastColumn="0" showRowStripes="1" showColumnStripes="0"/>
</table>
</file>

<file path=xl/tables/table3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1" xr:uid="{9D5BB932-42B8-48A3-B253-5920E3B91D52}" name="Tablo3" displayName="Tablo3" ref="C4:V34" totalsRowShown="0" headerRowDxfId="174" tableBorderDxfId="173">
  <autoFilter ref="C4:V34" xr:uid="{5F48C87D-7E2D-4EBF-9C66-2787BCE67361}"/>
  <sortState xmlns:xlrd2="http://schemas.microsoft.com/office/spreadsheetml/2017/richdata2" ref="C5:V34">
    <sortCondition descending="1" ref="K4:K34"/>
  </sortState>
  <tableColumns count="20">
    <tableColumn id="1" xr3:uid="{17B6486F-F3CD-42BB-AE4D-55590878FA88}" name="Student No" dataDxfId="172"/>
    <tableColumn id="2" xr3:uid="{4956D83E-4E7F-4F13-90EB-D9CAB110F999}" name="Name" dataDxfId="171"/>
    <tableColumn id="3" xr3:uid="{8CE33834-3F13-40B3-A14E-38528291A026}" name="Surname" dataDxfId="170"/>
    <tableColumn id="4" xr3:uid="{332B7713-AA0B-43FF-8A9E-BEFBEB2E66E0}" name="HW1"/>
    <tableColumn id="5" xr3:uid="{5AA1AF01-53AA-4DA5-95D3-6BCB583A075C}" name="HW2"/>
    <tableColumn id="6" xr3:uid="{F1F6B5AB-5D4C-433B-91BF-68282FECE3B7}" name="HW3"/>
    <tableColumn id="7" xr3:uid="{78091548-F70A-429D-9528-52BE2587E7B4}" name="HW4"/>
    <tableColumn id="8" xr3:uid="{0C7BA22C-EED6-4CE2-881B-A0D9C01C8067}" name="HW5"/>
    <tableColumn id="9" xr3:uid="{444E0B61-33B7-447E-95C8-5D05ADAEB464}" name="TOTAL" dataDxfId="169" dataCellStyle="İşaretli Hücre">
      <calculatedColumnFormula>(Tablo3[[#This Row],[HW1]]+Tablo3[[#This Row],[HW2]]+Tablo3[[#This Row],[HW3]]+Tablo3[[#This Row],[HW4]]+Tablo3[[#This Row],[HW5]])/5</calculatedColumnFormula>
    </tableColumn>
    <tableColumn id="10" xr3:uid="{FE125B4C-00E4-4769-A4B1-2BB220B7CDA1}" name="DÇ1" dataDxfId="168" dataCellStyle="İşaretli Hücre">
      <calculatedColumnFormula array="1">Tablo3[[#This Row],[HW1]]*$D$38/Tablo11[HW1]+Tablo3[[#This Row],[HW2]]*$E$38/Tablo11[HW2]+Tablo3[[#This Row],[HW3]]*$F$38/Tablo11[HW3]+Tablo3[[#This Row],[HW4]]*$G$38/Tablo11[HW4]+Tablo3[[#This Row],[HW5]]*$H$38/Tablo11[HW5]</calculatedColumnFormula>
    </tableColumn>
    <tableColumn id="11" xr3:uid="{772E6C4E-E2E9-45AB-8218-696135A5D9EA}" name="DÇ2" dataDxfId="167" dataCellStyle="İşaretli Hücre">
      <calculatedColumnFormula array="1">Tablo3[[#This Row],[HW1]]*$D$39/Tablo11[HW1]+Tablo3[[#This Row],[HW2]]*$E$39/Tablo11[HW2]+Tablo3[[#This Row],[HW3]]*$F$39/Tablo11[HW3]+Tablo3[[#This Row],[HW4]]*$G$39/Tablo11[HW4]+Tablo3[[#This Row],[HW5]]*$H$39/Tablo11[HW5]</calculatedColumnFormula>
    </tableColumn>
    <tableColumn id="12" xr3:uid="{2B40FDF9-EA73-4192-AA5A-8735A88FB647}" name="DÇ3" dataDxfId="166" dataCellStyle="İşaretli Hücre">
      <calculatedColumnFormula array="1">Tablo3[[#This Row],[HW1]]*$D$40/Tablo11[HW1]+Tablo3[[#This Row],[HW2]]*$E$40/Tablo11[HW2]+Tablo3[[#This Row],[HW3]]*$F$40/Tablo11[HW3]+Tablo3[[#This Row],[HW4]]*$G$40/Tablo11[HW4]+Tablo3[[#This Row],[HW5]]*$H$40/Tablo11[HW5]</calculatedColumnFormula>
    </tableColumn>
    <tableColumn id="13" xr3:uid="{9F0048A6-02F3-4E9E-AB39-6F59FC276728}" name="DÇ4" dataDxfId="165" dataCellStyle="İşaretli Hücre">
      <calculatedColumnFormula array="1">Tablo3[[#This Row],[HW1]]*$D$41/Tablo11[HW1]+Tablo3[[#This Row],[HW2]]*$E$41/Tablo11[HW2]+Tablo3[[#This Row],[HW3]]*$F$41/Tablo11[HW3]+Tablo3[[#This Row],[HW4]]*$G$41/Tablo11[HW4]+Tablo3[[#This Row],[HW5]]*$H$41/Tablo11[HW5]</calculatedColumnFormula>
    </tableColumn>
    <tableColumn id="14" xr3:uid="{DAAB5A0C-FB38-48C3-AB1D-6A051D4A6396}" name="DÇ5" dataDxfId="164" dataCellStyle="İşaretli Hücre">
      <calculatedColumnFormula array="1">Tablo3[[#This Row],[HW1]]*$D$42/Tablo11[HW1]+Tablo3[[#This Row],[HW2]]*$E$42/Tablo11[HW2]+Tablo3[[#This Row],[HW3]]*$F$42/Tablo11[HW3]+Tablo3[[#This Row],[HW4]]*$G$42/Tablo11[HW4]+Tablo3[[#This Row],[HW5]]*$H$42/Tablo11[HW5]</calculatedColumnFormula>
    </tableColumn>
    <tableColumn id="15" xr3:uid="{211BB445-B682-4C7F-A33B-393D206F9D8D}" name="DÇ6" dataDxfId="163" dataCellStyle="İşaretli Hücre">
      <calculatedColumnFormula array="1">Tablo3[[#This Row],[HW1]]*$D$43/Tablo11[HW1]+Tablo3[[#This Row],[HW2]]*$E$43/Tablo11[HW2]+Tablo3[[#This Row],[HW3]]*$F$43/Tablo11[HW3]+Tablo3[[#This Row],[HW4]]*$G$43/Tablo11[HW4]+Tablo3[[#This Row],[HW5]]*$H$43/Tablo11[HW5]</calculatedColumnFormula>
    </tableColumn>
    <tableColumn id="16" xr3:uid="{1AB018A1-9274-4AE4-A56A-408D334D433D}" name="DÇ7" dataDxfId="162" dataCellStyle="İşaretli Hücre">
      <calculatedColumnFormula array="1">Tablo3[[#This Row],[HW1]]*$D$44/Tablo11[HW1]+Tablo3[[#This Row],[HW2]]*$E$44/Tablo11[HW2]+Tablo3[[#This Row],[HW3]]*$F$44/Tablo11[HW3]+Tablo3[[#This Row],[HW4]]*$G$44/Tablo11[HW4]+Tablo3[[#This Row],[HW5]]*$H$44/Tablo11[HW5]</calculatedColumnFormula>
    </tableColumn>
    <tableColumn id="17" xr3:uid="{0B7F0F60-8358-4567-8310-7D3E0AE744A7}" name="DÇ8" dataDxfId="161" dataCellStyle="İşaretli Hücre">
      <calculatedColumnFormula array="1">Tablo3[[#This Row],[HW1]]*$D$45/Tablo11[HW1]+Tablo3[[#This Row],[HW2]]*$E$45/Tablo11[HW2]+Tablo3[[#This Row],[HW3]]*$F$45/Tablo11[HW3]+Tablo3[[#This Row],[HW4]]*$G$45/Tablo11[HW4]+Tablo3[[#This Row],[HW5]]*$H$45/Tablo11[HW5]</calculatedColumnFormula>
    </tableColumn>
    <tableColumn id="18" xr3:uid="{EFD10EE9-FB76-4037-A49B-6B8D4193C270}" name="DÇ9" dataDxfId="160" dataCellStyle="İşaretli Hücre">
      <calculatedColumnFormula array="1">Tablo3[[#This Row],[HW1]]*$D$46/Tablo11[HW1]+Tablo3[[#This Row],[HW2]]*$E$46/Tablo11[HW2]+Tablo3[[#This Row],[HW3]]*$F$46/Tablo11[HW3]+Tablo3[[#This Row],[HW4]]*$G$46/Tablo11[HW4]+Tablo3[[#This Row],[HW5]]*$H$46/Tablo11[HW5]</calculatedColumnFormula>
    </tableColumn>
    <tableColumn id="19" xr3:uid="{E74FCA63-99BE-48E7-87A1-9CA85153FBB7}" name="DÇ10" dataDxfId="159" dataCellStyle="İşaretli Hücre">
      <calculatedColumnFormula array="1">Tablo3[[#This Row],[HW1]]*$D$47/Tablo11[HW1]+Tablo3[[#This Row],[HW2]]*$E$47/Tablo11[HW2]+Tablo3[[#This Row],[HW3]]*$F$47/Tablo11[HW3]+Tablo3[[#This Row],[HW4]]*$G$47/Tablo11[HW4]+Tablo3[[#This Row],[HW5]]*$H$47/Tablo11[HW5]</calculatedColumnFormula>
    </tableColumn>
    <tableColumn id="20" xr3:uid="{2142D09F-5089-4E0A-9E3A-6E196578DA72}" name="TOT" dataDxfId="158" dataCellStyle="İşaretli Hücre">
      <calculatedColumnFormula>SUM(Tablo3[[#This Row],[DÇ1]:[DÇ10]])</calculatedColumnFormula>
    </tableColumn>
  </tableColumns>
  <tableStyleInfo name="TableStyleMedium6" showFirstColumn="0" showLastColumn="0" showRowStripes="1" showColumnStripes="0"/>
</table>
</file>

<file path=xl/tables/table3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2" xr:uid="{23265886-A2D0-4286-A36F-653B76DE8ED0}" name="Tablo415" displayName="Tablo415" ref="M37:N47" totalsRowShown="0">
  <autoFilter ref="M37:N47" xr:uid="{6A1B2EA3-82E5-4319-AAFF-D9FCD741E90D}">
    <filterColumn colId="0" hiddenButton="1"/>
    <filterColumn colId="1" hiddenButton="1"/>
  </autoFilter>
  <tableColumns count="2">
    <tableColumn id="1" xr3:uid="{EE97B7C8-F896-49B3-8FC7-208B9005CE7E}" name="DERS ÇIKTILARI" dataDxfId="157"/>
    <tableColumn id="2" xr3:uid="{3B8399DD-B620-47D9-9F89-F950F38205C0}" name="DERS ÇIKTISI ADI" dataDxfId="156">
      <calculatedColumnFormula>MAIN!R51</calculatedColumnFormula>
    </tableColumn>
  </tableColumns>
  <tableStyleInfo name="TableStyleMedium3" showFirstColumn="0" showLastColumn="0" showRowStripes="1" showColumnStripes="0"/>
</table>
</file>

<file path=xl/tables/table3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3" xr:uid="{08A25BC8-350A-47A5-885F-517BB4600E41}" name="Tablo15" displayName="Tablo15" ref="W4:W34" totalsRowShown="0" headerRowDxfId="155" dataCellStyle="İşaretli Hücre">
  <autoFilter ref="W4:W34" xr:uid="{C692B30A-24DB-48A3-A891-000932C144AE}">
    <filterColumn colId="0" hiddenButton="1"/>
  </autoFilter>
  <tableColumns count="1">
    <tableColumn id="1" xr3:uid="{E7BA7C7A-DB16-4826-9481-CA58DBAEFDB4}" name="Normal Dist." dataCellStyle="İşaretli Hücre">
      <calculatedColumnFormula>_xlfn.NORM.DIST(Tablo3[[#This Row],[TOTAL]],$M$60,$N$60,FALSE)</calculatedColumnFormula>
    </tableColumn>
  </tableColumns>
  <tableStyleInfo name="TableStyleMedium6" showFirstColumn="0" showLastColumn="0" showRowStripes="1" showColumnStripes="0"/>
</table>
</file>

<file path=xl/tables/table3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4" xr:uid="{2C452CF7-6153-4B32-B5AE-DE7418B1B292}" name="Tablo5" displayName="Tablo5" ref="M59:N60" totalsRowShown="0" headerRowDxfId="154" dataDxfId="153">
  <autoFilter ref="M59:N60" xr:uid="{4CEC3AA9-BB35-4FDD-9D0A-3D3FB432F4CC}">
    <filterColumn colId="0" hiddenButton="1"/>
    <filterColumn colId="1" hiddenButton="1"/>
  </autoFilter>
  <tableColumns count="2">
    <tableColumn id="1" xr3:uid="{EA4A0373-82E0-496B-8904-02EEEE53FD97}" name="MEAN" dataDxfId="152">
      <calculatedColumnFormula>AVERAGE(Tablo3[TOTAL])</calculatedColumnFormula>
    </tableColumn>
    <tableColumn id="2" xr3:uid="{223F0CD6-CB1E-4D7C-A810-E6BBFA1FDE73}" name="VARIANCE" dataDxfId="151">
      <calculatedColumnFormula>_xlfn.STDEV.P(Tablo3[TOTAL])</calculatedColumnFormula>
    </tableColumn>
  </tableColumns>
  <tableStyleInfo name="TableStyleMedium3" showFirstColumn="0" showLastColumn="0" showRowStripes="1" showColumnStripes="0"/>
</table>
</file>

<file path=xl/tables/table3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5" xr:uid="{4B605F95-93D5-4B3A-89EE-9FAB6240C606}" name="Tablo163719" displayName="Tablo163719" ref="C37:K47" totalsRowShown="0">
  <autoFilter ref="C37:K47" xr:uid="{BD66FC37-911E-4F42-B3EB-5F56AC417542}"/>
  <tableColumns count="9">
    <tableColumn id="1" xr3:uid="{389C3D81-D8F8-4C62-BF50-A2B9C655F038}" name="Ders Çıktıları" dataDxfId="150"/>
    <tableColumn id="2" xr3:uid="{F6D61159-756C-485F-B846-D984ED0331F3}" name="HW1" dataDxfId="149">
      <calculatedColumnFormula>SUM(#REF!)</calculatedColumnFormula>
    </tableColumn>
    <tableColumn id="3" xr3:uid="{6C9A1EF2-6D51-4DC4-9425-A25BA33A16C2}" name="HW2" dataDxfId="148"/>
    <tableColumn id="4" xr3:uid="{CCB7C344-02FE-4908-BDED-2294D6ED2770}" name="HW3" dataDxfId="147"/>
    <tableColumn id="5" xr3:uid="{2B87C0E2-39D4-411E-AE49-7BD6AA2F5CB6}" name="HW4" dataDxfId="146"/>
    <tableColumn id="6" xr3:uid="{26C9AF80-BAA6-4C45-ACA2-651220E1CDD1}" name="HW5" dataDxfId="145"/>
    <tableColumn id="9" xr3:uid="{42C0F27A-6C1A-4D56-8DA5-0CE69A2B56D8}" name="TOPLAM" dataDxfId="144" dataCellStyle="İşaretli Hücre">
      <calculatedColumnFormula>SUM(Tablo163719[[#This Row],[HW1]:[HW5]])</calculatedColumnFormula>
    </tableColumn>
    <tableColumn id="10" xr3:uid="{D0AB5FF4-E319-417E-B989-A3757E330CC3}" name="TOTAL DÇ" dataDxfId="143" dataCellStyle="İşaretli Hücre"/>
    <tableColumn id="11" xr3:uid="{78FD399C-47A5-4371-A43C-DEF70313C2B4}" name="CONTRIBUTION" dataDxfId="142" dataCellStyle="İşaretli Hücre">
      <calculatedColumnFormula>$J38*Tablo163719[[#This Row],[TOPLAM]]</calculatedColumnFormula>
    </tableColumn>
  </tableColumns>
  <tableStyleInfo name="TableStyleMedium6" showFirstColumn="0" showLastColumn="0" showRowStripes="1" showColumnStripes="0"/>
</table>
</file>

<file path=xl/tables/table3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6" xr:uid="{256F6877-64D9-4CF6-A4FD-CBEFA2BE4779}" name="Tablo11" displayName="Tablo11" ref="P37:U38" totalsRowShown="0" headerRowDxfId="141" dataDxfId="140">
  <autoFilter ref="P37:U38" xr:uid="{30DDF577-6D29-4192-BD1D-A1605310E746}">
    <filterColumn colId="0" hiddenButton="1"/>
    <filterColumn colId="1" hiddenButton="1"/>
    <filterColumn colId="2" hiddenButton="1"/>
    <filterColumn colId="3" hiddenButton="1"/>
    <filterColumn colId="4" hiddenButton="1"/>
    <filterColumn colId="5" hiddenButton="1"/>
  </autoFilter>
  <tableColumns count="6">
    <tableColumn id="1" xr3:uid="{129ACC9D-13F2-47E9-9F83-EC2103436088}" name="HW1" dataDxfId="139"/>
    <tableColumn id="2" xr3:uid="{B3E7C52A-CECC-4762-8291-B59E4C8ED17A}" name="HW2" dataDxfId="138"/>
    <tableColumn id="3" xr3:uid="{CE1BEDA6-9001-4ECC-88A0-42092DCBC44E}" name="HW3" dataDxfId="137"/>
    <tableColumn id="4" xr3:uid="{A291F2FC-309C-4E80-951F-A06DE2D68AC0}" name="HW4" dataDxfId="136"/>
    <tableColumn id="5" xr3:uid="{7B285052-F8D8-4612-AF0B-5054F57B3D51}" name="HW5" dataDxfId="135"/>
    <tableColumn id="6" xr3:uid="{94583737-BF5C-4E7E-BB38-9B97D7E63491}" name="TOTAL" dataDxfId="134">
      <calculatedColumnFormula>SUM(P38,Q38,R38,S38,T38)</calculatedColumnFormula>
    </tableColumn>
  </tableColumns>
  <tableStyleInfo name="TableStyleDark6" showFirstColumn="0" showLastColumn="0" showRowStripes="1" showColumnStripes="0"/>
</table>
</file>

<file path=xl/tables/table3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7" xr:uid="{C8E3123D-05C0-4B13-8BBF-048C35B29B87}" name="Tablo314" displayName="Tablo314" ref="C4:AE34" totalsRowShown="0" headerRowDxfId="133" tableBorderDxfId="132">
  <autoFilter ref="C4:AE34" xr:uid="{0F5C66F6-7459-4C10-9C64-C8DA4D698F11}"/>
  <sortState xmlns:xlrd2="http://schemas.microsoft.com/office/spreadsheetml/2017/richdata2" ref="C5:AE34">
    <sortCondition descending="1" ref="T4:T34"/>
  </sortState>
  <tableColumns count="29">
    <tableColumn id="1" xr3:uid="{DEE56629-8417-4F27-BAE4-8E43B2F96F2A}" name="Student No" dataDxfId="131"/>
    <tableColumn id="2" xr3:uid="{0A5B72DF-9176-455C-94A4-4CFE3089D16D}" name="Name" dataDxfId="130"/>
    <tableColumn id="3" xr3:uid="{21647BA4-C3DB-4500-9642-99D31B2D6CDC}" name="Surname" dataDxfId="129"/>
    <tableColumn id="4" xr3:uid="{00C1A2A2-5BAE-4753-A38D-3D3ED6C142D6}" name="LW1"/>
    <tableColumn id="5" xr3:uid="{C615585F-30E1-4425-B5E9-0D7C74C8DE43}" name="LW2"/>
    <tableColumn id="6" xr3:uid="{45C9E3E9-8C15-4FFC-9C9E-A9955AB8DC22}" name="LW3"/>
    <tableColumn id="7" xr3:uid="{44CF53CF-6D73-41BE-AA8B-5EE185714A9A}" name="LW4"/>
    <tableColumn id="8" xr3:uid="{DC0430CE-8967-402D-B595-B4100DEA39AB}" name="LW5"/>
    <tableColumn id="9" xr3:uid="{236553C6-13DD-4A9E-93D3-1093F067E1DE}" name="LW6"/>
    <tableColumn id="10" xr3:uid="{FCD76AEC-1881-47B2-BA77-080B08BAFED1}" name="LW7"/>
    <tableColumn id="11" xr3:uid="{F055D927-D975-4041-A0EC-6E2D65BC7C31}" name="LW8"/>
    <tableColumn id="12" xr3:uid="{B5618F5B-6C26-4BE7-A978-0E53795D65C7}" name="LW9"/>
    <tableColumn id="13" xr3:uid="{06651CD8-A946-487C-A532-317BBB5C4C89}" name="LW10"/>
    <tableColumn id="14" xr3:uid="{5762AF89-B63C-41A0-8892-6D27BE9281AD}" name="LW11"/>
    <tableColumn id="15" xr3:uid="{6B3B1B38-7F5D-47BC-BF11-A709BB12F631}" name="LW12"/>
    <tableColumn id="16" xr3:uid="{B4BE0D44-D955-49BA-9DC3-74B5CB93CF28}" name="LW13"/>
    <tableColumn id="17" xr3:uid="{F338FD67-2CE2-4FBA-9E57-FFB6F61ED547}" name="LW14"/>
    <tableColumn id="18" xr3:uid="{FA4BC331-1259-4B23-8B0B-D81AA618C067}" name="TOTAL" dataDxfId="128" dataCellStyle="İşaretli Hücre">
      <calculatedColumnFormula>SUM(Tablo314[[#This Row],[LW1]:[LW14]])</calculatedColumnFormula>
    </tableColumn>
    <tableColumn id="19" xr3:uid="{2176471D-5DAF-4602-B948-F970F1C61D53}" name="DÇ1" dataDxfId="127" dataCellStyle="İşaretli Hücre">
      <calculatedColumnFormula array="1">F5/Tablo27[LW1]*$C$40+Tablo314[[#This Row],[LW2]]/Tablo27[LW2]*$D$40+Tablo314[[#This Row],[LW3]]/Tablo27[LW3]*$E$40+Tablo314[[#This Row],[LW4]]/Tablo27[LW4]*$F$40+Tablo314[[#This Row],[LW5]]/Tablo27[LW5]*$G$40+Tablo314[[#This Row],[LW6]]/Tablo27[LW6]*$H$40+Tablo314[[#This Row],[LW7]]/Tablo27[LW7]*$I$40+Tablo314[[#This Row],[LW8]]/Tablo27[LW8]*$J$40+Tablo314[[#This Row],[LW9]]/Tablo27[LW9]*$K$40+Tablo314[[#This Row],[LW10]]/Tablo27[LW10]*$L$40+Tablo314[[#This Row],[LW11]]/Tablo27[LW11]*$M$40+Tablo314[[#This Row],[LW12]]/Tablo27[LW12]*$N$40+Tablo314[[#This Row],[LW13]]/Tablo27[LW13]*$O$40+Tablo314[[#This Row],[LW14]]/Tablo27[LW14]*$P$40</calculatedColumnFormula>
    </tableColumn>
    <tableColumn id="20" xr3:uid="{F0EFAD34-9E01-4464-B96E-13AA054CAA78}" name="DÇ2" dataDxfId="126" dataCellStyle="İşaretli Hücre">
      <calculatedColumnFormula array="1">F5/Tablo27[LW1]*$C$41+Tablo314[[#This Row],[LW2]]/Tablo27[LW2]*$D$41+Tablo314[[#This Row],[LW3]]/Tablo27[LW3]*$E$41+Tablo314[[#This Row],[LW4]]/Tablo27[LW4]*$F$41+Tablo314[[#This Row],[LW5]]/Tablo27[LW5]*$G$41+Tablo314[[#This Row],[LW6]]/Tablo27[LW6]*$H$41+Tablo314[[#This Row],[LW7]]/Tablo27[LW7]*$I$41+Tablo314[[#This Row],[LW8]]/Tablo27[LW8]*$J$41+Tablo314[[#This Row],[LW9]]/Tablo27[LW9]*$K$41+Tablo314[[#This Row],[LW10]]/Tablo27[LW10]*$L$41+Tablo314[[#This Row],[LW11]]/Tablo27[LW11]*$M$41+Tablo314[[#This Row],[LW12]]/Tablo27[LW12]*$N$41+Tablo314[[#This Row],[LW13]]/Tablo27[LW13]*$O$41+Tablo314[[#This Row],[LW14]]/Tablo27[LW14]*$P$41</calculatedColumnFormula>
    </tableColumn>
    <tableColumn id="21" xr3:uid="{058FE2E7-1DAA-45E3-ACC7-2991611F004F}" name="DÇ3" dataDxfId="125" dataCellStyle="İşaretli Hücre">
      <calculatedColumnFormula array="1">F5/Tablo27[LW1]*$C$42+Tablo314[[#This Row],[LW2]]/Tablo27[LW2]*$D$42+Tablo314[[#This Row],[LW3]]/Tablo27[LW3]*$E$42+Tablo314[[#This Row],[LW4]]/Tablo27[LW4]*$F$42+Tablo314[[#This Row],[LW5]]/Tablo27[LW5]*$G$42+Tablo314[[#This Row],[LW6]]/Tablo27[LW6]*$H$42+Tablo314[[#This Row],[LW7]]/Tablo27[LW7]*$I$42+Tablo314[[#This Row],[LW8]]/Tablo27[LW8]*$J$42+Tablo314[[#This Row],[LW9]]/Tablo27[LW9]*$K$42+Tablo314[[#This Row],[LW10]]/Tablo27[LW10]*$L$42+Tablo314[[#This Row],[LW11]]/Tablo27[LW11]*$M$42+Tablo314[[#This Row],[LW12]]/Tablo27[LW12]*$N$42+Tablo314[[#This Row],[LW13]]/Tablo27[LW13]*$O$42+Tablo314[[#This Row],[LW14]]/Tablo27[LW14]*$P$42</calculatedColumnFormula>
    </tableColumn>
    <tableColumn id="22" xr3:uid="{E7C4C6BC-84F5-4684-84F7-FDB8B2BD0DD0}" name="DÇ4" dataDxfId="124" dataCellStyle="İşaretli Hücre">
      <calculatedColumnFormula array="1">F5/Tablo27[LW1]*$C$43+Tablo314[[#This Row],[LW2]]/Tablo27[LW2]*$D$43+Tablo314[[#This Row],[LW3]]/Tablo27[LW3]*$E$43+Tablo314[[#This Row],[LW4]]/Tablo27[LW4]*$F$43+Tablo314[[#This Row],[LW5]]/Tablo27[LW5]*$G$43+Tablo314[[#This Row],[LW6]]/Tablo27[LW6]*$H$43+Tablo314[[#This Row],[LW7]]/Tablo27[LW7]*$I$43+Tablo314[[#This Row],[LW8]]/Tablo27[LW8]*$J$43+Tablo314[[#This Row],[LW9]]/Tablo27[LW9]*$K$43+Tablo314[[#This Row],[LW10]]/Tablo27[LW10]*$L$43+Tablo314[[#This Row],[LW11]]/Tablo27[LW11]*$M$43+Tablo314[[#This Row],[LW12]]/Tablo27[LW12]*$N$43+Tablo314[[#This Row],[LW13]]/Tablo27[LW13]*$O$43+Tablo314[[#This Row],[LW14]]/Tablo27[LW14]*$P$43</calculatedColumnFormula>
    </tableColumn>
    <tableColumn id="23" xr3:uid="{2095B71A-B868-4059-B9FA-88AB5DFC36E3}" name="DÇ5" dataDxfId="123" dataCellStyle="İşaretli Hücre">
      <calculatedColumnFormula array="1">F5/Tablo27[LW1]*$C$44+Tablo314[[#This Row],[LW2]]/Tablo27[LW2]*$D$44+Tablo314[[#This Row],[LW3]]/Tablo27[LW3]*$E$44+Tablo314[[#This Row],[LW4]]/Tablo27[LW4]*$F$44+Tablo314[[#This Row],[LW5]]/Tablo27[LW5]*$G$44+Tablo314[[#This Row],[LW6]]/Tablo27[LW6]*$H$44+Tablo314[[#This Row],[LW7]]/Tablo27[LW7]*$I$44+Tablo314[[#This Row],[LW8]]/Tablo27[LW8]*$J$44+Tablo314[[#This Row],[LW9]]/Tablo27[LW9]*$K$44+Tablo314[[#This Row],[LW10]]/Tablo27[LW10]*$L$44+Tablo314[[#This Row],[LW11]]/Tablo27[LW11]*$M$44+Tablo314[[#This Row],[LW12]]/Tablo27[LW12]*$N$44+Tablo314[[#This Row],[LW13]]/Tablo27[LW13]*$O$44+Tablo314[[#This Row],[LW14]]/Tablo27[LW14]*$P$44</calculatedColumnFormula>
    </tableColumn>
    <tableColumn id="24" xr3:uid="{6C4FA31A-0C45-46D7-B0E2-968A482AE913}" name="DÇ6" dataDxfId="122" dataCellStyle="İşaretli Hücre">
      <calculatedColumnFormula array="1">F5/Tablo27[LW1]*$C$45+Tablo314[[#This Row],[LW2]]/Tablo27[LW2]*$D$45+Tablo314[[#This Row],[LW3]]/Tablo27[LW3]*$E$45+Tablo314[[#This Row],[LW4]]/Tablo27[LW4]*$F$45+Tablo314[[#This Row],[LW5]]/Tablo27[LW5]*$G$45+Tablo314[[#This Row],[LW6]]/Tablo27[LW6]*$H$45+Tablo314[[#This Row],[LW7]]/Tablo27[LW7]*$I$45+Tablo314[[#This Row],[LW8]]/Tablo27[LW8]*$J$45+Tablo314[[#This Row],[LW9]]/Tablo27[LW9]*$K$45+Tablo314[[#This Row],[LW10]]/Tablo27[LW10]*$L$45+Tablo314[[#This Row],[LW11]]/Tablo27[LW11]*$M$45+Tablo314[[#This Row],[LW12]]/Tablo27[LW12]*$N$45+Tablo314[[#This Row],[LW13]]/Tablo27[LW13]*$O$45+Tablo314[[#This Row],[LW14]]/Tablo27[LW14]*$P$45</calculatedColumnFormula>
    </tableColumn>
    <tableColumn id="25" xr3:uid="{C5621AFA-93ED-427E-8F29-A65771A61A3D}" name="DÇ7" dataDxfId="121" dataCellStyle="İşaretli Hücre">
      <calculatedColumnFormula array="1">F5/Tablo27[LW1]*$C$46+Tablo314[[#This Row],[LW2]]/Tablo27[LW2]*$D$46+Tablo314[[#This Row],[LW3]]/Tablo27[LW3]*$E$46+Tablo314[[#This Row],[LW4]]/Tablo27[LW4]*$F$46+Tablo314[[#This Row],[LW5]]/Tablo27[LW5]*$G$46+Tablo314[[#This Row],[LW6]]/Tablo27[LW6]*$H$46+Tablo314[[#This Row],[LW7]]/Tablo27[LW7]*$I$46+Tablo314[[#This Row],[LW8]]/Tablo27[LW8]*$J$46+Tablo314[[#This Row],[LW9]]/Tablo27[LW9]*$K$46+Tablo314[[#This Row],[LW10]]/Tablo27[LW10]*$L$46+Tablo314[[#This Row],[LW11]]/Tablo27[LW11]*$M$46+Tablo314[[#This Row],[LW12]]/Tablo27[LW12]*$N$46+Tablo314[[#This Row],[LW13]]/Tablo27[LW13]*$O$46+Tablo314[[#This Row],[LW14]]/Tablo27[LW14]*$P$46</calculatedColumnFormula>
    </tableColumn>
    <tableColumn id="26" xr3:uid="{1A3B5799-8A99-4B71-9B70-58145F33331F}" name="DÇ8" dataDxfId="120" dataCellStyle="İşaretli Hücre">
      <calculatedColumnFormula array="1">F5/Tablo27[LW1]*$C$47+Tablo314[[#This Row],[LW2]]/Tablo27[LW2]*$D$47+Tablo314[[#This Row],[LW3]]/Tablo27[LW3]*$E$47+Tablo314[[#This Row],[LW4]]/Tablo27[LW4]*$F$47+Tablo314[[#This Row],[LW5]]/Tablo27[LW5]*$G$47+Tablo314[[#This Row],[LW6]]/Tablo27[LW6]*$H$47+Tablo314[[#This Row],[LW7]]/Tablo27[LW7]*$I$47+Tablo314[[#This Row],[LW8]]/Tablo27[LW8]*$J$47+Tablo314[[#This Row],[LW9]]/Tablo27[LW9]*$K$47+Tablo314[[#This Row],[LW10]]/Tablo27[LW10]*$L$47+Tablo314[[#This Row],[LW11]]/Tablo27[LW11]*$M$47+Tablo314[[#This Row],[LW12]]/Tablo27[LW12]*$N$47+Tablo314[[#This Row],[LW13]]/Tablo27[LW13]*$O$47+Tablo314[[#This Row],[LW14]]/Tablo27[LW14]*$P$47</calculatedColumnFormula>
    </tableColumn>
    <tableColumn id="27" xr3:uid="{3A013646-DAC8-4399-8030-5ED11642A229}" name="DÇ9" dataDxfId="119" dataCellStyle="İşaretli Hücre">
      <calculatedColumnFormula array="1">F5/Tablo27[LW1]*$C$48+Tablo314[[#This Row],[LW2]]/Tablo27[LW2]*$D$48+Tablo314[[#This Row],[LW3]]/Tablo27[LW3]*$E$48+Tablo314[[#This Row],[LW4]]/Tablo27[LW4]*$F$48+Tablo314[[#This Row],[LW5]]/Tablo27[LW5]*$G$48+Tablo314[[#This Row],[LW6]]/Tablo27[LW6]*$H$48+Tablo314[[#This Row],[LW7]]/Tablo27[LW7]*$I$48+Tablo314[[#This Row],[LW8]]/Tablo27[LW8]*$J$48+Tablo314[[#This Row],[LW9]]/Tablo27[LW9]*$K$48+Tablo314[[#This Row],[LW10]]/Tablo27[LW10]*$L$48+Tablo314[[#This Row],[LW11]]/Tablo27[LW11]*$M$48+Tablo314[[#This Row],[LW12]]/Tablo27[LW12]*$N$48+Tablo314[[#This Row],[LW13]]/Tablo27[LW13]*$O$48+Tablo314[[#This Row],[LW14]]/Tablo27[LW14]*$P$48</calculatedColumnFormula>
    </tableColumn>
    <tableColumn id="28" xr3:uid="{D412C1C8-8726-4976-BEFE-BB91557EF76E}" name="DÇ10" dataDxfId="118" dataCellStyle="İşaretli Hücre">
      <calculatedColumnFormula array="1">F5/Tablo27[LW1]*$C$49+Tablo314[[#This Row],[LW2]]/Tablo27[LW2]*$D$49+Tablo314[[#This Row],[LW3]]/Tablo27[LW3]*$E$49+Tablo314[[#This Row],[LW4]]/Tablo27[LW4]*$F$49+Tablo314[[#This Row],[LW5]]/Tablo27[LW5]*$G$49+Tablo314[[#This Row],[LW6]]/Tablo27[LW6]*$H$49+Tablo314[[#This Row],[LW7]]/Tablo27[LW7]*$I$49+Tablo314[[#This Row],[LW8]]/Tablo27[LW8]*$J$49+Tablo314[[#This Row],[LW9]]/Tablo27[LW9]*$K$49+Tablo314[[#This Row],[LW10]]/Tablo27[LW10]*$L$49+Tablo314[[#This Row],[LW11]]/Tablo27[LW11]*$M$49+Tablo314[[#This Row],[LW12]]/Tablo27[LW12]*$N$49+Tablo314[[#This Row],[LW13]]/Tablo27[LW13]*$O$49+Tablo314[[#This Row],[LW14]]/Tablo27[LW14]*$P$49</calculatedColumnFormula>
    </tableColumn>
    <tableColumn id="29" xr3:uid="{C147A6BC-ECA6-4B2D-A95F-75EDEAEBD072}" name="TOTAL2" dataDxfId="117" dataCellStyle="İşaretli Hücre">
      <calculatedColumnFormula>SUM(Tablo314[[#This Row],[DÇ1]],Tablo314[[#This Row],[DÇ2]],Tablo314[[#This Row],[DÇ3]],Tablo314[[#This Row],[DÇ4]])</calculatedColumnFormula>
    </tableColumn>
  </tableColumns>
  <tableStyleInfo name="TableStyleMedium6" showFirstColumn="0" showLastColumn="0" showRowStripes="1" showColumnStripes="0"/>
</table>
</file>

<file path=xl/tables/table3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8" xr:uid="{DA20A6B9-3882-4644-8B8D-75DB42BF9C9E}" name="Tablo41525" displayName="Tablo41525" ref="U39:V49" totalsRowShown="0">
  <autoFilter ref="U39:V49" xr:uid="{46882393-E710-4AC0-87C9-509A90594C80}">
    <filterColumn colId="0" hiddenButton="1"/>
    <filterColumn colId="1" hiddenButton="1"/>
  </autoFilter>
  <tableColumns count="2">
    <tableColumn id="1" xr3:uid="{A8844B55-B272-4927-88E3-99A2A1A6D01A}" name="DERS ÇIKTILARI" dataDxfId="116"/>
    <tableColumn id="2" xr3:uid="{726C0A73-2630-433C-8F11-FCDA71817C69}" name="DERS ÇIKTISI ADI" dataDxfId="115">
      <calculatedColumnFormula>MAIN!R51</calculatedColumnFormula>
    </tableColumn>
  </tableColumns>
  <tableStyleInfo name="TableStyleMedium3" showFirstColumn="0" showLastColumn="0" showRowStripes="1" showColumnStripes="0"/>
</table>
</file>

<file path=xl/tables/table3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9" xr:uid="{AAA680C6-7E98-41A8-99AE-032FB4FA87DD}" name="Tablo26" displayName="Tablo26" ref="B39:S49" totalsRowShown="0" headerRowDxfId="114">
  <autoFilter ref="B39:S49" xr:uid="{2AFA98F5-E4D6-4F77-9978-F40AED7179CB}"/>
  <tableColumns count="18">
    <tableColumn id="1" xr3:uid="{2D6BFD49-B4C6-474C-8A2A-0B4DE8F2C247}" name="Ders Çıktıları"/>
    <tableColumn id="2" xr3:uid="{356AD74C-1393-4018-8B9D-C2291644849C}" name="LW1"/>
    <tableColumn id="3" xr3:uid="{B6268DA4-999F-4622-86C2-B887CC14886D}" name="LW2"/>
    <tableColumn id="4" xr3:uid="{F4CF640A-82AA-4124-BA2C-F55011CAD65D}" name="LW3"/>
    <tableColumn id="5" xr3:uid="{A3487AD6-49A6-47DB-B507-249DF834C200}" name="LW4"/>
    <tableColumn id="6" xr3:uid="{F1267272-C112-4D32-8B6A-642667C61DAE}" name="LW5"/>
    <tableColumn id="7" xr3:uid="{CBA845C1-860D-4122-93CE-30EE17209A9D}" name="LW6"/>
    <tableColumn id="8" xr3:uid="{03486D3D-93D5-49DD-9339-AB40199D2A66}" name="LW7"/>
    <tableColumn id="9" xr3:uid="{32AB4D08-6D71-4BF9-90F0-949B9A8E517C}" name="LW8"/>
    <tableColumn id="10" xr3:uid="{73B8192D-F002-44FC-8089-6B9A4AD859E7}" name="LW9"/>
    <tableColumn id="11" xr3:uid="{61FB4FD2-240B-4136-9FC3-16CC77FD8CA0}" name="LW10"/>
    <tableColumn id="12" xr3:uid="{14846DC2-0286-4405-A546-8D83A849FEBE}" name="LW11"/>
    <tableColumn id="13" xr3:uid="{B1161E2B-C554-434D-A729-8678C1A2808B}" name="LW12"/>
    <tableColumn id="14" xr3:uid="{18F51427-F0C0-40C2-A3B7-AD5E33E49C4C}" name="LW13"/>
    <tableColumn id="15" xr3:uid="{D55006A6-E2C0-42ED-9813-1D8B52DD3E0A}" name="LW14"/>
    <tableColumn id="16" xr3:uid="{42122BE7-BF2D-48AD-B596-C65B7B2997D0}" name="TOPLAM" dataDxfId="113" dataCellStyle="İşaretli Hücre">
      <calculatedColumnFormula>SUM(Tablo26[[#This Row],[LW1]:[LW14]])</calculatedColumnFormula>
    </tableColumn>
    <tableColumn id="17" xr3:uid="{893595A0-A9D3-4FA1-B343-A2FD6A4579F7}" name="TOTAL DÇ" dataDxfId="112" dataCellStyle="İşaretli Hücre">
      <calculatedColumnFormula>IF(Q40=0,"0",SUM(Tablo314[DÇ1])/(30*Q40))</calculatedColumnFormula>
    </tableColumn>
    <tableColumn id="18" xr3:uid="{D501AD56-422F-44C5-A848-1F559174A6E6}" name="CONTRIBUTION" dataDxfId="111" dataCellStyle="İşaretli Hücre">
      <calculatedColumnFormula>Tablo26[[#This Row],[TOTAL DÇ]]*Q40</calculatedColumnFormula>
    </tableColumn>
  </tableColumns>
  <tableStyleInfo name="TableStyleMedium6" showFirstColumn="0" showLastColumn="0" showRowStripes="1" showColumnStripes="0"/>
</table>
</file>

<file path=xl/tables/table4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0" xr:uid="{A0A17DFE-0E9D-4CA2-A09C-5FCEE7F62A8C}" name="Tablo27" displayName="Tablo27" ref="B36:Q37" totalsRowShown="0">
  <autoFilter ref="B36:Q37" xr:uid="{65AFC5A6-CAFA-419E-A2AA-A843B6D3758F}"/>
  <tableColumns count="16">
    <tableColumn id="1" xr3:uid="{11BAB46A-4399-44AD-AADA-32CA93960715}" name="-"/>
    <tableColumn id="2" xr3:uid="{CA1F9736-AF69-4C03-BA31-DD352D33D932}" name="LW1"/>
    <tableColumn id="3" xr3:uid="{D7874FE8-A30B-4FA1-9AA6-96AE4BD92AD4}" name="LW2"/>
    <tableColumn id="4" xr3:uid="{0BE2CB39-4C58-4C77-A571-C0FF502ABC34}" name="LW3"/>
    <tableColumn id="5" xr3:uid="{6FB6A3AB-9F7F-4F37-B24D-2B7959B2DBD6}" name="LW4"/>
    <tableColumn id="6" xr3:uid="{56215BA1-E877-4C0E-93DE-E9F9573D73BF}" name="LW5" dataDxfId="110"/>
    <tableColumn id="7" xr3:uid="{03E15068-1602-4099-9C73-FD38366B9512}" name="LW6" dataDxfId="109"/>
    <tableColumn id="8" xr3:uid="{12710D6B-20E0-4CDB-A2EC-85E54A9F305E}" name="LW7" dataDxfId="108"/>
    <tableColumn id="9" xr3:uid="{78E6DAD4-9F38-4958-93A2-1FB4C365E14B}" name="LW8" dataDxfId="107"/>
    <tableColumn id="10" xr3:uid="{76D9E86F-3A01-407F-8F47-56FF9B94B0E9}" name="LW9" dataDxfId="106"/>
    <tableColumn id="11" xr3:uid="{0ABFBEC1-EF9D-4F91-B111-78C15E9E787D}" name="LW10" dataDxfId="105"/>
    <tableColumn id="12" xr3:uid="{9A41256F-1612-4840-A5CF-9BBD6C597FF7}" name="LW11" dataDxfId="104"/>
    <tableColumn id="13" xr3:uid="{5771BF57-97D2-41C8-AA08-BE001B655A79}" name="LW12" dataDxfId="103"/>
    <tableColumn id="14" xr3:uid="{7ECE7E44-1595-4049-BA65-C8E545C5AC41}" name="LW13" dataDxfId="102"/>
    <tableColumn id="15" xr3:uid="{23912025-6AD5-42E5-97D5-BA3159B58AA5}" name="LW14"/>
    <tableColumn id="16" xr3:uid="{AAE96D62-367F-4425-8BBA-F0BC4FC47592}" name="TOPLAM">
      <calculatedColumnFormula>SUM(Tablo27[[#This Row],[LW1]:[LW14]])</calculatedColumnFormula>
    </tableColumn>
  </tableColumns>
  <tableStyleInfo name="TableStyleDark6" showFirstColumn="0" showLastColumn="0" showRowStripes="1" showColumnStripes="0"/>
</table>
</file>

<file path=xl/tables/table4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1" xr:uid="{0166D018-250D-4819-BB70-A51908654FA9}" name="Tablo28" displayName="Tablo28" ref="AF4:AF34" totalsRowShown="0" headerRowDxfId="101" dataDxfId="100" dataCellStyle="İşaretli Hücre">
  <autoFilter ref="AF4:AF34" xr:uid="{DEF6F60C-97C6-4D42-B9FD-C3AFFB79406B}"/>
  <tableColumns count="1">
    <tableColumn id="1" xr3:uid="{0EC9725B-9E00-44F3-991B-68EAC0B49A24}" name="Normal Dist." dataDxfId="99" dataCellStyle="İşaretli Hücre">
      <calculatedColumnFormula array="1">_xlfn.NORM.DIST(Tablo314[[#This Row],[TOTAL]],Tablo29[Mean],Tablo29[Variance],FALSE)</calculatedColumnFormula>
    </tableColumn>
  </tableColumns>
  <tableStyleInfo name="TableStyleMedium6" showFirstColumn="0" showLastColumn="0" showRowStripes="1" showColumnStripes="0"/>
</table>
</file>

<file path=xl/tables/table4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2" xr:uid="{8F744752-65EF-4052-BBBC-D1ED04A39953}" name="Tablo29" displayName="Tablo29" ref="O65:P66" totalsRowShown="0" headerRowDxfId="98">
  <autoFilter ref="O65:P66" xr:uid="{B7F0D9B6-9D3E-40C9-A264-2DCE8B24F58A}">
    <filterColumn colId="0" hiddenButton="1"/>
    <filterColumn colId="1" hiddenButton="1"/>
  </autoFilter>
  <tableColumns count="2">
    <tableColumn id="1" xr3:uid="{4D2AF352-B4D9-4D2F-A94C-4A03D62198F3}" name="Mean">
      <calculatedColumnFormula>AVERAGE(Tablo314[TOTAL])</calculatedColumnFormula>
    </tableColumn>
    <tableColumn id="2" xr3:uid="{70C33776-05AC-4F65-94AF-4400B8B1A145}" name="Variance">
      <calculatedColumnFormula>_xlfn.VAR.P(Tablo314[TOTAL])</calculatedColumnFormula>
    </tableColumn>
  </tableColumns>
  <tableStyleInfo name="TableStyleMedium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ctrlProp" Target="../ctrlProps/ctrlProp23.xml"/><Relationship Id="rId21" Type="http://schemas.openxmlformats.org/officeDocument/2006/relationships/ctrlProp" Target="../ctrlProps/ctrlProp18.xml"/><Relationship Id="rId42" Type="http://schemas.openxmlformats.org/officeDocument/2006/relationships/ctrlProp" Target="../ctrlProps/ctrlProp39.xml"/><Relationship Id="rId47" Type="http://schemas.openxmlformats.org/officeDocument/2006/relationships/ctrlProp" Target="../ctrlProps/ctrlProp44.xml"/><Relationship Id="rId63" Type="http://schemas.openxmlformats.org/officeDocument/2006/relationships/ctrlProp" Target="../ctrlProps/ctrlProp60.xml"/><Relationship Id="rId68" Type="http://schemas.openxmlformats.org/officeDocument/2006/relationships/ctrlProp" Target="../ctrlProps/ctrlProp65.xml"/><Relationship Id="rId84" Type="http://schemas.openxmlformats.org/officeDocument/2006/relationships/ctrlProp" Target="../ctrlProps/ctrlProp81.xml"/><Relationship Id="rId89" Type="http://schemas.openxmlformats.org/officeDocument/2006/relationships/ctrlProp" Target="../ctrlProps/ctrlProp86.xml"/><Relationship Id="rId16" Type="http://schemas.openxmlformats.org/officeDocument/2006/relationships/ctrlProp" Target="../ctrlProps/ctrlProp13.xml"/><Relationship Id="rId11" Type="http://schemas.openxmlformats.org/officeDocument/2006/relationships/ctrlProp" Target="../ctrlProps/ctrlProp8.xml"/><Relationship Id="rId32" Type="http://schemas.openxmlformats.org/officeDocument/2006/relationships/ctrlProp" Target="../ctrlProps/ctrlProp29.xml"/><Relationship Id="rId37" Type="http://schemas.openxmlformats.org/officeDocument/2006/relationships/ctrlProp" Target="../ctrlProps/ctrlProp34.xml"/><Relationship Id="rId53" Type="http://schemas.openxmlformats.org/officeDocument/2006/relationships/ctrlProp" Target="../ctrlProps/ctrlProp50.xml"/><Relationship Id="rId58" Type="http://schemas.openxmlformats.org/officeDocument/2006/relationships/ctrlProp" Target="../ctrlProps/ctrlProp55.xml"/><Relationship Id="rId74" Type="http://schemas.openxmlformats.org/officeDocument/2006/relationships/ctrlProp" Target="../ctrlProps/ctrlProp71.xml"/><Relationship Id="rId79" Type="http://schemas.openxmlformats.org/officeDocument/2006/relationships/ctrlProp" Target="../ctrlProps/ctrlProp76.xml"/><Relationship Id="rId5" Type="http://schemas.openxmlformats.org/officeDocument/2006/relationships/ctrlProp" Target="../ctrlProps/ctrlProp2.xml"/><Relationship Id="rId90" Type="http://schemas.openxmlformats.org/officeDocument/2006/relationships/table" Target="../tables/table1.xml"/><Relationship Id="rId95" Type="http://schemas.openxmlformats.org/officeDocument/2006/relationships/table" Target="../tables/table6.xml"/><Relationship Id="rId22" Type="http://schemas.openxmlformats.org/officeDocument/2006/relationships/ctrlProp" Target="../ctrlProps/ctrlProp19.xml"/><Relationship Id="rId27" Type="http://schemas.openxmlformats.org/officeDocument/2006/relationships/ctrlProp" Target="../ctrlProps/ctrlProp24.xml"/><Relationship Id="rId43" Type="http://schemas.openxmlformats.org/officeDocument/2006/relationships/ctrlProp" Target="../ctrlProps/ctrlProp40.xml"/><Relationship Id="rId48" Type="http://schemas.openxmlformats.org/officeDocument/2006/relationships/ctrlProp" Target="../ctrlProps/ctrlProp45.xml"/><Relationship Id="rId64" Type="http://schemas.openxmlformats.org/officeDocument/2006/relationships/ctrlProp" Target="../ctrlProps/ctrlProp61.xml"/><Relationship Id="rId69" Type="http://schemas.openxmlformats.org/officeDocument/2006/relationships/ctrlProp" Target="../ctrlProps/ctrlProp66.xml"/><Relationship Id="rId80" Type="http://schemas.openxmlformats.org/officeDocument/2006/relationships/ctrlProp" Target="../ctrlProps/ctrlProp77.xml"/><Relationship Id="rId85" Type="http://schemas.openxmlformats.org/officeDocument/2006/relationships/ctrlProp" Target="../ctrlProps/ctrlProp82.xml"/><Relationship Id="rId3" Type="http://schemas.openxmlformats.org/officeDocument/2006/relationships/vmlDrawing" Target="../drawings/vmlDrawing1.vml"/><Relationship Id="rId12" Type="http://schemas.openxmlformats.org/officeDocument/2006/relationships/ctrlProp" Target="../ctrlProps/ctrlProp9.xml"/><Relationship Id="rId17" Type="http://schemas.openxmlformats.org/officeDocument/2006/relationships/ctrlProp" Target="../ctrlProps/ctrlProp14.xml"/><Relationship Id="rId25" Type="http://schemas.openxmlformats.org/officeDocument/2006/relationships/ctrlProp" Target="../ctrlProps/ctrlProp22.xml"/><Relationship Id="rId33" Type="http://schemas.openxmlformats.org/officeDocument/2006/relationships/ctrlProp" Target="../ctrlProps/ctrlProp30.xml"/><Relationship Id="rId38" Type="http://schemas.openxmlformats.org/officeDocument/2006/relationships/ctrlProp" Target="../ctrlProps/ctrlProp35.xml"/><Relationship Id="rId46" Type="http://schemas.openxmlformats.org/officeDocument/2006/relationships/ctrlProp" Target="../ctrlProps/ctrlProp43.xml"/><Relationship Id="rId59" Type="http://schemas.openxmlformats.org/officeDocument/2006/relationships/ctrlProp" Target="../ctrlProps/ctrlProp56.xml"/><Relationship Id="rId67" Type="http://schemas.openxmlformats.org/officeDocument/2006/relationships/ctrlProp" Target="../ctrlProps/ctrlProp64.xml"/><Relationship Id="rId20" Type="http://schemas.openxmlformats.org/officeDocument/2006/relationships/ctrlProp" Target="../ctrlProps/ctrlProp17.xml"/><Relationship Id="rId41" Type="http://schemas.openxmlformats.org/officeDocument/2006/relationships/ctrlProp" Target="../ctrlProps/ctrlProp38.xml"/><Relationship Id="rId54" Type="http://schemas.openxmlformats.org/officeDocument/2006/relationships/ctrlProp" Target="../ctrlProps/ctrlProp51.xml"/><Relationship Id="rId62" Type="http://schemas.openxmlformats.org/officeDocument/2006/relationships/ctrlProp" Target="../ctrlProps/ctrlProp59.xml"/><Relationship Id="rId70" Type="http://schemas.openxmlformats.org/officeDocument/2006/relationships/ctrlProp" Target="../ctrlProps/ctrlProp67.xml"/><Relationship Id="rId75" Type="http://schemas.openxmlformats.org/officeDocument/2006/relationships/ctrlProp" Target="../ctrlProps/ctrlProp72.xml"/><Relationship Id="rId83" Type="http://schemas.openxmlformats.org/officeDocument/2006/relationships/ctrlProp" Target="../ctrlProps/ctrlProp80.xml"/><Relationship Id="rId88" Type="http://schemas.openxmlformats.org/officeDocument/2006/relationships/ctrlProp" Target="../ctrlProps/ctrlProp85.xml"/><Relationship Id="rId91" Type="http://schemas.openxmlformats.org/officeDocument/2006/relationships/table" Target="../tables/table2.xml"/><Relationship Id="rId96" Type="http://schemas.openxmlformats.org/officeDocument/2006/relationships/table" Target="../tables/table7.xml"/><Relationship Id="rId1" Type="http://schemas.openxmlformats.org/officeDocument/2006/relationships/printerSettings" Target="../printerSettings/printerSettings1.bin"/><Relationship Id="rId6" Type="http://schemas.openxmlformats.org/officeDocument/2006/relationships/ctrlProp" Target="../ctrlProps/ctrlProp3.xml"/><Relationship Id="rId15" Type="http://schemas.openxmlformats.org/officeDocument/2006/relationships/ctrlProp" Target="../ctrlProps/ctrlProp12.xml"/><Relationship Id="rId23" Type="http://schemas.openxmlformats.org/officeDocument/2006/relationships/ctrlProp" Target="../ctrlProps/ctrlProp20.xml"/><Relationship Id="rId28" Type="http://schemas.openxmlformats.org/officeDocument/2006/relationships/ctrlProp" Target="../ctrlProps/ctrlProp25.xml"/><Relationship Id="rId36" Type="http://schemas.openxmlformats.org/officeDocument/2006/relationships/ctrlProp" Target="../ctrlProps/ctrlProp33.xml"/><Relationship Id="rId49" Type="http://schemas.openxmlformats.org/officeDocument/2006/relationships/ctrlProp" Target="../ctrlProps/ctrlProp46.xml"/><Relationship Id="rId57" Type="http://schemas.openxmlformats.org/officeDocument/2006/relationships/ctrlProp" Target="../ctrlProps/ctrlProp54.xml"/><Relationship Id="rId10" Type="http://schemas.openxmlformats.org/officeDocument/2006/relationships/ctrlProp" Target="../ctrlProps/ctrlProp7.xml"/><Relationship Id="rId31" Type="http://schemas.openxmlformats.org/officeDocument/2006/relationships/ctrlProp" Target="../ctrlProps/ctrlProp28.xml"/><Relationship Id="rId44" Type="http://schemas.openxmlformats.org/officeDocument/2006/relationships/ctrlProp" Target="../ctrlProps/ctrlProp41.xml"/><Relationship Id="rId52" Type="http://schemas.openxmlformats.org/officeDocument/2006/relationships/ctrlProp" Target="../ctrlProps/ctrlProp49.xml"/><Relationship Id="rId60" Type="http://schemas.openxmlformats.org/officeDocument/2006/relationships/ctrlProp" Target="../ctrlProps/ctrlProp57.xml"/><Relationship Id="rId65" Type="http://schemas.openxmlformats.org/officeDocument/2006/relationships/ctrlProp" Target="../ctrlProps/ctrlProp62.xml"/><Relationship Id="rId73" Type="http://schemas.openxmlformats.org/officeDocument/2006/relationships/ctrlProp" Target="../ctrlProps/ctrlProp70.xml"/><Relationship Id="rId78" Type="http://schemas.openxmlformats.org/officeDocument/2006/relationships/ctrlProp" Target="../ctrlProps/ctrlProp75.xml"/><Relationship Id="rId81" Type="http://schemas.openxmlformats.org/officeDocument/2006/relationships/ctrlProp" Target="../ctrlProps/ctrlProp78.xml"/><Relationship Id="rId86" Type="http://schemas.openxmlformats.org/officeDocument/2006/relationships/ctrlProp" Target="../ctrlProps/ctrlProp83.xml"/><Relationship Id="rId94" Type="http://schemas.openxmlformats.org/officeDocument/2006/relationships/table" Target="../tables/table5.xml"/><Relationship Id="rId99" Type="http://schemas.openxmlformats.org/officeDocument/2006/relationships/table" Target="../tables/table10.xml"/><Relationship Id="rId4" Type="http://schemas.openxmlformats.org/officeDocument/2006/relationships/ctrlProp" Target="../ctrlProps/ctrlProp1.xml"/><Relationship Id="rId9" Type="http://schemas.openxmlformats.org/officeDocument/2006/relationships/ctrlProp" Target="../ctrlProps/ctrlProp6.xml"/><Relationship Id="rId13" Type="http://schemas.openxmlformats.org/officeDocument/2006/relationships/ctrlProp" Target="../ctrlProps/ctrlProp10.xml"/><Relationship Id="rId18" Type="http://schemas.openxmlformats.org/officeDocument/2006/relationships/ctrlProp" Target="../ctrlProps/ctrlProp15.xml"/><Relationship Id="rId39" Type="http://schemas.openxmlformats.org/officeDocument/2006/relationships/ctrlProp" Target="../ctrlProps/ctrlProp36.xml"/><Relationship Id="rId34" Type="http://schemas.openxmlformats.org/officeDocument/2006/relationships/ctrlProp" Target="../ctrlProps/ctrlProp31.xml"/><Relationship Id="rId50" Type="http://schemas.openxmlformats.org/officeDocument/2006/relationships/ctrlProp" Target="../ctrlProps/ctrlProp47.xml"/><Relationship Id="rId55" Type="http://schemas.openxmlformats.org/officeDocument/2006/relationships/ctrlProp" Target="../ctrlProps/ctrlProp52.xml"/><Relationship Id="rId76" Type="http://schemas.openxmlformats.org/officeDocument/2006/relationships/ctrlProp" Target="../ctrlProps/ctrlProp73.xml"/><Relationship Id="rId97" Type="http://schemas.openxmlformats.org/officeDocument/2006/relationships/table" Target="../tables/table8.xml"/><Relationship Id="rId7" Type="http://schemas.openxmlformats.org/officeDocument/2006/relationships/ctrlProp" Target="../ctrlProps/ctrlProp4.xml"/><Relationship Id="rId71" Type="http://schemas.openxmlformats.org/officeDocument/2006/relationships/ctrlProp" Target="../ctrlProps/ctrlProp68.xml"/><Relationship Id="rId92" Type="http://schemas.openxmlformats.org/officeDocument/2006/relationships/table" Target="../tables/table3.xml"/><Relationship Id="rId2" Type="http://schemas.openxmlformats.org/officeDocument/2006/relationships/drawing" Target="../drawings/drawing1.xml"/><Relationship Id="rId29" Type="http://schemas.openxmlformats.org/officeDocument/2006/relationships/ctrlProp" Target="../ctrlProps/ctrlProp26.xml"/><Relationship Id="rId24" Type="http://schemas.openxmlformats.org/officeDocument/2006/relationships/ctrlProp" Target="../ctrlProps/ctrlProp21.xml"/><Relationship Id="rId40" Type="http://schemas.openxmlformats.org/officeDocument/2006/relationships/ctrlProp" Target="../ctrlProps/ctrlProp37.xml"/><Relationship Id="rId45" Type="http://schemas.openxmlformats.org/officeDocument/2006/relationships/ctrlProp" Target="../ctrlProps/ctrlProp42.xml"/><Relationship Id="rId66" Type="http://schemas.openxmlformats.org/officeDocument/2006/relationships/ctrlProp" Target="../ctrlProps/ctrlProp63.xml"/><Relationship Id="rId87" Type="http://schemas.openxmlformats.org/officeDocument/2006/relationships/ctrlProp" Target="../ctrlProps/ctrlProp84.xml"/><Relationship Id="rId61" Type="http://schemas.openxmlformats.org/officeDocument/2006/relationships/ctrlProp" Target="../ctrlProps/ctrlProp58.xml"/><Relationship Id="rId82" Type="http://schemas.openxmlformats.org/officeDocument/2006/relationships/ctrlProp" Target="../ctrlProps/ctrlProp79.xml"/><Relationship Id="rId19" Type="http://schemas.openxmlformats.org/officeDocument/2006/relationships/ctrlProp" Target="../ctrlProps/ctrlProp16.xml"/><Relationship Id="rId14" Type="http://schemas.openxmlformats.org/officeDocument/2006/relationships/ctrlProp" Target="../ctrlProps/ctrlProp11.xml"/><Relationship Id="rId30" Type="http://schemas.openxmlformats.org/officeDocument/2006/relationships/ctrlProp" Target="../ctrlProps/ctrlProp27.xml"/><Relationship Id="rId35" Type="http://schemas.openxmlformats.org/officeDocument/2006/relationships/ctrlProp" Target="../ctrlProps/ctrlProp32.xml"/><Relationship Id="rId56" Type="http://schemas.openxmlformats.org/officeDocument/2006/relationships/ctrlProp" Target="../ctrlProps/ctrlProp53.xml"/><Relationship Id="rId77" Type="http://schemas.openxmlformats.org/officeDocument/2006/relationships/ctrlProp" Target="../ctrlProps/ctrlProp74.xml"/><Relationship Id="rId100" Type="http://schemas.openxmlformats.org/officeDocument/2006/relationships/comments" Target="../comments1.xml"/><Relationship Id="rId8" Type="http://schemas.openxmlformats.org/officeDocument/2006/relationships/ctrlProp" Target="../ctrlProps/ctrlProp5.xml"/><Relationship Id="rId51" Type="http://schemas.openxmlformats.org/officeDocument/2006/relationships/ctrlProp" Target="../ctrlProps/ctrlProp48.xml"/><Relationship Id="rId72" Type="http://schemas.openxmlformats.org/officeDocument/2006/relationships/ctrlProp" Target="../ctrlProps/ctrlProp69.xml"/><Relationship Id="rId93" Type="http://schemas.openxmlformats.org/officeDocument/2006/relationships/table" Target="../tables/table4.xml"/><Relationship Id="rId98" Type="http://schemas.openxmlformats.org/officeDocument/2006/relationships/table" Target="../tables/table9.xml"/></Relationships>
</file>

<file path=xl/worksheets/_rels/sheet2.xml.rels><?xml version="1.0" encoding="UTF-8" standalone="yes"?>
<Relationships xmlns="http://schemas.openxmlformats.org/package/2006/relationships"><Relationship Id="rId117" Type="http://schemas.openxmlformats.org/officeDocument/2006/relationships/ctrlProp" Target="../ctrlProps/ctrlProp200.xml"/><Relationship Id="rId21" Type="http://schemas.openxmlformats.org/officeDocument/2006/relationships/ctrlProp" Target="../ctrlProps/ctrlProp104.xml"/><Relationship Id="rId42" Type="http://schemas.openxmlformats.org/officeDocument/2006/relationships/ctrlProp" Target="../ctrlProps/ctrlProp125.xml"/><Relationship Id="rId63" Type="http://schemas.openxmlformats.org/officeDocument/2006/relationships/ctrlProp" Target="../ctrlProps/ctrlProp146.xml"/><Relationship Id="rId84" Type="http://schemas.openxmlformats.org/officeDocument/2006/relationships/ctrlProp" Target="../ctrlProps/ctrlProp167.xml"/><Relationship Id="rId138" Type="http://schemas.openxmlformats.org/officeDocument/2006/relationships/ctrlProp" Target="../ctrlProps/ctrlProp221.xml"/><Relationship Id="rId107" Type="http://schemas.openxmlformats.org/officeDocument/2006/relationships/ctrlProp" Target="../ctrlProps/ctrlProp190.xml"/><Relationship Id="rId11" Type="http://schemas.openxmlformats.org/officeDocument/2006/relationships/ctrlProp" Target="../ctrlProps/ctrlProp94.xml"/><Relationship Id="rId32" Type="http://schemas.openxmlformats.org/officeDocument/2006/relationships/ctrlProp" Target="../ctrlProps/ctrlProp115.xml"/><Relationship Id="rId53" Type="http://schemas.openxmlformats.org/officeDocument/2006/relationships/ctrlProp" Target="../ctrlProps/ctrlProp136.xml"/><Relationship Id="rId74" Type="http://schemas.openxmlformats.org/officeDocument/2006/relationships/ctrlProp" Target="../ctrlProps/ctrlProp157.xml"/><Relationship Id="rId128" Type="http://schemas.openxmlformats.org/officeDocument/2006/relationships/ctrlProp" Target="../ctrlProps/ctrlProp211.xml"/><Relationship Id="rId149" Type="http://schemas.openxmlformats.org/officeDocument/2006/relationships/table" Target="../tables/table14.xml"/><Relationship Id="rId5" Type="http://schemas.openxmlformats.org/officeDocument/2006/relationships/ctrlProp" Target="../ctrlProps/ctrlProp88.xml"/><Relationship Id="rId95" Type="http://schemas.openxmlformats.org/officeDocument/2006/relationships/ctrlProp" Target="../ctrlProps/ctrlProp178.xml"/><Relationship Id="rId22" Type="http://schemas.openxmlformats.org/officeDocument/2006/relationships/ctrlProp" Target="../ctrlProps/ctrlProp105.xml"/><Relationship Id="rId27" Type="http://schemas.openxmlformats.org/officeDocument/2006/relationships/ctrlProp" Target="../ctrlProps/ctrlProp110.xml"/><Relationship Id="rId43" Type="http://schemas.openxmlformats.org/officeDocument/2006/relationships/ctrlProp" Target="../ctrlProps/ctrlProp126.xml"/><Relationship Id="rId48" Type="http://schemas.openxmlformats.org/officeDocument/2006/relationships/ctrlProp" Target="../ctrlProps/ctrlProp131.xml"/><Relationship Id="rId64" Type="http://schemas.openxmlformats.org/officeDocument/2006/relationships/ctrlProp" Target="../ctrlProps/ctrlProp147.xml"/><Relationship Id="rId69" Type="http://schemas.openxmlformats.org/officeDocument/2006/relationships/ctrlProp" Target="../ctrlProps/ctrlProp152.xml"/><Relationship Id="rId113" Type="http://schemas.openxmlformats.org/officeDocument/2006/relationships/ctrlProp" Target="../ctrlProps/ctrlProp196.xml"/><Relationship Id="rId118" Type="http://schemas.openxmlformats.org/officeDocument/2006/relationships/ctrlProp" Target="../ctrlProps/ctrlProp201.xml"/><Relationship Id="rId134" Type="http://schemas.openxmlformats.org/officeDocument/2006/relationships/ctrlProp" Target="../ctrlProps/ctrlProp217.xml"/><Relationship Id="rId139" Type="http://schemas.openxmlformats.org/officeDocument/2006/relationships/ctrlProp" Target="../ctrlProps/ctrlProp222.xml"/><Relationship Id="rId80" Type="http://schemas.openxmlformats.org/officeDocument/2006/relationships/ctrlProp" Target="../ctrlProps/ctrlProp163.xml"/><Relationship Id="rId85" Type="http://schemas.openxmlformats.org/officeDocument/2006/relationships/ctrlProp" Target="../ctrlProps/ctrlProp168.xml"/><Relationship Id="rId150" Type="http://schemas.openxmlformats.org/officeDocument/2006/relationships/table" Target="../tables/table15.xml"/><Relationship Id="rId12" Type="http://schemas.openxmlformats.org/officeDocument/2006/relationships/ctrlProp" Target="../ctrlProps/ctrlProp95.xml"/><Relationship Id="rId17" Type="http://schemas.openxmlformats.org/officeDocument/2006/relationships/ctrlProp" Target="../ctrlProps/ctrlProp100.xml"/><Relationship Id="rId33" Type="http://schemas.openxmlformats.org/officeDocument/2006/relationships/ctrlProp" Target="../ctrlProps/ctrlProp116.xml"/><Relationship Id="rId38" Type="http://schemas.openxmlformats.org/officeDocument/2006/relationships/ctrlProp" Target="../ctrlProps/ctrlProp121.xml"/><Relationship Id="rId59" Type="http://schemas.openxmlformats.org/officeDocument/2006/relationships/ctrlProp" Target="../ctrlProps/ctrlProp142.xml"/><Relationship Id="rId103" Type="http://schemas.openxmlformats.org/officeDocument/2006/relationships/ctrlProp" Target="../ctrlProps/ctrlProp186.xml"/><Relationship Id="rId108" Type="http://schemas.openxmlformats.org/officeDocument/2006/relationships/ctrlProp" Target="../ctrlProps/ctrlProp191.xml"/><Relationship Id="rId124" Type="http://schemas.openxmlformats.org/officeDocument/2006/relationships/ctrlProp" Target="../ctrlProps/ctrlProp207.xml"/><Relationship Id="rId129" Type="http://schemas.openxmlformats.org/officeDocument/2006/relationships/ctrlProp" Target="../ctrlProps/ctrlProp212.xml"/><Relationship Id="rId54" Type="http://schemas.openxmlformats.org/officeDocument/2006/relationships/ctrlProp" Target="../ctrlProps/ctrlProp137.xml"/><Relationship Id="rId70" Type="http://schemas.openxmlformats.org/officeDocument/2006/relationships/ctrlProp" Target="../ctrlProps/ctrlProp153.xml"/><Relationship Id="rId75" Type="http://schemas.openxmlformats.org/officeDocument/2006/relationships/ctrlProp" Target="../ctrlProps/ctrlProp158.xml"/><Relationship Id="rId91" Type="http://schemas.openxmlformats.org/officeDocument/2006/relationships/ctrlProp" Target="../ctrlProps/ctrlProp174.xml"/><Relationship Id="rId96" Type="http://schemas.openxmlformats.org/officeDocument/2006/relationships/ctrlProp" Target="../ctrlProps/ctrlProp179.xml"/><Relationship Id="rId140" Type="http://schemas.openxmlformats.org/officeDocument/2006/relationships/ctrlProp" Target="../ctrlProps/ctrlProp223.xml"/><Relationship Id="rId145" Type="http://schemas.openxmlformats.org/officeDocument/2006/relationships/ctrlProp" Target="../ctrlProps/ctrlProp228.xml"/><Relationship Id="rId1" Type="http://schemas.openxmlformats.org/officeDocument/2006/relationships/printerSettings" Target="../printerSettings/printerSettings2.bin"/><Relationship Id="rId6" Type="http://schemas.openxmlformats.org/officeDocument/2006/relationships/ctrlProp" Target="../ctrlProps/ctrlProp89.xml"/><Relationship Id="rId23" Type="http://schemas.openxmlformats.org/officeDocument/2006/relationships/ctrlProp" Target="../ctrlProps/ctrlProp106.xml"/><Relationship Id="rId28" Type="http://schemas.openxmlformats.org/officeDocument/2006/relationships/ctrlProp" Target="../ctrlProps/ctrlProp111.xml"/><Relationship Id="rId49" Type="http://schemas.openxmlformats.org/officeDocument/2006/relationships/ctrlProp" Target="../ctrlProps/ctrlProp132.xml"/><Relationship Id="rId114" Type="http://schemas.openxmlformats.org/officeDocument/2006/relationships/ctrlProp" Target="../ctrlProps/ctrlProp197.xml"/><Relationship Id="rId119" Type="http://schemas.openxmlformats.org/officeDocument/2006/relationships/ctrlProp" Target="../ctrlProps/ctrlProp202.xml"/><Relationship Id="rId44" Type="http://schemas.openxmlformats.org/officeDocument/2006/relationships/ctrlProp" Target="../ctrlProps/ctrlProp127.xml"/><Relationship Id="rId60" Type="http://schemas.openxmlformats.org/officeDocument/2006/relationships/ctrlProp" Target="../ctrlProps/ctrlProp143.xml"/><Relationship Id="rId65" Type="http://schemas.openxmlformats.org/officeDocument/2006/relationships/ctrlProp" Target="../ctrlProps/ctrlProp148.xml"/><Relationship Id="rId81" Type="http://schemas.openxmlformats.org/officeDocument/2006/relationships/ctrlProp" Target="../ctrlProps/ctrlProp164.xml"/><Relationship Id="rId86" Type="http://schemas.openxmlformats.org/officeDocument/2006/relationships/ctrlProp" Target="../ctrlProps/ctrlProp169.xml"/><Relationship Id="rId130" Type="http://schemas.openxmlformats.org/officeDocument/2006/relationships/ctrlProp" Target="../ctrlProps/ctrlProp213.xml"/><Relationship Id="rId135" Type="http://schemas.openxmlformats.org/officeDocument/2006/relationships/ctrlProp" Target="../ctrlProps/ctrlProp218.xml"/><Relationship Id="rId151" Type="http://schemas.openxmlformats.org/officeDocument/2006/relationships/table" Target="../tables/table16.xml"/><Relationship Id="rId13" Type="http://schemas.openxmlformats.org/officeDocument/2006/relationships/ctrlProp" Target="../ctrlProps/ctrlProp96.xml"/><Relationship Id="rId18" Type="http://schemas.openxmlformats.org/officeDocument/2006/relationships/ctrlProp" Target="../ctrlProps/ctrlProp101.xml"/><Relationship Id="rId39" Type="http://schemas.openxmlformats.org/officeDocument/2006/relationships/ctrlProp" Target="../ctrlProps/ctrlProp122.xml"/><Relationship Id="rId109" Type="http://schemas.openxmlformats.org/officeDocument/2006/relationships/ctrlProp" Target="../ctrlProps/ctrlProp192.xml"/><Relationship Id="rId34" Type="http://schemas.openxmlformats.org/officeDocument/2006/relationships/ctrlProp" Target="../ctrlProps/ctrlProp117.xml"/><Relationship Id="rId50" Type="http://schemas.openxmlformats.org/officeDocument/2006/relationships/ctrlProp" Target="../ctrlProps/ctrlProp133.xml"/><Relationship Id="rId55" Type="http://schemas.openxmlformats.org/officeDocument/2006/relationships/ctrlProp" Target="../ctrlProps/ctrlProp138.xml"/><Relationship Id="rId76" Type="http://schemas.openxmlformats.org/officeDocument/2006/relationships/ctrlProp" Target="../ctrlProps/ctrlProp159.xml"/><Relationship Id="rId97" Type="http://schemas.openxmlformats.org/officeDocument/2006/relationships/ctrlProp" Target="../ctrlProps/ctrlProp180.xml"/><Relationship Id="rId104" Type="http://schemas.openxmlformats.org/officeDocument/2006/relationships/ctrlProp" Target="../ctrlProps/ctrlProp187.xml"/><Relationship Id="rId120" Type="http://schemas.openxmlformats.org/officeDocument/2006/relationships/ctrlProp" Target="../ctrlProps/ctrlProp203.xml"/><Relationship Id="rId125" Type="http://schemas.openxmlformats.org/officeDocument/2006/relationships/ctrlProp" Target="../ctrlProps/ctrlProp208.xml"/><Relationship Id="rId141" Type="http://schemas.openxmlformats.org/officeDocument/2006/relationships/ctrlProp" Target="../ctrlProps/ctrlProp224.xml"/><Relationship Id="rId146" Type="http://schemas.openxmlformats.org/officeDocument/2006/relationships/table" Target="../tables/table11.xml"/><Relationship Id="rId7" Type="http://schemas.openxmlformats.org/officeDocument/2006/relationships/ctrlProp" Target="../ctrlProps/ctrlProp90.xml"/><Relationship Id="rId71" Type="http://schemas.openxmlformats.org/officeDocument/2006/relationships/ctrlProp" Target="../ctrlProps/ctrlProp154.xml"/><Relationship Id="rId92" Type="http://schemas.openxmlformats.org/officeDocument/2006/relationships/ctrlProp" Target="../ctrlProps/ctrlProp175.xml"/><Relationship Id="rId2" Type="http://schemas.openxmlformats.org/officeDocument/2006/relationships/drawing" Target="../drawings/drawing2.xml"/><Relationship Id="rId29" Type="http://schemas.openxmlformats.org/officeDocument/2006/relationships/ctrlProp" Target="../ctrlProps/ctrlProp112.xml"/><Relationship Id="rId24" Type="http://schemas.openxmlformats.org/officeDocument/2006/relationships/ctrlProp" Target="../ctrlProps/ctrlProp107.xml"/><Relationship Id="rId40" Type="http://schemas.openxmlformats.org/officeDocument/2006/relationships/ctrlProp" Target="../ctrlProps/ctrlProp123.xml"/><Relationship Id="rId45" Type="http://schemas.openxmlformats.org/officeDocument/2006/relationships/ctrlProp" Target="../ctrlProps/ctrlProp128.xml"/><Relationship Id="rId66" Type="http://schemas.openxmlformats.org/officeDocument/2006/relationships/ctrlProp" Target="../ctrlProps/ctrlProp149.xml"/><Relationship Id="rId87" Type="http://schemas.openxmlformats.org/officeDocument/2006/relationships/ctrlProp" Target="../ctrlProps/ctrlProp170.xml"/><Relationship Id="rId110" Type="http://schemas.openxmlformats.org/officeDocument/2006/relationships/ctrlProp" Target="../ctrlProps/ctrlProp193.xml"/><Relationship Id="rId115" Type="http://schemas.openxmlformats.org/officeDocument/2006/relationships/ctrlProp" Target="../ctrlProps/ctrlProp198.xml"/><Relationship Id="rId131" Type="http://schemas.openxmlformats.org/officeDocument/2006/relationships/ctrlProp" Target="../ctrlProps/ctrlProp214.xml"/><Relationship Id="rId136" Type="http://schemas.openxmlformats.org/officeDocument/2006/relationships/ctrlProp" Target="../ctrlProps/ctrlProp219.xml"/><Relationship Id="rId61" Type="http://schemas.openxmlformats.org/officeDocument/2006/relationships/ctrlProp" Target="../ctrlProps/ctrlProp144.xml"/><Relationship Id="rId82" Type="http://schemas.openxmlformats.org/officeDocument/2006/relationships/ctrlProp" Target="../ctrlProps/ctrlProp165.xml"/><Relationship Id="rId152" Type="http://schemas.openxmlformats.org/officeDocument/2006/relationships/table" Target="../tables/table17.xml"/><Relationship Id="rId19" Type="http://schemas.openxmlformats.org/officeDocument/2006/relationships/ctrlProp" Target="../ctrlProps/ctrlProp102.xml"/><Relationship Id="rId14" Type="http://schemas.openxmlformats.org/officeDocument/2006/relationships/ctrlProp" Target="../ctrlProps/ctrlProp97.xml"/><Relationship Id="rId30" Type="http://schemas.openxmlformats.org/officeDocument/2006/relationships/ctrlProp" Target="../ctrlProps/ctrlProp113.xml"/><Relationship Id="rId35" Type="http://schemas.openxmlformats.org/officeDocument/2006/relationships/ctrlProp" Target="../ctrlProps/ctrlProp118.xml"/><Relationship Id="rId56" Type="http://schemas.openxmlformats.org/officeDocument/2006/relationships/ctrlProp" Target="../ctrlProps/ctrlProp139.xml"/><Relationship Id="rId77" Type="http://schemas.openxmlformats.org/officeDocument/2006/relationships/ctrlProp" Target="../ctrlProps/ctrlProp160.xml"/><Relationship Id="rId100" Type="http://schemas.openxmlformats.org/officeDocument/2006/relationships/ctrlProp" Target="../ctrlProps/ctrlProp183.xml"/><Relationship Id="rId105" Type="http://schemas.openxmlformats.org/officeDocument/2006/relationships/ctrlProp" Target="../ctrlProps/ctrlProp188.xml"/><Relationship Id="rId126" Type="http://schemas.openxmlformats.org/officeDocument/2006/relationships/ctrlProp" Target="../ctrlProps/ctrlProp209.xml"/><Relationship Id="rId147" Type="http://schemas.openxmlformats.org/officeDocument/2006/relationships/table" Target="../tables/table12.xml"/><Relationship Id="rId8" Type="http://schemas.openxmlformats.org/officeDocument/2006/relationships/ctrlProp" Target="../ctrlProps/ctrlProp91.xml"/><Relationship Id="rId51" Type="http://schemas.openxmlformats.org/officeDocument/2006/relationships/ctrlProp" Target="../ctrlProps/ctrlProp134.xml"/><Relationship Id="rId72" Type="http://schemas.openxmlformats.org/officeDocument/2006/relationships/ctrlProp" Target="../ctrlProps/ctrlProp155.xml"/><Relationship Id="rId93" Type="http://schemas.openxmlformats.org/officeDocument/2006/relationships/ctrlProp" Target="../ctrlProps/ctrlProp176.xml"/><Relationship Id="rId98" Type="http://schemas.openxmlformats.org/officeDocument/2006/relationships/ctrlProp" Target="../ctrlProps/ctrlProp181.xml"/><Relationship Id="rId121" Type="http://schemas.openxmlformats.org/officeDocument/2006/relationships/ctrlProp" Target="../ctrlProps/ctrlProp204.xml"/><Relationship Id="rId142" Type="http://schemas.openxmlformats.org/officeDocument/2006/relationships/ctrlProp" Target="../ctrlProps/ctrlProp225.xml"/><Relationship Id="rId3" Type="http://schemas.openxmlformats.org/officeDocument/2006/relationships/vmlDrawing" Target="../drawings/vmlDrawing2.vml"/><Relationship Id="rId25" Type="http://schemas.openxmlformats.org/officeDocument/2006/relationships/ctrlProp" Target="../ctrlProps/ctrlProp108.xml"/><Relationship Id="rId46" Type="http://schemas.openxmlformats.org/officeDocument/2006/relationships/ctrlProp" Target="../ctrlProps/ctrlProp129.xml"/><Relationship Id="rId67" Type="http://schemas.openxmlformats.org/officeDocument/2006/relationships/ctrlProp" Target="../ctrlProps/ctrlProp150.xml"/><Relationship Id="rId116" Type="http://schemas.openxmlformats.org/officeDocument/2006/relationships/ctrlProp" Target="../ctrlProps/ctrlProp199.xml"/><Relationship Id="rId137" Type="http://schemas.openxmlformats.org/officeDocument/2006/relationships/ctrlProp" Target="../ctrlProps/ctrlProp220.xml"/><Relationship Id="rId20" Type="http://schemas.openxmlformats.org/officeDocument/2006/relationships/ctrlProp" Target="../ctrlProps/ctrlProp103.xml"/><Relationship Id="rId41" Type="http://schemas.openxmlformats.org/officeDocument/2006/relationships/ctrlProp" Target="../ctrlProps/ctrlProp124.xml"/><Relationship Id="rId62" Type="http://schemas.openxmlformats.org/officeDocument/2006/relationships/ctrlProp" Target="../ctrlProps/ctrlProp145.xml"/><Relationship Id="rId83" Type="http://schemas.openxmlformats.org/officeDocument/2006/relationships/ctrlProp" Target="../ctrlProps/ctrlProp166.xml"/><Relationship Id="rId88" Type="http://schemas.openxmlformats.org/officeDocument/2006/relationships/ctrlProp" Target="../ctrlProps/ctrlProp171.xml"/><Relationship Id="rId111" Type="http://schemas.openxmlformats.org/officeDocument/2006/relationships/ctrlProp" Target="../ctrlProps/ctrlProp194.xml"/><Relationship Id="rId132" Type="http://schemas.openxmlformats.org/officeDocument/2006/relationships/ctrlProp" Target="../ctrlProps/ctrlProp215.xml"/><Relationship Id="rId153" Type="http://schemas.openxmlformats.org/officeDocument/2006/relationships/table" Target="../tables/table18.xml"/><Relationship Id="rId15" Type="http://schemas.openxmlformats.org/officeDocument/2006/relationships/ctrlProp" Target="../ctrlProps/ctrlProp98.xml"/><Relationship Id="rId36" Type="http://schemas.openxmlformats.org/officeDocument/2006/relationships/ctrlProp" Target="../ctrlProps/ctrlProp119.xml"/><Relationship Id="rId57" Type="http://schemas.openxmlformats.org/officeDocument/2006/relationships/ctrlProp" Target="../ctrlProps/ctrlProp140.xml"/><Relationship Id="rId106" Type="http://schemas.openxmlformats.org/officeDocument/2006/relationships/ctrlProp" Target="../ctrlProps/ctrlProp189.xml"/><Relationship Id="rId127" Type="http://schemas.openxmlformats.org/officeDocument/2006/relationships/ctrlProp" Target="../ctrlProps/ctrlProp210.xml"/><Relationship Id="rId10" Type="http://schemas.openxmlformats.org/officeDocument/2006/relationships/ctrlProp" Target="../ctrlProps/ctrlProp93.xml"/><Relationship Id="rId31" Type="http://schemas.openxmlformats.org/officeDocument/2006/relationships/ctrlProp" Target="../ctrlProps/ctrlProp114.xml"/><Relationship Id="rId52" Type="http://schemas.openxmlformats.org/officeDocument/2006/relationships/ctrlProp" Target="../ctrlProps/ctrlProp135.xml"/><Relationship Id="rId73" Type="http://schemas.openxmlformats.org/officeDocument/2006/relationships/ctrlProp" Target="../ctrlProps/ctrlProp156.xml"/><Relationship Id="rId78" Type="http://schemas.openxmlformats.org/officeDocument/2006/relationships/ctrlProp" Target="../ctrlProps/ctrlProp161.xml"/><Relationship Id="rId94" Type="http://schemas.openxmlformats.org/officeDocument/2006/relationships/ctrlProp" Target="../ctrlProps/ctrlProp177.xml"/><Relationship Id="rId99" Type="http://schemas.openxmlformats.org/officeDocument/2006/relationships/ctrlProp" Target="../ctrlProps/ctrlProp182.xml"/><Relationship Id="rId101" Type="http://schemas.openxmlformats.org/officeDocument/2006/relationships/ctrlProp" Target="../ctrlProps/ctrlProp184.xml"/><Relationship Id="rId122" Type="http://schemas.openxmlformats.org/officeDocument/2006/relationships/ctrlProp" Target="../ctrlProps/ctrlProp205.xml"/><Relationship Id="rId143" Type="http://schemas.openxmlformats.org/officeDocument/2006/relationships/ctrlProp" Target="../ctrlProps/ctrlProp226.xml"/><Relationship Id="rId148" Type="http://schemas.openxmlformats.org/officeDocument/2006/relationships/table" Target="../tables/table13.xml"/><Relationship Id="rId4" Type="http://schemas.openxmlformats.org/officeDocument/2006/relationships/ctrlProp" Target="../ctrlProps/ctrlProp87.xml"/><Relationship Id="rId9" Type="http://schemas.openxmlformats.org/officeDocument/2006/relationships/ctrlProp" Target="../ctrlProps/ctrlProp92.xml"/><Relationship Id="rId26" Type="http://schemas.openxmlformats.org/officeDocument/2006/relationships/ctrlProp" Target="../ctrlProps/ctrlProp109.xml"/><Relationship Id="rId47" Type="http://schemas.openxmlformats.org/officeDocument/2006/relationships/ctrlProp" Target="../ctrlProps/ctrlProp130.xml"/><Relationship Id="rId68" Type="http://schemas.openxmlformats.org/officeDocument/2006/relationships/ctrlProp" Target="../ctrlProps/ctrlProp151.xml"/><Relationship Id="rId89" Type="http://schemas.openxmlformats.org/officeDocument/2006/relationships/ctrlProp" Target="../ctrlProps/ctrlProp172.xml"/><Relationship Id="rId112" Type="http://schemas.openxmlformats.org/officeDocument/2006/relationships/ctrlProp" Target="../ctrlProps/ctrlProp195.xml"/><Relationship Id="rId133" Type="http://schemas.openxmlformats.org/officeDocument/2006/relationships/ctrlProp" Target="../ctrlProps/ctrlProp216.xml"/><Relationship Id="rId16" Type="http://schemas.openxmlformats.org/officeDocument/2006/relationships/ctrlProp" Target="../ctrlProps/ctrlProp99.xml"/><Relationship Id="rId37" Type="http://schemas.openxmlformats.org/officeDocument/2006/relationships/ctrlProp" Target="../ctrlProps/ctrlProp120.xml"/><Relationship Id="rId58" Type="http://schemas.openxmlformats.org/officeDocument/2006/relationships/ctrlProp" Target="../ctrlProps/ctrlProp141.xml"/><Relationship Id="rId79" Type="http://schemas.openxmlformats.org/officeDocument/2006/relationships/ctrlProp" Target="../ctrlProps/ctrlProp162.xml"/><Relationship Id="rId102" Type="http://schemas.openxmlformats.org/officeDocument/2006/relationships/ctrlProp" Target="../ctrlProps/ctrlProp185.xml"/><Relationship Id="rId123" Type="http://schemas.openxmlformats.org/officeDocument/2006/relationships/ctrlProp" Target="../ctrlProps/ctrlProp206.xml"/><Relationship Id="rId144" Type="http://schemas.openxmlformats.org/officeDocument/2006/relationships/ctrlProp" Target="../ctrlProps/ctrlProp227.xml"/><Relationship Id="rId90" Type="http://schemas.openxmlformats.org/officeDocument/2006/relationships/ctrlProp" Target="../ctrlProps/ctrlProp173.xml"/></Relationships>
</file>

<file path=xl/worksheets/_rels/sheet3.xml.rels><?xml version="1.0" encoding="UTF-8" standalone="yes"?>
<Relationships xmlns="http://schemas.openxmlformats.org/package/2006/relationships"><Relationship Id="rId8" Type="http://schemas.openxmlformats.org/officeDocument/2006/relationships/table" Target="../tables/table23.xml"/><Relationship Id="rId3" Type="http://schemas.openxmlformats.org/officeDocument/2006/relationships/vmlDrawing" Target="../drawings/vmlDrawing3.vml"/><Relationship Id="rId7" Type="http://schemas.openxmlformats.org/officeDocument/2006/relationships/table" Target="../tables/table22.xml"/><Relationship Id="rId2" Type="http://schemas.openxmlformats.org/officeDocument/2006/relationships/drawing" Target="../drawings/drawing3.xml"/><Relationship Id="rId1" Type="http://schemas.openxmlformats.org/officeDocument/2006/relationships/printerSettings" Target="../printerSettings/printerSettings3.bin"/><Relationship Id="rId6" Type="http://schemas.openxmlformats.org/officeDocument/2006/relationships/table" Target="../tables/table21.xml"/><Relationship Id="rId5" Type="http://schemas.openxmlformats.org/officeDocument/2006/relationships/table" Target="../tables/table20.xml"/><Relationship Id="rId10" Type="http://schemas.openxmlformats.org/officeDocument/2006/relationships/comments" Target="../comments2.xml"/><Relationship Id="rId4" Type="http://schemas.openxmlformats.org/officeDocument/2006/relationships/table" Target="../tables/table19.xml"/><Relationship Id="rId9" Type="http://schemas.openxmlformats.org/officeDocument/2006/relationships/table" Target="../tables/table24.xml"/></Relationships>
</file>

<file path=xl/worksheets/_rels/sheet4.xml.rels><?xml version="1.0" encoding="UTF-8" standalone="yes"?>
<Relationships xmlns="http://schemas.openxmlformats.org/package/2006/relationships"><Relationship Id="rId8" Type="http://schemas.openxmlformats.org/officeDocument/2006/relationships/table" Target="../tables/table29.xml"/><Relationship Id="rId3" Type="http://schemas.openxmlformats.org/officeDocument/2006/relationships/vmlDrawing" Target="../drawings/vmlDrawing4.vml"/><Relationship Id="rId7" Type="http://schemas.openxmlformats.org/officeDocument/2006/relationships/table" Target="../tables/table28.xml"/><Relationship Id="rId2" Type="http://schemas.openxmlformats.org/officeDocument/2006/relationships/drawing" Target="../drawings/drawing4.xml"/><Relationship Id="rId1" Type="http://schemas.openxmlformats.org/officeDocument/2006/relationships/printerSettings" Target="../printerSettings/printerSettings4.bin"/><Relationship Id="rId6" Type="http://schemas.openxmlformats.org/officeDocument/2006/relationships/table" Target="../tables/table27.xml"/><Relationship Id="rId5" Type="http://schemas.openxmlformats.org/officeDocument/2006/relationships/table" Target="../tables/table26.xml"/><Relationship Id="rId10" Type="http://schemas.openxmlformats.org/officeDocument/2006/relationships/comments" Target="../comments3.xml"/><Relationship Id="rId4" Type="http://schemas.openxmlformats.org/officeDocument/2006/relationships/table" Target="../tables/table25.xml"/><Relationship Id="rId9" Type="http://schemas.openxmlformats.org/officeDocument/2006/relationships/table" Target="../tables/table30.xml"/></Relationships>
</file>

<file path=xl/worksheets/_rels/sheet5.xml.rels><?xml version="1.0" encoding="UTF-8" standalone="yes"?>
<Relationships xmlns="http://schemas.openxmlformats.org/package/2006/relationships"><Relationship Id="rId8" Type="http://schemas.openxmlformats.org/officeDocument/2006/relationships/table" Target="../tables/table35.xml"/><Relationship Id="rId3" Type="http://schemas.openxmlformats.org/officeDocument/2006/relationships/vmlDrawing" Target="../drawings/vmlDrawing5.vml"/><Relationship Id="rId7" Type="http://schemas.openxmlformats.org/officeDocument/2006/relationships/table" Target="../tables/table34.xml"/><Relationship Id="rId2" Type="http://schemas.openxmlformats.org/officeDocument/2006/relationships/drawing" Target="../drawings/drawing5.xml"/><Relationship Id="rId1" Type="http://schemas.openxmlformats.org/officeDocument/2006/relationships/printerSettings" Target="../printerSettings/printerSettings5.bin"/><Relationship Id="rId6" Type="http://schemas.openxmlformats.org/officeDocument/2006/relationships/table" Target="../tables/table33.xml"/><Relationship Id="rId5" Type="http://schemas.openxmlformats.org/officeDocument/2006/relationships/table" Target="../tables/table32.xml"/><Relationship Id="rId10" Type="http://schemas.openxmlformats.org/officeDocument/2006/relationships/comments" Target="../comments4.xml"/><Relationship Id="rId4" Type="http://schemas.openxmlformats.org/officeDocument/2006/relationships/table" Target="../tables/table31.xml"/><Relationship Id="rId9" Type="http://schemas.openxmlformats.org/officeDocument/2006/relationships/table" Target="../tables/table36.xml"/></Relationships>
</file>

<file path=xl/worksheets/_rels/sheet6.xml.rels><?xml version="1.0" encoding="UTF-8" standalone="yes"?>
<Relationships xmlns="http://schemas.openxmlformats.org/package/2006/relationships"><Relationship Id="rId8" Type="http://schemas.openxmlformats.org/officeDocument/2006/relationships/table" Target="../tables/table41.xml"/><Relationship Id="rId3" Type="http://schemas.openxmlformats.org/officeDocument/2006/relationships/vmlDrawing" Target="../drawings/vmlDrawing6.vml"/><Relationship Id="rId7" Type="http://schemas.openxmlformats.org/officeDocument/2006/relationships/table" Target="../tables/table40.xml"/><Relationship Id="rId2" Type="http://schemas.openxmlformats.org/officeDocument/2006/relationships/drawing" Target="../drawings/drawing6.xml"/><Relationship Id="rId1" Type="http://schemas.openxmlformats.org/officeDocument/2006/relationships/printerSettings" Target="../printerSettings/printerSettings6.bin"/><Relationship Id="rId6" Type="http://schemas.openxmlformats.org/officeDocument/2006/relationships/table" Target="../tables/table39.xml"/><Relationship Id="rId5" Type="http://schemas.openxmlformats.org/officeDocument/2006/relationships/table" Target="../tables/table38.xml"/><Relationship Id="rId10" Type="http://schemas.openxmlformats.org/officeDocument/2006/relationships/comments" Target="../comments5.xml"/><Relationship Id="rId4" Type="http://schemas.openxmlformats.org/officeDocument/2006/relationships/table" Target="../tables/table37.xml"/><Relationship Id="rId9" Type="http://schemas.openxmlformats.org/officeDocument/2006/relationships/table" Target="../tables/table4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B84187-F240-43EE-AD97-8895F4EF87C6}">
  <dimension ref="B3:Y154"/>
  <sheetViews>
    <sheetView topLeftCell="F103" zoomScaleNormal="100" workbookViewId="0">
      <selection activeCell="Q137" sqref="Q137"/>
    </sheetView>
  </sheetViews>
  <sheetFormatPr defaultColWidth="8.88671875" defaultRowHeight="14.4" x14ac:dyDescent="0.3"/>
  <cols>
    <col min="1" max="1" width="8.88671875" style="5"/>
    <col min="2" max="2" width="17" style="5" bestFit="1" customWidth="1"/>
    <col min="3" max="3" width="18.33203125" style="5" bestFit="1" customWidth="1"/>
    <col min="4" max="4" width="28" style="5" bestFit="1" customWidth="1"/>
    <col min="5" max="5" width="24.5546875" style="5" bestFit="1" customWidth="1"/>
    <col min="6" max="6" width="8.6640625" style="5" bestFit="1" customWidth="1"/>
    <col min="7" max="7" width="11.5546875" style="5" bestFit="1" customWidth="1"/>
    <col min="8" max="8" width="16.88671875" style="5" bestFit="1" customWidth="1"/>
    <col min="9" max="9" width="17.88671875" style="5" bestFit="1" customWidth="1"/>
    <col min="10" max="10" width="10.88671875" style="5" bestFit="1" customWidth="1"/>
    <col min="11" max="11" width="14.6640625" style="5" bestFit="1" customWidth="1"/>
    <col min="12" max="12" width="16.44140625" style="5" bestFit="1" customWidth="1"/>
    <col min="13" max="13" width="8.88671875" style="5"/>
    <col min="14" max="14" width="12.6640625" style="5" customWidth="1"/>
    <col min="15" max="16" width="8.88671875" style="5"/>
    <col min="17" max="17" width="10" style="5" customWidth="1"/>
    <col min="18" max="20" width="8.88671875" style="5"/>
    <col min="21" max="21" width="27" style="5" customWidth="1"/>
    <col min="22" max="16384" width="8.88671875" style="5"/>
  </cols>
  <sheetData>
    <row r="3" spans="2:19" ht="14.4" customHeight="1" x14ac:dyDescent="0.3">
      <c r="B3" s="1" t="s">
        <v>0</v>
      </c>
      <c r="C3" s="2" t="s">
        <v>1</v>
      </c>
      <c r="D3" s="2" t="s">
        <v>2</v>
      </c>
      <c r="E3" s="2" t="s">
        <v>3</v>
      </c>
      <c r="F3" s="2" t="s">
        <v>4</v>
      </c>
      <c r="G3" s="2" t="s">
        <v>5</v>
      </c>
      <c r="H3" s="3" t="s">
        <v>6</v>
      </c>
      <c r="I3" s="2" t="s">
        <v>7</v>
      </c>
      <c r="J3" s="123" t="s">
        <v>8</v>
      </c>
      <c r="K3" s="123"/>
      <c r="L3" s="123"/>
      <c r="M3" s="123"/>
      <c r="N3" s="123"/>
      <c r="O3" s="123"/>
      <c r="P3" s="123"/>
      <c r="Q3" s="123"/>
      <c r="R3" s="123"/>
      <c r="S3" s="123"/>
    </row>
    <row r="4" spans="2:19" x14ac:dyDescent="0.3">
      <c r="B4" s="5" t="s">
        <v>9</v>
      </c>
      <c r="C4" s="6" t="s">
        <v>10</v>
      </c>
      <c r="D4" s="6" t="s">
        <v>10</v>
      </c>
      <c r="E4" s="6" t="s">
        <v>10</v>
      </c>
      <c r="F4" s="6" t="s">
        <v>10</v>
      </c>
      <c r="G4" s="7">
        <v>0</v>
      </c>
      <c r="H4" s="6" t="s">
        <v>10</v>
      </c>
      <c r="I4" s="6" t="s">
        <v>10</v>
      </c>
      <c r="J4" s="123"/>
      <c r="K4" s="123"/>
      <c r="L4" s="123"/>
      <c r="M4" s="123"/>
      <c r="N4" s="123"/>
      <c r="O4" s="123"/>
      <c r="P4" s="123"/>
      <c r="Q4" s="123"/>
      <c r="R4" s="123"/>
      <c r="S4" s="123"/>
    </row>
    <row r="5" spans="2:19" x14ac:dyDescent="0.3">
      <c r="B5" s="5" t="s">
        <v>11</v>
      </c>
      <c r="C5" s="6" t="s">
        <v>10</v>
      </c>
      <c r="D5" s="6" t="s">
        <v>10</v>
      </c>
      <c r="E5" s="6" t="s">
        <v>10</v>
      </c>
      <c r="F5" s="6" t="s">
        <v>10</v>
      </c>
      <c r="G5" s="7">
        <v>0</v>
      </c>
      <c r="H5" s="6" t="s">
        <v>10</v>
      </c>
      <c r="I5" s="6" t="s">
        <v>10</v>
      </c>
      <c r="J5" s="130" t="s">
        <v>12</v>
      </c>
      <c r="K5" s="130"/>
      <c r="L5" s="130"/>
      <c r="M5" s="130"/>
      <c r="N5" s="130"/>
      <c r="O5" s="130"/>
      <c r="P5" s="130"/>
      <c r="Q5" s="130"/>
      <c r="R5" s="130"/>
      <c r="S5" s="130"/>
    </row>
    <row r="6" spans="2:19" x14ac:dyDescent="0.3">
      <c r="B6" s="5" t="s">
        <v>13</v>
      </c>
      <c r="C6" s="6" t="s">
        <v>10</v>
      </c>
      <c r="D6" s="6" t="s">
        <v>10</v>
      </c>
      <c r="E6" s="6" t="s">
        <v>10</v>
      </c>
      <c r="F6" s="6" t="s">
        <v>10</v>
      </c>
      <c r="G6" s="7">
        <v>0</v>
      </c>
      <c r="H6" s="6" t="s">
        <v>10</v>
      </c>
      <c r="I6" s="6" t="s">
        <v>10</v>
      </c>
      <c r="J6" s="130"/>
      <c r="K6" s="130"/>
      <c r="L6" s="130"/>
      <c r="M6" s="130"/>
      <c r="N6" s="130"/>
      <c r="O6" s="130"/>
      <c r="P6" s="130"/>
      <c r="Q6" s="130"/>
      <c r="R6" s="130"/>
      <c r="S6" s="130"/>
    </row>
    <row r="7" spans="2:19" x14ac:dyDescent="0.3">
      <c r="B7" s="5" t="s">
        <v>14</v>
      </c>
      <c r="C7" s="6" t="s">
        <v>10</v>
      </c>
      <c r="D7" s="6" t="s">
        <v>10</v>
      </c>
      <c r="E7" s="6" t="s">
        <v>10</v>
      </c>
      <c r="F7" s="6" t="s">
        <v>10</v>
      </c>
      <c r="G7" s="7">
        <v>0</v>
      </c>
      <c r="H7" s="6" t="s">
        <v>10</v>
      </c>
      <c r="I7" s="6" t="s">
        <v>10</v>
      </c>
      <c r="J7" s="123" t="s">
        <v>15</v>
      </c>
      <c r="K7" s="123"/>
      <c r="L7" s="123"/>
      <c r="M7" s="123"/>
      <c r="N7" s="123"/>
      <c r="O7" s="123"/>
      <c r="P7" s="123"/>
      <c r="Q7" s="123"/>
      <c r="R7" s="123"/>
      <c r="S7" s="123"/>
    </row>
    <row r="8" spans="2:19" x14ac:dyDescent="0.3">
      <c r="B8" s="5" t="s">
        <v>16</v>
      </c>
      <c r="C8" s="6" t="s">
        <v>10</v>
      </c>
      <c r="D8" s="6" t="s">
        <v>10</v>
      </c>
      <c r="E8" s="6" t="s">
        <v>10</v>
      </c>
      <c r="F8" s="6" t="s">
        <v>10</v>
      </c>
      <c r="G8" s="7">
        <v>0</v>
      </c>
      <c r="H8" s="6" t="s">
        <v>10</v>
      </c>
      <c r="I8" s="6" t="s">
        <v>10</v>
      </c>
      <c r="J8" s="123"/>
      <c r="K8" s="123"/>
      <c r="L8" s="123"/>
      <c r="M8" s="123"/>
      <c r="N8" s="123"/>
      <c r="O8" s="123"/>
      <c r="P8" s="123"/>
      <c r="Q8" s="123"/>
      <c r="R8" s="123"/>
      <c r="S8" s="123"/>
    </row>
    <row r="9" spans="2:19" x14ac:dyDescent="0.3">
      <c r="B9" s="5" t="s">
        <v>17</v>
      </c>
      <c r="C9" s="6" t="s">
        <v>10</v>
      </c>
      <c r="D9" s="6" t="s">
        <v>10</v>
      </c>
      <c r="E9" s="6" t="s">
        <v>10</v>
      </c>
      <c r="F9" s="6" t="s">
        <v>10</v>
      </c>
      <c r="G9" s="7">
        <v>0</v>
      </c>
      <c r="H9" s="6" t="s">
        <v>10</v>
      </c>
      <c r="I9" s="6" t="s">
        <v>10</v>
      </c>
    </row>
    <row r="10" spans="2:19" x14ac:dyDescent="0.3">
      <c r="B10" s="5" t="s">
        <v>18</v>
      </c>
      <c r="C10" s="6" t="s">
        <v>10</v>
      </c>
      <c r="D10" s="6" t="s">
        <v>10</v>
      </c>
      <c r="E10" s="6" t="s">
        <v>10</v>
      </c>
      <c r="F10" s="6" t="s">
        <v>10</v>
      </c>
      <c r="G10" s="7">
        <v>0</v>
      </c>
      <c r="H10" s="6" t="s">
        <v>10</v>
      </c>
      <c r="I10" s="6" t="s">
        <v>10</v>
      </c>
    </row>
    <row r="13" spans="2:19" ht="15" thickBot="1" x14ac:dyDescent="0.35">
      <c r="B13" s="1" t="s">
        <v>0</v>
      </c>
      <c r="C13" s="2" t="s">
        <v>19</v>
      </c>
      <c r="D13" s="2" t="s">
        <v>20</v>
      </c>
      <c r="E13" s="2" t="s">
        <v>21</v>
      </c>
      <c r="F13" s="2" t="s">
        <v>22</v>
      </c>
      <c r="G13" s="2" t="s">
        <v>23</v>
      </c>
      <c r="H13" s="3" t="s">
        <v>24</v>
      </c>
      <c r="I13" s="3" t="s">
        <v>25</v>
      </c>
      <c r="J13" s="123" t="s">
        <v>26</v>
      </c>
      <c r="K13" s="131"/>
      <c r="L13" s="131"/>
      <c r="M13" s="131"/>
      <c r="N13" s="131"/>
      <c r="O13" s="131"/>
      <c r="P13" s="131"/>
      <c r="Q13" s="131"/>
      <c r="R13" s="131"/>
      <c r="S13" s="131"/>
    </row>
    <row r="14" spans="2:19" ht="15.6" thickTop="1" thickBot="1" x14ac:dyDescent="0.35">
      <c r="B14" s="5" t="s">
        <v>9</v>
      </c>
      <c r="C14" s="6" t="s">
        <v>10</v>
      </c>
      <c r="D14" s="6" t="s">
        <v>10</v>
      </c>
      <c r="E14" s="6" t="s">
        <v>10</v>
      </c>
      <c r="F14" s="6" t="s">
        <v>10</v>
      </c>
      <c r="G14" s="5">
        <v>0</v>
      </c>
      <c r="H14" s="8" t="s">
        <v>10</v>
      </c>
      <c r="I14" s="8" t="s">
        <v>10</v>
      </c>
      <c r="J14" s="131"/>
      <c r="K14" s="131"/>
      <c r="L14" s="131"/>
      <c r="M14" s="131"/>
      <c r="N14" s="131"/>
      <c r="O14" s="131"/>
      <c r="P14" s="131"/>
      <c r="Q14" s="131"/>
      <c r="R14" s="131"/>
      <c r="S14" s="131"/>
    </row>
    <row r="15" spans="2:19" ht="15.6" thickTop="1" thickBot="1" x14ac:dyDescent="0.35">
      <c r="B15" s="5" t="s">
        <v>11</v>
      </c>
      <c r="C15" s="6" t="s">
        <v>10</v>
      </c>
      <c r="D15" s="6" t="s">
        <v>10</v>
      </c>
      <c r="E15" s="6" t="s">
        <v>10</v>
      </c>
      <c r="F15" s="6" t="s">
        <v>10</v>
      </c>
      <c r="G15" s="5">
        <v>0</v>
      </c>
      <c r="H15" s="8" t="s">
        <v>10</v>
      </c>
      <c r="I15" s="8" t="s">
        <v>10</v>
      </c>
      <c r="J15" s="132" t="s">
        <v>27</v>
      </c>
      <c r="K15" s="132"/>
      <c r="L15" s="132"/>
      <c r="M15" s="132"/>
      <c r="N15" s="132"/>
      <c r="O15" s="132"/>
      <c r="P15" s="132"/>
      <c r="Q15" s="132"/>
      <c r="R15" s="132"/>
      <c r="S15" s="132"/>
    </row>
    <row r="16" spans="2:19" ht="15.6" thickTop="1" thickBot="1" x14ac:dyDescent="0.35">
      <c r="B16" s="5" t="s">
        <v>13</v>
      </c>
      <c r="C16" s="6" t="s">
        <v>10</v>
      </c>
      <c r="D16" s="6" t="s">
        <v>10</v>
      </c>
      <c r="E16" s="6" t="s">
        <v>10</v>
      </c>
      <c r="F16" s="6" t="s">
        <v>10</v>
      </c>
      <c r="G16" s="5">
        <v>0</v>
      </c>
      <c r="H16" s="8" t="s">
        <v>10</v>
      </c>
      <c r="I16" s="8" t="s">
        <v>10</v>
      </c>
      <c r="J16" s="132"/>
      <c r="K16" s="132"/>
      <c r="L16" s="132"/>
      <c r="M16" s="132"/>
      <c r="N16" s="132"/>
      <c r="O16" s="132"/>
      <c r="P16" s="132"/>
      <c r="Q16" s="132"/>
      <c r="R16" s="132"/>
      <c r="S16" s="132"/>
    </row>
    <row r="17" spans="2:19" ht="15.6" thickTop="1" thickBot="1" x14ac:dyDescent="0.35">
      <c r="B17" s="5" t="s">
        <v>14</v>
      </c>
      <c r="C17" s="6" t="s">
        <v>10</v>
      </c>
      <c r="D17" s="6" t="s">
        <v>10</v>
      </c>
      <c r="E17" s="6" t="s">
        <v>10</v>
      </c>
      <c r="F17" s="6" t="s">
        <v>10</v>
      </c>
      <c r="G17" s="5">
        <v>0</v>
      </c>
      <c r="H17" s="8" t="s">
        <v>10</v>
      </c>
      <c r="I17" s="8" t="s">
        <v>10</v>
      </c>
    </row>
    <row r="18" spans="2:19" ht="15.6" thickTop="1" thickBot="1" x14ac:dyDescent="0.35">
      <c r="B18" s="5" t="s">
        <v>16</v>
      </c>
      <c r="C18" s="6" t="s">
        <v>10</v>
      </c>
      <c r="D18" s="6" t="s">
        <v>10</v>
      </c>
      <c r="E18" s="6" t="s">
        <v>10</v>
      </c>
      <c r="F18" s="6" t="s">
        <v>10</v>
      </c>
      <c r="G18" s="5">
        <v>0</v>
      </c>
      <c r="H18" s="8" t="s">
        <v>10</v>
      </c>
      <c r="I18" s="8" t="s">
        <v>10</v>
      </c>
    </row>
    <row r="19" spans="2:19" ht="15.6" thickTop="1" thickBot="1" x14ac:dyDescent="0.35">
      <c r="B19" s="5" t="s">
        <v>17</v>
      </c>
      <c r="C19" s="6" t="s">
        <v>10</v>
      </c>
      <c r="D19" s="6" t="s">
        <v>10</v>
      </c>
      <c r="E19" s="6" t="s">
        <v>10</v>
      </c>
      <c r="F19" s="6" t="s">
        <v>10</v>
      </c>
      <c r="G19" s="5">
        <v>0</v>
      </c>
      <c r="H19" s="8" t="s">
        <v>10</v>
      </c>
      <c r="I19" s="8" t="s">
        <v>10</v>
      </c>
    </row>
    <row r="20" spans="2:19" ht="15.6" thickTop="1" thickBot="1" x14ac:dyDescent="0.35">
      <c r="B20" s="5" t="s">
        <v>18</v>
      </c>
      <c r="C20" s="6" t="s">
        <v>10</v>
      </c>
      <c r="D20" s="6" t="s">
        <v>10</v>
      </c>
      <c r="E20" s="6" t="s">
        <v>10</v>
      </c>
      <c r="F20" s="6" t="s">
        <v>10</v>
      </c>
      <c r="G20" s="5">
        <v>0</v>
      </c>
      <c r="H20" s="8" t="s">
        <v>10</v>
      </c>
      <c r="I20" s="8" t="s">
        <v>10</v>
      </c>
    </row>
    <row r="21" spans="2:19" ht="15" thickTop="1" x14ac:dyDescent="0.3"/>
    <row r="22" spans="2:19" ht="15" thickBot="1" x14ac:dyDescent="0.35">
      <c r="B22" s="5" t="s">
        <v>28</v>
      </c>
      <c r="C22" s="10" t="s">
        <v>19</v>
      </c>
      <c r="D22" s="10" t="s">
        <v>20</v>
      </c>
      <c r="E22" s="10" t="s">
        <v>21</v>
      </c>
      <c r="F22" s="10" t="s">
        <v>22</v>
      </c>
      <c r="G22" s="10" t="s">
        <v>23</v>
      </c>
      <c r="H22" s="10" t="s">
        <v>24</v>
      </c>
      <c r="I22" s="10" t="s">
        <v>29</v>
      </c>
      <c r="J22" s="11" t="s">
        <v>30</v>
      </c>
      <c r="K22" s="123" t="s">
        <v>31</v>
      </c>
      <c r="L22" s="123"/>
      <c r="M22" s="123"/>
      <c r="N22" s="123"/>
      <c r="O22" s="123"/>
      <c r="P22" s="123"/>
      <c r="Q22" s="123"/>
      <c r="R22" s="123"/>
      <c r="S22" s="123"/>
    </row>
    <row r="23" spans="2:19" ht="15.6" thickTop="1" thickBot="1" x14ac:dyDescent="0.35">
      <c r="B23" s="6" t="s">
        <v>32</v>
      </c>
      <c r="C23" s="1">
        <v>10</v>
      </c>
      <c r="D23" s="1">
        <v>5</v>
      </c>
      <c r="E23" s="1">
        <v>20</v>
      </c>
      <c r="F23" s="1">
        <v>20</v>
      </c>
      <c r="G23" s="1">
        <v>15</v>
      </c>
      <c r="H23" s="1">
        <v>15</v>
      </c>
      <c r="I23" s="1">
        <v>15</v>
      </c>
      <c r="J23" s="12">
        <f>SUM(C23:I23)</f>
        <v>100</v>
      </c>
      <c r="K23" s="123"/>
      <c r="L23" s="123"/>
      <c r="M23" s="123"/>
      <c r="N23" s="123"/>
      <c r="O23" s="123"/>
      <c r="P23" s="123"/>
      <c r="Q23" s="123"/>
      <c r="R23" s="123"/>
      <c r="S23" s="123"/>
    </row>
    <row r="24" spans="2:19" ht="15" thickTop="1" x14ac:dyDescent="0.3"/>
    <row r="26" spans="2:19" x14ac:dyDescent="0.3">
      <c r="B26" s="122" t="s">
        <v>33</v>
      </c>
      <c r="C26" s="122"/>
      <c r="D26" s="122"/>
    </row>
    <row r="27" spans="2:19" x14ac:dyDescent="0.3">
      <c r="B27" s="5" t="s">
        <v>34</v>
      </c>
      <c r="C27" s="5" t="s">
        <v>35</v>
      </c>
      <c r="D27" s="5" t="s">
        <v>36</v>
      </c>
      <c r="G27" s="123" t="s">
        <v>37</v>
      </c>
      <c r="H27" s="123"/>
      <c r="I27" s="123"/>
      <c r="J27" s="123"/>
      <c r="K27" s="123"/>
      <c r="L27" s="123"/>
      <c r="M27" s="123"/>
      <c r="N27" s="123"/>
    </row>
    <row r="28" spans="2:19" x14ac:dyDescent="0.3">
      <c r="B28" s="5" t="s">
        <v>38</v>
      </c>
      <c r="C28" s="13">
        <v>90</v>
      </c>
      <c r="D28" s="13">
        <v>100</v>
      </c>
      <c r="G28" s="123"/>
      <c r="H28" s="123"/>
      <c r="I28" s="123"/>
      <c r="J28" s="123"/>
      <c r="K28" s="123"/>
      <c r="L28" s="123"/>
      <c r="M28" s="123"/>
      <c r="N28" s="123"/>
    </row>
    <row r="29" spans="2:19" x14ac:dyDescent="0.3">
      <c r="B29" s="5" t="s">
        <v>39</v>
      </c>
      <c r="C29" s="13">
        <v>85</v>
      </c>
      <c r="D29" s="13">
        <v>90</v>
      </c>
    </row>
    <row r="30" spans="2:19" x14ac:dyDescent="0.3">
      <c r="B30" s="5" t="s">
        <v>40</v>
      </c>
      <c r="C30" s="13">
        <v>80</v>
      </c>
      <c r="D30" s="13">
        <v>85</v>
      </c>
      <c r="O30" s="14"/>
    </row>
    <row r="31" spans="2:19" x14ac:dyDescent="0.3">
      <c r="B31" s="5" t="s">
        <v>41</v>
      </c>
      <c r="C31" s="13">
        <v>75</v>
      </c>
      <c r="D31" s="13">
        <v>80</v>
      </c>
    </row>
    <row r="32" spans="2:19" x14ac:dyDescent="0.3">
      <c r="B32" s="5" t="s">
        <v>42</v>
      </c>
      <c r="C32" s="13">
        <v>70</v>
      </c>
      <c r="D32" s="13">
        <v>75</v>
      </c>
    </row>
    <row r="33" spans="2:24" x14ac:dyDescent="0.3">
      <c r="B33" s="5" t="s">
        <v>43</v>
      </c>
      <c r="C33" s="13">
        <v>65</v>
      </c>
      <c r="D33" s="13">
        <v>70</v>
      </c>
    </row>
    <row r="34" spans="2:24" x14ac:dyDescent="0.3">
      <c r="B34" s="5" t="s">
        <v>44</v>
      </c>
      <c r="C34" s="13">
        <v>60</v>
      </c>
      <c r="D34" s="13">
        <v>65</v>
      </c>
      <c r="I34" s="119" t="s">
        <v>45</v>
      </c>
      <c r="J34" s="119"/>
      <c r="K34" s="119"/>
      <c r="L34" s="119"/>
      <c r="M34" s="119"/>
      <c r="N34" s="119"/>
      <c r="O34" s="119"/>
      <c r="P34" s="119"/>
      <c r="Q34" s="119"/>
      <c r="R34" s="119"/>
    </row>
    <row r="35" spans="2:24" x14ac:dyDescent="0.3">
      <c r="B35" s="5" t="s">
        <v>46</v>
      </c>
      <c r="C35" s="13">
        <v>50</v>
      </c>
      <c r="D35" s="13">
        <v>60</v>
      </c>
      <c r="I35" s="119"/>
      <c r="J35" s="119"/>
      <c r="K35" s="119"/>
      <c r="L35" s="119"/>
      <c r="M35" s="119"/>
      <c r="N35" s="119"/>
      <c r="O35" s="119"/>
      <c r="P35" s="119"/>
      <c r="Q35" s="119"/>
      <c r="R35" s="119"/>
    </row>
    <row r="36" spans="2:24" x14ac:dyDescent="0.3">
      <c r="B36" s="5" t="s">
        <v>47</v>
      </c>
      <c r="C36" s="13">
        <v>0</v>
      </c>
      <c r="D36" s="13">
        <v>50</v>
      </c>
      <c r="I36" s="124" t="s">
        <v>48</v>
      </c>
      <c r="J36" s="125"/>
      <c r="K36" s="125"/>
      <c r="L36" s="125"/>
      <c r="M36" s="125"/>
      <c r="N36" s="125"/>
      <c r="O36" s="125"/>
      <c r="P36" s="125"/>
      <c r="Q36" s="125"/>
      <c r="R36" s="125"/>
    </row>
    <row r="37" spans="2:24" x14ac:dyDescent="0.3">
      <c r="B37" s="5" t="s">
        <v>49</v>
      </c>
      <c r="C37" s="1" t="s">
        <v>50</v>
      </c>
      <c r="D37" s="1" t="s">
        <v>50</v>
      </c>
    </row>
    <row r="39" spans="2:24" x14ac:dyDescent="0.3">
      <c r="B39" s="126" t="s">
        <v>51</v>
      </c>
      <c r="C39" s="127"/>
      <c r="D39" s="128"/>
    </row>
    <row r="40" spans="2:24" ht="15" thickBot="1" x14ac:dyDescent="0.35">
      <c r="B40" s="5" t="s">
        <v>52</v>
      </c>
      <c r="C40" s="5" t="s">
        <v>53</v>
      </c>
      <c r="D40" s="6" t="s">
        <v>54</v>
      </c>
    </row>
    <row r="41" spans="2:24" ht="15.6" thickTop="1" thickBot="1" x14ac:dyDescent="0.35">
      <c r="B41" s="5" t="s">
        <v>55</v>
      </c>
      <c r="C41" s="14">
        <v>10</v>
      </c>
      <c r="D41" s="9" t="e">
        <v>#REF!</v>
      </c>
    </row>
    <row r="42" spans="2:24" ht="15.6" thickTop="1" thickBot="1" x14ac:dyDescent="0.35">
      <c r="B42" s="5" t="s">
        <v>56</v>
      </c>
      <c r="C42" s="14">
        <v>20</v>
      </c>
      <c r="D42" s="9" t="e">
        <v>#REF!</v>
      </c>
      <c r="I42" s="129" t="s">
        <v>57</v>
      </c>
      <c r="J42" s="129"/>
      <c r="K42" s="129"/>
      <c r="L42" s="129"/>
      <c r="M42" s="129"/>
      <c r="N42" s="129"/>
      <c r="O42" s="129"/>
    </row>
    <row r="43" spans="2:24" ht="15.6" thickTop="1" thickBot="1" x14ac:dyDescent="0.35">
      <c r="B43" s="5" t="s">
        <v>1</v>
      </c>
      <c r="C43" s="14">
        <v>30</v>
      </c>
      <c r="D43" s="9" t="e">
        <v>#REF!</v>
      </c>
      <c r="I43" s="129"/>
      <c r="J43" s="129"/>
      <c r="K43" s="129"/>
      <c r="L43" s="129"/>
      <c r="M43" s="129"/>
      <c r="N43" s="129"/>
      <c r="O43" s="129"/>
    </row>
    <row r="44" spans="2:24" ht="15.6" customHeight="1" thickTop="1" thickBot="1" x14ac:dyDescent="0.35">
      <c r="B44" s="5" t="s">
        <v>58</v>
      </c>
      <c r="C44" s="14">
        <v>40</v>
      </c>
      <c r="D44" s="9" t="e" cm="1">
        <f t="array" ref="D44">#REF!</f>
        <v>#REF!</v>
      </c>
      <c r="I44" s="119" t="s">
        <v>59</v>
      </c>
      <c r="J44" s="119"/>
      <c r="K44" s="119"/>
      <c r="L44" s="119"/>
      <c r="M44" s="119"/>
      <c r="N44" s="119"/>
      <c r="O44" s="119"/>
      <c r="P44" s="119"/>
    </row>
    <row r="45" spans="2:24" ht="15.6" thickTop="1" thickBot="1" x14ac:dyDescent="0.35">
      <c r="B45" s="5" t="s">
        <v>60</v>
      </c>
      <c r="C45" s="15">
        <f>SUM(C41,C42,C43,C44)</f>
        <v>100</v>
      </c>
      <c r="D45" s="9" t="s">
        <v>0</v>
      </c>
      <c r="I45" s="119"/>
      <c r="J45" s="119"/>
      <c r="K45" s="119"/>
      <c r="L45" s="119"/>
      <c r="M45" s="119"/>
      <c r="N45" s="119"/>
      <c r="O45" s="119"/>
      <c r="P45" s="119"/>
    </row>
    <row r="46" spans="2:24" ht="15" thickTop="1" x14ac:dyDescent="0.3"/>
    <row r="48" spans="2:24" ht="15" x14ac:dyDescent="0.3">
      <c r="B48" s="16"/>
      <c r="C48" s="120" t="s">
        <v>61</v>
      </c>
      <c r="D48" s="120"/>
      <c r="E48" s="120" t="s">
        <v>62</v>
      </c>
      <c r="F48" s="120"/>
      <c r="G48" s="121" t="s">
        <v>63</v>
      </c>
      <c r="H48" s="121"/>
      <c r="I48" s="120" t="s">
        <v>64</v>
      </c>
      <c r="J48" s="120"/>
      <c r="K48" s="120" t="s">
        <v>65</v>
      </c>
      <c r="L48" s="120"/>
      <c r="M48" s="120" t="s">
        <v>66</v>
      </c>
      <c r="N48" s="120"/>
      <c r="O48" s="120" t="s">
        <v>67</v>
      </c>
      <c r="P48" s="120"/>
      <c r="Q48" s="110" t="s">
        <v>68</v>
      </c>
      <c r="R48" s="110"/>
      <c r="S48" s="110" t="s">
        <v>69</v>
      </c>
      <c r="T48" s="110"/>
      <c r="U48" s="110" t="s">
        <v>70</v>
      </c>
      <c r="V48" s="110"/>
      <c r="W48" s="110" t="s">
        <v>71</v>
      </c>
      <c r="X48" s="111"/>
    </row>
    <row r="49" spans="2:24" ht="15" x14ac:dyDescent="0.3">
      <c r="B49" s="17" t="s">
        <v>72</v>
      </c>
      <c r="C49" s="18" t="b">
        <v>0</v>
      </c>
      <c r="D49" s="19" t="s">
        <v>10</v>
      </c>
      <c r="E49" s="20" t="b">
        <v>0</v>
      </c>
      <c r="F49" s="19" t="s">
        <v>10</v>
      </c>
      <c r="G49" s="21" t="b">
        <v>0</v>
      </c>
      <c r="H49" s="19" t="s">
        <v>10</v>
      </c>
      <c r="I49" s="20" t="b">
        <v>0</v>
      </c>
      <c r="J49" s="19" t="s">
        <v>10</v>
      </c>
      <c r="K49" s="18" t="b">
        <v>0</v>
      </c>
      <c r="L49" s="19" t="s">
        <v>10</v>
      </c>
      <c r="M49" s="18" t="b">
        <v>0</v>
      </c>
      <c r="N49" s="19" t="s">
        <v>10</v>
      </c>
      <c r="O49" s="18" t="b">
        <v>0</v>
      </c>
      <c r="P49" s="19" t="s">
        <v>10</v>
      </c>
      <c r="Q49" s="18" t="b">
        <v>0</v>
      </c>
      <c r="R49" s="19" t="s">
        <v>10</v>
      </c>
      <c r="S49" s="18" t="b">
        <v>0</v>
      </c>
      <c r="T49" s="19" t="s">
        <v>10</v>
      </c>
      <c r="U49" s="18" t="b">
        <v>0</v>
      </c>
      <c r="V49" s="19" t="s">
        <v>10</v>
      </c>
      <c r="W49" s="18" t="b">
        <v>0</v>
      </c>
      <c r="X49" s="19" t="s">
        <v>10</v>
      </c>
    </row>
    <row r="50" spans="2:24" ht="15" x14ac:dyDescent="0.3">
      <c r="B50" s="16" t="s">
        <v>73</v>
      </c>
      <c r="C50" s="22" t="b">
        <v>0</v>
      </c>
      <c r="D50" s="23" t="s">
        <v>10</v>
      </c>
      <c r="E50" s="24" t="b">
        <v>0</v>
      </c>
      <c r="F50" s="23" t="s">
        <v>10</v>
      </c>
      <c r="G50" s="25" t="b">
        <v>0</v>
      </c>
      <c r="H50" s="23" t="s">
        <v>10</v>
      </c>
      <c r="I50" s="24" t="b">
        <v>0</v>
      </c>
      <c r="J50" s="23" t="s">
        <v>10</v>
      </c>
      <c r="K50" s="22" t="b">
        <v>0</v>
      </c>
      <c r="L50" s="23" t="s">
        <v>10</v>
      </c>
      <c r="M50" s="22" t="b">
        <v>0</v>
      </c>
      <c r="N50" s="23" t="s">
        <v>10</v>
      </c>
      <c r="O50" s="22" t="b">
        <v>0</v>
      </c>
      <c r="P50" s="23" t="s">
        <v>10</v>
      </c>
      <c r="Q50" s="22" t="b">
        <v>0</v>
      </c>
      <c r="R50" s="23" t="s">
        <v>10</v>
      </c>
      <c r="S50" s="22" t="b">
        <v>0</v>
      </c>
      <c r="T50" s="23" t="s">
        <v>10</v>
      </c>
      <c r="U50" s="22" t="b">
        <v>0</v>
      </c>
      <c r="V50" s="23" t="s">
        <v>10</v>
      </c>
      <c r="W50" s="22" t="b">
        <v>0</v>
      </c>
      <c r="X50" s="23" t="s">
        <v>10</v>
      </c>
    </row>
    <row r="51" spans="2:24" ht="15" x14ac:dyDescent="0.3">
      <c r="B51" s="16" t="s">
        <v>74</v>
      </c>
      <c r="C51" s="22" t="b">
        <v>0</v>
      </c>
      <c r="D51" s="23" t="s">
        <v>10</v>
      </c>
      <c r="E51" s="24" t="b">
        <v>0</v>
      </c>
      <c r="F51" s="23" t="s">
        <v>10</v>
      </c>
      <c r="G51" s="25" t="b">
        <v>0</v>
      </c>
      <c r="H51" s="23" t="s">
        <v>10</v>
      </c>
      <c r="I51" s="24" t="b">
        <v>0</v>
      </c>
      <c r="J51" s="23" t="s">
        <v>10</v>
      </c>
      <c r="K51" s="22" t="b">
        <v>0</v>
      </c>
      <c r="L51" s="23" t="s">
        <v>10</v>
      </c>
      <c r="M51" s="22" t="b">
        <v>0</v>
      </c>
      <c r="N51" s="23" t="s">
        <v>10</v>
      </c>
      <c r="O51" s="22" t="b">
        <v>0</v>
      </c>
      <c r="P51" s="23" t="s">
        <v>10</v>
      </c>
      <c r="Q51" s="22" t="b">
        <v>0</v>
      </c>
      <c r="R51" s="23" t="s">
        <v>10</v>
      </c>
      <c r="S51" s="22" t="b">
        <v>0</v>
      </c>
      <c r="T51" s="23" t="s">
        <v>10</v>
      </c>
      <c r="U51" s="22" t="b">
        <v>0</v>
      </c>
      <c r="V51" s="23" t="s">
        <v>10</v>
      </c>
      <c r="W51" s="22" t="b">
        <v>0</v>
      </c>
      <c r="X51" s="23" t="s">
        <v>10</v>
      </c>
    </row>
    <row r="52" spans="2:24" ht="15" x14ac:dyDescent="0.3">
      <c r="B52" s="17" t="s">
        <v>75</v>
      </c>
      <c r="C52" s="18" t="b">
        <v>0</v>
      </c>
      <c r="D52" s="19" t="s">
        <v>10</v>
      </c>
      <c r="E52" s="20" t="b">
        <v>0</v>
      </c>
      <c r="F52" s="19" t="s">
        <v>10</v>
      </c>
      <c r="G52" s="21" t="b">
        <v>0</v>
      </c>
      <c r="H52" s="19" t="s">
        <v>10</v>
      </c>
      <c r="I52" s="20" t="b">
        <v>0</v>
      </c>
      <c r="J52" s="19" t="s">
        <v>10</v>
      </c>
      <c r="K52" s="18" t="b">
        <v>0</v>
      </c>
      <c r="L52" s="19" t="s">
        <v>10</v>
      </c>
      <c r="M52" s="18" t="b">
        <v>0</v>
      </c>
      <c r="N52" s="19" t="s">
        <v>10</v>
      </c>
      <c r="O52" s="18" t="b">
        <v>0</v>
      </c>
      <c r="P52" s="19" t="s">
        <v>10</v>
      </c>
      <c r="Q52" s="18" t="b">
        <v>0</v>
      </c>
      <c r="R52" s="19" t="s">
        <v>10</v>
      </c>
      <c r="S52" s="18" t="b">
        <v>0</v>
      </c>
      <c r="T52" s="19" t="s">
        <v>10</v>
      </c>
      <c r="U52" s="18" t="b">
        <v>0</v>
      </c>
      <c r="V52" s="19" t="s">
        <v>10</v>
      </c>
      <c r="W52" s="18" t="b">
        <v>0</v>
      </c>
      <c r="X52" s="19" t="s">
        <v>10</v>
      </c>
    </row>
    <row r="53" spans="2:24" ht="15" x14ac:dyDescent="0.3">
      <c r="B53" s="26"/>
      <c r="C53" s="18"/>
      <c r="D53" s="19" t="s">
        <v>10</v>
      </c>
      <c r="E53" s="20"/>
      <c r="F53" s="19" t="s">
        <v>10</v>
      </c>
      <c r="G53" s="21"/>
      <c r="H53" s="19" t="s">
        <v>10</v>
      </c>
      <c r="I53" s="20"/>
      <c r="J53" s="19" t="s">
        <v>10</v>
      </c>
      <c r="K53" s="18"/>
      <c r="L53" s="19" t="s">
        <v>10</v>
      </c>
      <c r="M53" s="18"/>
      <c r="N53" s="19" t="s">
        <v>10</v>
      </c>
      <c r="O53" s="18"/>
      <c r="P53" s="19" t="s">
        <v>10</v>
      </c>
      <c r="Q53" s="18"/>
      <c r="R53" s="19" t="s">
        <v>10</v>
      </c>
      <c r="S53" s="18"/>
      <c r="T53" s="19" t="s">
        <v>10</v>
      </c>
      <c r="U53" s="18"/>
      <c r="V53" s="19" t="s">
        <v>10</v>
      </c>
      <c r="W53" s="18"/>
      <c r="X53" s="19" t="s">
        <v>10</v>
      </c>
    </row>
    <row r="54" spans="2:24" x14ac:dyDescent="0.3">
      <c r="B54" s="112" t="s">
        <v>76</v>
      </c>
      <c r="C54" s="112"/>
      <c r="D54" s="112"/>
      <c r="E54" s="112"/>
      <c r="F54" s="112"/>
      <c r="G54" s="112"/>
      <c r="H54" s="112"/>
      <c r="I54" s="112"/>
      <c r="J54" s="112"/>
      <c r="K54" s="112"/>
      <c r="L54" s="112"/>
      <c r="M54" s="112"/>
      <c r="N54" s="112"/>
      <c r="O54" s="112"/>
      <c r="P54" s="112"/>
      <c r="Q54" s="112"/>
      <c r="R54" s="112"/>
      <c r="S54" s="112"/>
      <c r="T54" s="112"/>
      <c r="U54" s="112"/>
      <c r="V54" s="112"/>
      <c r="W54" s="112"/>
      <c r="X54" s="112"/>
    </row>
    <row r="57" spans="2:24" x14ac:dyDescent="0.3">
      <c r="B57" s="27" t="s">
        <v>77</v>
      </c>
      <c r="C57" s="27" t="s">
        <v>78</v>
      </c>
      <c r="D57" s="28"/>
      <c r="E57" s="28"/>
      <c r="F57" s="28"/>
      <c r="G57" s="28"/>
      <c r="H57" s="28"/>
      <c r="I57" s="28"/>
      <c r="J57" s="28"/>
      <c r="K57" s="29"/>
    </row>
    <row r="58" spans="2:24" ht="14.4" customHeight="1" x14ac:dyDescent="0.3">
      <c r="B58" s="30">
        <v>1</v>
      </c>
      <c r="C58" s="5" t="s">
        <v>79</v>
      </c>
      <c r="D58" s="113" t="s">
        <v>80</v>
      </c>
      <c r="E58" s="113"/>
      <c r="F58" s="113"/>
      <c r="G58" s="113"/>
      <c r="H58" s="113"/>
      <c r="I58" s="113"/>
      <c r="J58" s="113"/>
      <c r="K58" s="4"/>
    </row>
    <row r="59" spans="2:24" x14ac:dyDescent="0.3">
      <c r="B59" s="30">
        <v>2</v>
      </c>
      <c r="C59" s="5" t="s">
        <v>81</v>
      </c>
      <c r="D59" s="113"/>
      <c r="E59" s="113"/>
      <c r="F59" s="113"/>
      <c r="G59" s="113"/>
      <c r="H59" s="113"/>
      <c r="I59" s="113"/>
      <c r="J59" s="113"/>
      <c r="K59" s="4"/>
    </row>
    <row r="60" spans="2:24" x14ac:dyDescent="0.3">
      <c r="B60" s="30">
        <v>3</v>
      </c>
      <c r="C60" s="5" t="s">
        <v>82</v>
      </c>
      <c r="D60" s="113"/>
      <c r="E60" s="113"/>
      <c r="F60" s="113"/>
      <c r="G60" s="113"/>
      <c r="H60" s="113"/>
      <c r="I60" s="113"/>
      <c r="J60" s="113"/>
      <c r="K60" s="4"/>
    </row>
    <row r="61" spans="2:24" x14ac:dyDescent="0.3">
      <c r="B61" s="1">
        <v>4</v>
      </c>
      <c r="C61" s="5" t="s">
        <v>83</v>
      </c>
    </row>
    <row r="62" spans="2:24" ht="14.4" customHeight="1" x14ac:dyDescent="0.3">
      <c r="D62" s="6"/>
      <c r="E62" s="6"/>
      <c r="F62" s="6"/>
      <c r="G62" s="6"/>
      <c r="H62" s="6"/>
      <c r="I62" s="6"/>
      <c r="J62" s="6"/>
      <c r="K62" s="6"/>
      <c r="L62" s="6"/>
      <c r="M62" s="6"/>
    </row>
    <row r="63" spans="2:24" x14ac:dyDescent="0.3">
      <c r="D63" s="6"/>
      <c r="E63" s="6"/>
      <c r="F63" s="6"/>
      <c r="G63" s="6"/>
      <c r="H63" s="6"/>
      <c r="I63" s="6"/>
      <c r="J63" s="6"/>
      <c r="K63" s="6"/>
      <c r="L63" s="6"/>
      <c r="M63" s="6"/>
    </row>
    <row r="65" spans="2:12" x14ac:dyDescent="0.3">
      <c r="E65" s="114" t="s">
        <v>84</v>
      </c>
      <c r="F65" s="114"/>
    </row>
    <row r="66" spans="2:12" ht="15" thickBot="1" x14ac:dyDescent="0.35">
      <c r="B66" s="6" t="s">
        <v>85</v>
      </c>
      <c r="C66" s="10" t="s">
        <v>19</v>
      </c>
      <c r="D66" s="10" t="s">
        <v>20</v>
      </c>
      <c r="E66" s="10" t="s">
        <v>21</v>
      </c>
      <c r="F66" s="10" t="s">
        <v>22</v>
      </c>
      <c r="G66" s="10" t="s">
        <v>23</v>
      </c>
      <c r="H66" s="10" t="s">
        <v>24</v>
      </c>
      <c r="I66" s="10" t="s">
        <v>29</v>
      </c>
      <c r="J66" s="31" t="s">
        <v>86</v>
      </c>
      <c r="K66" s="11" t="s">
        <v>87</v>
      </c>
      <c r="L66" s="6" t="s">
        <v>88</v>
      </c>
    </row>
    <row r="67" spans="2:12" ht="15.6" thickTop="1" thickBot="1" x14ac:dyDescent="0.35">
      <c r="B67" s="29">
        <v>1</v>
      </c>
      <c r="C67" s="32">
        <v>10</v>
      </c>
      <c r="D67" s="32">
        <v>5</v>
      </c>
      <c r="E67" s="32">
        <v>10</v>
      </c>
      <c r="F67" s="32">
        <v>0</v>
      </c>
      <c r="G67" s="32">
        <v>5</v>
      </c>
      <c r="H67" s="32">
        <v>0</v>
      </c>
      <c r="I67" s="32">
        <v>0</v>
      </c>
      <c r="J67" s="33">
        <f>SUM(Tablo1653[[#This Row],[Q1]:[Q7]])</f>
        <v>30</v>
      </c>
      <c r="K67" s="34" t="e">
        <v>#REF!</v>
      </c>
      <c r="L67" s="33" t="e">
        <f>$K67*#REF!</f>
        <v>#REF!</v>
      </c>
    </row>
    <row r="68" spans="2:12" ht="15.6" thickTop="1" thickBot="1" x14ac:dyDescent="0.35">
      <c r="B68" s="14">
        <v>2</v>
      </c>
      <c r="C68" s="35">
        <v>5</v>
      </c>
      <c r="D68" s="35">
        <v>0</v>
      </c>
      <c r="E68" s="35">
        <v>0</v>
      </c>
      <c r="F68" s="35">
        <v>0</v>
      </c>
      <c r="G68" s="35">
        <v>0</v>
      </c>
      <c r="H68" s="35">
        <v>5</v>
      </c>
      <c r="I68" s="35">
        <v>0</v>
      </c>
      <c r="J68" s="33">
        <f>SUM(Tablo1653[[#This Row],[Q1]:[Q7]])</f>
        <v>10</v>
      </c>
      <c r="K68" s="34" t="e">
        <v>#REF!</v>
      </c>
      <c r="L68" s="33" t="e">
        <f>$K68*#REF!</f>
        <v>#REF!</v>
      </c>
    </row>
    <row r="69" spans="2:12" ht="15.6" thickTop="1" thickBot="1" x14ac:dyDescent="0.35">
      <c r="B69" s="14">
        <v>3</v>
      </c>
      <c r="C69" s="35">
        <v>0</v>
      </c>
      <c r="D69" s="35">
        <v>0</v>
      </c>
      <c r="E69" s="35">
        <v>0</v>
      </c>
      <c r="F69" s="35">
        <v>0</v>
      </c>
      <c r="G69" s="35">
        <v>5</v>
      </c>
      <c r="H69" s="35">
        <v>0</v>
      </c>
      <c r="I69" s="35">
        <v>0</v>
      </c>
      <c r="J69" s="33">
        <f>SUM(Tablo1653[[#This Row],[Q1]:[Q7]])</f>
        <v>5</v>
      </c>
      <c r="K69" s="34" t="e">
        <v>#REF!</v>
      </c>
      <c r="L69" s="33" t="e">
        <f>$K69*#REF!</f>
        <v>#REF!</v>
      </c>
    </row>
    <row r="70" spans="2:12" ht="15.6" thickTop="1" thickBot="1" x14ac:dyDescent="0.35">
      <c r="B70" s="14">
        <v>4</v>
      </c>
      <c r="C70" s="35" t="b">
        <v>1</v>
      </c>
      <c r="D70" s="35">
        <v>0</v>
      </c>
      <c r="E70" s="35">
        <v>0</v>
      </c>
      <c r="F70" s="35">
        <v>10</v>
      </c>
      <c r="G70" s="35">
        <v>5</v>
      </c>
      <c r="H70" s="35">
        <v>5</v>
      </c>
      <c r="I70" s="35">
        <v>20</v>
      </c>
      <c r="J70" s="33">
        <f>SUM(Tablo1653[[#This Row],[Q1]:[Q7]])</f>
        <v>40</v>
      </c>
      <c r="K70" s="34" t="e">
        <v>#REF!</v>
      </c>
      <c r="L70" s="33" t="e">
        <f>$K70*$D64</f>
        <v>#REF!</v>
      </c>
    </row>
    <row r="71" spans="2:12" ht="15" thickTop="1" x14ac:dyDescent="0.3"/>
    <row r="73" spans="2:12" x14ac:dyDescent="0.3">
      <c r="F73" s="115" t="s">
        <v>89</v>
      </c>
      <c r="G73" s="115"/>
      <c r="H73" s="115"/>
      <c r="I73" s="115"/>
    </row>
    <row r="75" spans="2:12" x14ac:dyDescent="0.3">
      <c r="B75" s="116" t="s">
        <v>90</v>
      </c>
      <c r="C75" s="117"/>
      <c r="D75" s="117"/>
      <c r="E75" s="117"/>
      <c r="F75" s="117"/>
      <c r="G75" s="117"/>
      <c r="H75" s="117"/>
    </row>
    <row r="76" spans="2:12" x14ac:dyDescent="0.3">
      <c r="B76" s="11" t="s">
        <v>77</v>
      </c>
      <c r="C76" s="11" t="s">
        <v>78</v>
      </c>
      <c r="D76" s="29" t="s">
        <v>91</v>
      </c>
      <c r="E76" s="2" t="s">
        <v>1</v>
      </c>
      <c r="F76" s="2" t="s">
        <v>2</v>
      </c>
      <c r="G76" s="2" t="s">
        <v>3</v>
      </c>
      <c r="H76" s="2" t="s">
        <v>4</v>
      </c>
    </row>
    <row r="77" spans="2:12" x14ac:dyDescent="0.3">
      <c r="B77" s="30">
        <v>1</v>
      </c>
      <c r="C77" s="36" t="s">
        <v>79</v>
      </c>
      <c r="D77" s="14" t="s">
        <v>10</v>
      </c>
      <c r="E77" s="37">
        <v>30</v>
      </c>
      <c r="F77" s="35" t="s">
        <v>10</v>
      </c>
      <c r="G77" s="35" t="s">
        <v>10</v>
      </c>
      <c r="H77" s="35" t="s">
        <v>10</v>
      </c>
    </row>
    <row r="78" spans="2:12" x14ac:dyDescent="0.3">
      <c r="B78" s="30">
        <v>2</v>
      </c>
      <c r="C78" s="36" t="s">
        <v>81</v>
      </c>
      <c r="D78" s="14" t="s">
        <v>10</v>
      </c>
      <c r="E78" s="37">
        <v>10</v>
      </c>
      <c r="F78" s="35" t="s">
        <v>10</v>
      </c>
      <c r="G78" s="35" t="s">
        <v>10</v>
      </c>
      <c r="H78" s="35" t="s">
        <v>10</v>
      </c>
    </row>
    <row r="79" spans="2:12" x14ac:dyDescent="0.3">
      <c r="B79" s="30">
        <v>3</v>
      </c>
      <c r="C79" s="36" t="s">
        <v>82</v>
      </c>
      <c r="D79" s="14" t="s">
        <v>10</v>
      </c>
      <c r="E79" s="37">
        <v>5</v>
      </c>
      <c r="F79" s="35" t="s">
        <v>10</v>
      </c>
      <c r="G79" s="35" t="s">
        <v>10</v>
      </c>
      <c r="H79" s="35" t="s">
        <v>10</v>
      </c>
    </row>
    <row r="80" spans="2:12" x14ac:dyDescent="0.3">
      <c r="B80" s="1">
        <v>4</v>
      </c>
      <c r="C80" s="36" t="s">
        <v>83</v>
      </c>
      <c r="D80" s="14" t="s">
        <v>10</v>
      </c>
      <c r="E80" s="37">
        <v>40</v>
      </c>
      <c r="F80" s="35" t="s">
        <v>10</v>
      </c>
      <c r="G80" s="35" t="s">
        <v>10</v>
      </c>
      <c r="H80" s="35" t="s">
        <v>10</v>
      </c>
    </row>
    <row r="84" spans="2:25" ht="25.95" customHeight="1" x14ac:dyDescent="0.6">
      <c r="B84" s="107" t="s">
        <v>92</v>
      </c>
      <c r="C84" s="107"/>
      <c r="D84" s="107"/>
      <c r="E84" s="107"/>
      <c r="F84" s="107"/>
      <c r="G84" s="107"/>
      <c r="H84" s="107"/>
      <c r="I84" s="107"/>
      <c r="K84" s="118" t="s">
        <v>93</v>
      </c>
      <c r="L84" s="118"/>
      <c r="M84" s="118"/>
      <c r="N84" s="118"/>
      <c r="O84" s="118"/>
      <c r="P84" s="118"/>
      <c r="Q84" s="118"/>
      <c r="R84" s="118"/>
      <c r="S84" s="118"/>
      <c r="T84" s="38"/>
      <c r="U84" s="38"/>
      <c r="V84" s="38"/>
      <c r="W84" s="38"/>
      <c r="X84" s="38"/>
      <c r="Y84" s="38"/>
    </row>
    <row r="85" spans="2:25" ht="14.4" customHeight="1" x14ac:dyDescent="0.6">
      <c r="B85" s="39" t="s">
        <v>94</v>
      </c>
      <c r="C85" s="39" t="s">
        <v>95</v>
      </c>
      <c r="D85" s="39" t="s">
        <v>96</v>
      </c>
      <c r="E85" s="39" t="s">
        <v>97</v>
      </c>
      <c r="F85" s="39" t="s">
        <v>98</v>
      </c>
      <c r="G85" s="39" t="s">
        <v>99</v>
      </c>
      <c r="H85" s="39" t="s">
        <v>100</v>
      </c>
      <c r="I85" s="39" t="s">
        <v>101</v>
      </c>
      <c r="K85" s="118"/>
      <c r="L85" s="118"/>
      <c r="M85" s="118"/>
      <c r="N85" s="118"/>
      <c r="O85" s="118"/>
      <c r="P85" s="118"/>
      <c r="Q85" s="118"/>
      <c r="R85" s="118"/>
      <c r="S85" s="118"/>
      <c r="T85" s="38"/>
      <c r="U85" s="38"/>
      <c r="V85" s="38"/>
      <c r="W85" s="38"/>
      <c r="X85" s="38"/>
      <c r="Y85" s="38"/>
    </row>
    <row r="86" spans="2:25" ht="14.4" customHeight="1" x14ac:dyDescent="0.6">
      <c r="B86" s="40">
        <v>1</v>
      </c>
      <c r="C86" s="40">
        <v>1</v>
      </c>
      <c r="D86" s="40" t="s">
        <v>10</v>
      </c>
      <c r="E86" s="40" t="s">
        <v>10</v>
      </c>
      <c r="F86" s="40" t="s">
        <v>10</v>
      </c>
      <c r="G86" s="40" t="s">
        <v>10</v>
      </c>
      <c r="H86" s="40" t="s">
        <v>10</v>
      </c>
      <c r="I86" s="40" t="s">
        <v>10</v>
      </c>
      <c r="K86" s="118"/>
      <c r="L86" s="118"/>
      <c r="M86" s="118"/>
      <c r="N86" s="118"/>
      <c r="O86" s="118"/>
      <c r="P86" s="118"/>
      <c r="Q86" s="118"/>
      <c r="R86" s="118"/>
      <c r="S86" s="118"/>
      <c r="T86" s="38"/>
      <c r="U86" s="38"/>
      <c r="V86" s="38"/>
      <c r="W86" s="38"/>
      <c r="X86" s="38"/>
      <c r="Y86" s="38"/>
    </row>
    <row r="87" spans="2:25" ht="14.4" customHeight="1" x14ac:dyDescent="0.6">
      <c r="B87" s="41">
        <v>2</v>
      </c>
      <c r="C87" s="41">
        <v>2</v>
      </c>
      <c r="D87" s="41" t="s">
        <v>10</v>
      </c>
      <c r="E87" s="41" t="s">
        <v>10</v>
      </c>
      <c r="F87" s="41" t="s">
        <v>10</v>
      </c>
      <c r="G87" s="41" t="s">
        <v>10</v>
      </c>
      <c r="H87" s="41" t="s">
        <v>10</v>
      </c>
      <c r="I87" s="41" t="s">
        <v>10</v>
      </c>
      <c r="K87" s="118"/>
      <c r="L87" s="118"/>
      <c r="M87" s="118"/>
      <c r="N87" s="118"/>
      <c r="O87" s="118"/>
      <c r="P87" s="118"/>
      <c r="Q87" s="118"/>
      <c r="R87" s="118"/>
      <c r="S87" s="118"/>
      <c r="T87" s="38"/>
      <c r="U87" s="38"/>
      <c r="V87" s="38"/>
      <c r="W87" s="38"/>
      <c r="X87" s="38"/>
      <c r="Y87" s="38"/>
    </row>
    <row r="88" spans="2:25" ht="14.4" customHeight="1" x14ac:dyDescent="0.6">
      <c r="B88" s="40">
        <v>3</v>
      </c>
      <c r="C88" s="40">
        <v>3</v>
      </c>
      <c r="D88" s="40" t="s">
        <v>10</v>
      </c>
      <c r="E88" s="40" t="s">
        <v>10</v>
      </c>
      <c r="F88" s="40" t="s">
        <v>10</v>
      </c>
      <c r="G88" s="40" t="s">
        <v>10</v>
      </c>
      <c r="H88" s="40" t="s">
        <v>10</v>
      </c>
      <c r="I88" s="40" t="s">
        <v>10</v>
      </c>
      <c r="K88" s="118"/>
      <c r="L88" s="118"/>
      <c r="M88" s="118"/>
      <c r="N88" s="118"/>
      <c r="O88" s="118"/>
      <c r="P88" s="118"/>
      <c r="Q88" s="118"/>
      <c r="R88" s="118"/>
      <c r="S88" s="118"/>
      <c r="T88" s="38"/>
      <c r="U88" s="38"/>
      <c r="V88" s="38"/>
      <c r="W88" s="38"/>
      <c r="X88" s="38"/>
      <c r="Y88" s="38"/>
    </row>
    <row r="89" spans="2:25" ht="14.4" customHeight="1" x14ac:dyDescent="0.6">
      <c r="B89" s="41">
        <v>4</v>
      </c>
      <c r="C89" s="41">
        <v>4</v>
      </c>
      <c r="D89" s="41" t="s">
        <v>10</v>
      </c>
      <c r="E89" s="41" t="s">
        <v>10</v>
      </c>
      <c r="F89" s="41" t="s">
        <v>10</v>
      </c>
      <c r="G89" s="41" t="s">
        <v>10</v>
      </c>
      <c r="H89" s="41" t="s">
        <v>10</v>
      </c>
      <c r="I89" s="41" t="s">
        <v>10</v>
      </c>
      <c r="K89" s="118"/>
      <c r="L89" s="118"/>
      <c r="M89" s="118"/>
      <c r="N89" s="118"/>
      <c r="O89" s="118"/>
      <c r="P89" s="118"/>
      <c r="Q89" s="118"/>
      <c r="R89" s="118"/>
      <c r="S89" s="118"/>
      <c r="T89" s="38"/>
      <c r="U89" s="38"/>
      <c r="V89" s="38"/>
      <c r="W89" s="38"/>
      <c r="X89" s="38"/>
      <c r="Y89" s="38"/>
    </row>
    <row r="90" spans="2:25" ht="14.4" customHeight="1" x14ac:dyDescent="0.6">
      <c r="B90" s="40">
        <v>5</v>
      </c>
      <c r="C90" s="40">
        <v>5</v>
      </c>
      <c r="D90" s="40" t="s">
        <v>10</v>
      </c>
      <c r="E90" s="40" t="s">
        <v>10</v>
      </c>
      <c r="F90" s="40" t="s">
        <v>10</v>
      </c>
      <c r="G90" s="40" t="s">
        <v>10</v>
      </c>
      <c r="H90" s="40" t="s">
        <v>10</v>
      </c>
      <c r="I90" s="40" t="s">
        <v>10</v>
      </c>
      <c r="K90" s="118"/>
      <c r="L90" s="118"/>
      <c r="M90" s="118"/>
      <c r="N90" s="118"/>
      <c r="O90" s="118"/>
      <c r="P90" s="118"/>
      <c r="Q90" s="118"/>
      <c r="R90" s="118"/>
      <c r="S90" s="118"/>
      <c r="T90" s="38"/>
      <c r="U90" s="38"/>
      <c r="V90" s="38"/>
      <c r="W90" s="38"/>
      <c r="X90" s="38"/>
      <c r="Y90" s="38"/>
    </row>
    <row r="91" spans="2:25" ht="14.4" customHeight="1" x14ac:dyDescent="0.6">
      <c r="B91" s="41">
        <v>6</v>
      </c>
      <c r="C91" s="41">
        <v>6</v>
      </c>
      <c r="D91" s="41" t="s">
        <v>10</v>
      </c>
      <c r="E91" s="41" t="s">
        <v>10</v>
      </c>
      <c r="F91" s="41" t="s">
        <v>10</v>
      </c>
      <c r="G91" s="41" t="s">
        <v>10</v>
      </c>
      <c r="H91" s="41" t="s">
        <v>10</v>
      </c>
      <c r="I91" s="41" t="s">
        <v>10</v>
      </c>
      <c r="K91" s="118"/>
      <c r="L91" s="118"/>
      <c r="M91" s="118"/>
      <c r="N91" s="118"/>
      <c r="O91" s="118"/>
      <c r="P91" s="118"/>
      <c r="Q91" s="118"/>
      <c r="R91" s="118"/>
      <c r="S91" s="118"/>
      <c r="T91" s="38"/>
      <c r="U91" s="38"/>
      <c r="V91" s="38"/>
      <c r="W91" s="38"/>
      <c r="X91" s="38"/>
      <c r="Y91" s="38"/>
    </row>
    <row r="98" spans="8:15" x14ac:dyDescent="0.3">
      <c r="H98" s="109" t="s">
        <v>102</v>
      </c>
      <c r="I98" s="109"/>
      <c r="J98" s="109"/>
      <c r="K98" s="109"/>
      <c r="L98" s="109"/>
      <c r="M98" s="109"/>
      <c r="N98" s="109"/>
      <c r="O98" s="109"/>
    </row>
    <row r="99" spans="8:15" x14ac:dyDescent="0.3">
      <c r="H99" s="109"/>
      <c r="I99" s="109"/>
      <c r="J99" s="109"/>
      <c r="K99" s="109"/>
      <c r="L99" s="109"/>
      <c r="M99" s="109"/>
      <c r="N99" s="109"/>
      <c r="O99" s="109"/>
    </row>
    <row r="100" spans="8:15" x14ac:dyDescent="0.3">
      <c r="H100" s="109"/>
      <c r="I100" s="109"/>
      <c r="J100" s="109"/>
      <c r="K100" s="109"/>
      <c r="L100" s="109"/>
      <c r="M100" s="109"/>
      <c r="N100" s="109"/>
      <c r="O100" s="109"/>
    </row>
    <row r="101" spans="8:15" x14ac:dyDescent="0.3">
      <c r="H101" s="109"/>
      <c r="I101" s="109"/>
      <c r="J101" s="109"/>
      <c r="K101" s="109"/>
      <c r="L101" s="109"/>
      <c r="M101" s="109"/>
      <c r="N101" s="109"/>
      <c r="O101" s="109"/>
    </row>
    <row r="102" spans="8:15" x14ac:dyDescent="0.3">
      <c r="H102" s="109"/>
      <c r="I102" s="109"/>
      <c r="J102" s="109"/>
      <c r="K102" s="109"/>
      <c r="L102" s="109"/>
      <c r="M102" s="109"/>
      <c r="N102" s="109"/>
      <c r="O102" s="109"/>
    </row>
    <row r="103" spans="8:15" x14ac:dyDescent="0.3">
      <c r="H103" s="109"/>
      <c r="I103" s="109"/>
      <c r="J103" s="109"/>
      <c r="K103" s="109"/>
      <c r="L103" s="109"/>
      <c r="M103" s="109"/>
      <c r="N103" s="109"/>
      <c r="O103" s="109"/>
    </row>
    <row r="106" spans="8:15" x14ac:dyDescent="0.3">
      <c r="H106" s="104" t="s">
        <v>103</v>
      </c>
      <c r="I106" s="104"/>
      <c r="J106" s="104"/>
      <c r="K106" s="104"/>
      <c r="L106" s="104"/>
      <c r="M106" s="104"/>
      <c r="N106" s="104"/>
    </row>
    <row r="121" spans="2:24" x14ac:dyDescent="0.3">
      <c r="B121" s="105" t="s">
        <v>104</v>
      </c>
      <c r="C121" s="105"/>
      <c r="D121" s="105"/>
      <c r="E121" s="105"/>
      <c r="F121" s="105"/>
      <c r="G121" s="105"/>
      <c r="H121" s="105"/>
      <c r="I121" s="105"/>
      <c r="J121" s="105"/>
      <c r="K121" s="105"/>
      <c r="L121" s="105"/>
      <c r="M121" s="105"/>
      <c r="N121" s="105"/>
      <c r="O121" s="105"/>
      <c r="P121" s="105"/>
      <c r="Q121" s="105"/>
      <c r="R121" s="105"/>
    </row>
    <row r="122" spans="2:24" x14ac:dyDescent="0.3">
      <c r="B122" s="105"/>
      <c r="C122" s="105"/>
      <c r="D122" s="105"/>
      <c r="E122" s="105"/>
      <c r="F122" s="105"/>
      <c r="G122" s="105"/>
      <c r="H122" s="105"/>
      <c r="I122" s="105"/>
      <c r="J122" s="105"/>
      <c r="K122" s="105"/>
      <c r="L122" s="105"/>
      <c r="M122" s="105"/>
      <c r="N122" s="105"/>
      <c r="O122" s="105"/>
      <c r="P122" s="105"/>
      <c r="Q122" s="105"/>
      <c r="R122" s="105"/>
    </row>
    <row r="123" spans="2:24" ht="31.2" x14ac:dyDescent="0.6">
      <c r="B123" s="106" t="s">
        <v>105</v>
      </c>
      <c r="C123" s="106"/>
      <c r="D123" s="106"/>
      <c r="E123" s="106"/>
      <c r="F123" s="106"/>
      <c r="G123" s="106"/>
      <c r="H123" s="106"/>
      <c r="I123" s="106"/>
      <c r="J123" s="106"/>
      <c r="K123" s="106"/>
      <c r="L123" s="106"/>
      <c r="M123" s="106"/>
      <c r="N123" s="106"/>
      <c r="O123" s="106"/>
      <c r="P123" s="106"/>
      <c r="Q123" s="106"/>
      <c r="R123" s="106"/>
    </row>
    <row r="124" spans="2:24" x14ac:dyDescent="0.3">
      <c r="B124" s="1" t="s">
        <v>0</v>
      </c>
      <c r="C124" s="2" t="s">
        <v>1</v>
      </c>
      <c r="D124" s="2" t="s">
        <v>2</v>
      </c>
      <c r="E124" s="2" t="s">
        <v>3</v>
      </c>
      <c r="F124" s="2" t="s">
        <v>4</v>
      </c>
      <c r="G124" s="2" t="s">
        <v>5</v>
      </c>
      <c r="H124" s="3" t="s">
        <v>6</v>
      </c>
      <c r="I124" s="2" t="s">
        <v>7</v>
      </c>
      <c r="K124" s="101"/>
      <c r="L124" s="101"/>
      <c r="M124" s="101"/>
      <c r="N124" s="101"/>
      <c r="O124" s="101"/>
      <c r="P124" s="101"/>
      <c r="Q124" s="101"/>
      <c r="R124" s="101"/>
      <c r="S124" s="101"/>
      <c r="T124" s="101"/>
      <c r="U124" s="101"/>
      <c r="V124" s="101"/>
      <c r="W124" s="101"/>
      <c r="X124" s="101"/>
    </row>
    <row r="125" spans="2:24" x14ac:dyDescent="0.3">
      <c r="B125" s="5" t="s">
        <v>9</v>
      </c>
      <c r="C125" s="6" t="s">
        <v>10</v>
      </c>
      <c r="D125" s="6" t="s">
        <v>10</v>
      </c>
      <c r="E125" s="6" t="s">
        <v>10</v>
      </c>
      <c r="F125" s="6" t="s">
        <v>10</v>
      </c>
      <c r="G125" s="6" t="s">
        <v>10</v>
      </c>
      <c r="H125" s="42" t="s">
        <v>10</v>
      </c>
      <c r="I125" s="6" t="s">
        <v>10</v>
      </c>
      <c r="K125" s="101"/>
      <c r="L125" s="101"/>
      <c r="M125" s="101"/>
      <c r="N125" s="101"/>
      <c r="O125" s="101"/>
      <c r="P125" s="101"/>
      <c r="Q125" s="101"/>
      <c r="R125" s="101"/>
      <c r="S125" s="101"/>
      <c r="T125" s="101"/>
      <c r="U125" s="101"/>
      <c r="V125" s="101"/>
      <c r="W125" s="101"/>
      <c r="X125" s="101"/>
    </row>
    <row r="126" spans="2:24" x14ac:dyDescent="0.3">
      <c r="B126" s="5" t="s">
        <v>11</v>
      </c>
      <c r="C126" s="6" t="s">
        <v>10</v>
      </c>
      <c r="D126" s="6" t="s">
        <v>10</v>
      </c>
      <c r="E126" s="6" t="s">
        <v>10</v>
      </c>
      <c r="F126" s="6" t="s">
        <v>10</v>
      </c>
      <c r="G126" s="6" t="s">
        <v>10</v>
      </c>
      <c r="H126" s="42" t="s">
        <v>10</v>
      </c>
      <c r="I126" s="6" t="s">
        <v>10</v>
      </c>
      <c r="K126" s="6" t="s">
        <v>106</v>
      </c>
      <c r="L126" s="43"/>
      <c r="M126" s="43"/>
      <c r="N126" s="43"/>
      <c r="O126" s="43"/>
      <c r="P126" s="43"/>
      <c r="Q126" s="43"/>
    </row>
    <row r="127" spans="2:24" x14ac:dyDescent="0.3">
      <c r="B127" s="5" t="s">
        <v>13</v>
      </c>
      <c r="C127" s="6" t="s">
        <v>10</v>
      </c>
      <c r="D127" s="6" t="s">
        <v>10</v>
      </c>
      <c r="E127" s="6" t="s">
        <v>10</v>
      </c>
      <c r="F127" s="6" t="s">
        <v>10</v>
      </c>
      <c r="G127" s="6" t="s">
        <v>10</v>
      </c>
      <c r="H127" s="42" t="s">
        <v>10</v>
      </c>
      <c r="I127" s="6" t="s">
        <v>10</v>
      </c>
      <c r="K127" s="102"/>
      <c r="L127" s="102"/>
      <c r="M127" s="102"/>
      <c r="N127" s="102"/>
      <c r="O127" s="102"/>
      <c r="P127" s="102"/>
      <c r="Q127" s="102"/>
      <c r="R127" s="6"/>
    </row>
    <row r="128" spans="2:24" x14ac:dyDescent="0.3">
      <c r="B128" s="5" t="s">
        <v>14</v>
      </c>
      <c r="C128" s="6" t="s">
        <v>10</v>
      </c>
      <c r="D128" s="6" t="s">
        <v>10</v>
      </c>
      <c r="E128" s="6" t="s">
        <v>10</v>
      </c>
      <c r="F128" s="6" t="s">
        <v>10</v>
      </c>
      <c r="G128" s="6" t="s">
        <v>10</v>
      </c>
      <c r="H128" s="42" t="s">
        <v>10</v>
      </c>
      <c r="I128" s="6" t="s">
        <v>10</v>
      </c>
      <c r="K128" s="102"/>
      <c r="L128" s="102"/>
      <c r="M128" s="102"/>
      <c r="N128" s="102"/>
      <c r="O128" s="102"/>
      <c r="P128" s="102"/>
      <c r="Q128" s="102"/>
    </row>
    <row r="129" spans="2:20" x14ac:dyDescent="0.3">
      <c r="B129" s="5" t="s">
        <v>16</v>
      </c>
      <c r="C129" s="6" t="s">
        <v>10</v>
      </c>
      <c r="D129" s="6" t="s">
        <v>10</v>
      </c>
      <c r="E129" s="6" t="s">
        <v>10</v>
      </c>
      <c r="F129" s="6" t="s">
        <v>10</v>
      </c>
      <c r="G129" s="6" t="s">
        <v>10</v>
      </c>
      <c r="H129" s="42" t="s">
        <v>10</v>
      </c>
      <c r="I129" s="6" t="s">
        <v>10</v>
      </c>
      <c r="K129" s="102"/>
      <c r="L129" s="102"/>
      <c r="M129" s="102"/>
      <c r="N129" s="102"/>
      <c r="O129" s="102"/>
      <c r="P129" s="102"/>
      <c r="Q129" s="102"/>
    </row>
    <row r="130" spans="2:20" x14ac:dyDescent="0.3">
      <c r="B130" s="5" t="s">
        <v>17</v>
      </c>
      <c r="C130" s="6" t="s">
        <v>10</v>
      </c>
      <c r="D130" s="6" t="s">
        <v>10</v>
      </c>
      <c r="E130" s="6" t="s">
        <v>10</v>
      </c>
      <c r="F130" s="6" t="s">
        <v>10</v>
      </c>
      <c r="G130" s="6" t="s">
        <v>10</v>
      </c>
      <c r="H130" s="42" t="s">
        <v>10</v>
      </c>
      <c r="I130" s="6" t="s">
        <v>10</v>
      </c>
      <c r="K130" s="102"/>
      <c r="L130" s="102"/>
      <c r="M130" s="102"/>
      <c r="N130" s="102"/>
      <c r="O130" s="102"/>
      <c r="P130" s="102"/>
      <c r="Q130" s="102"/>
    </row>
    <row r="131" spans="2:20" x14ac:dyDescent="0.3">
      <c r="B131" s="5" t="s">
        <v>18</v>
      </c>
      <c r="C131" s="6" t="s">
        <v>10</v>
      </c>
      <c r="D131" s="6" t="s">
        <v>10</v>
      </c>
      <c r="E131" s="6" t="s">
        <v>10</v>
      </c>
      <c r="F131" s="6" t="s">
        <v>10</v>
      </c>
      <c r="G131" s="6" t="s">
        <v>10</v>
      </c>
      <c r="H131" s="42" t="s">
        <v>10</v>
      </c>
      <c r="I131" s="6" t="s">
        <v>10</v>
      </c>
    </row>
    <row r="134" spans="2:20" ht="25.8" x14ac:dyDescent="0.5">
      <c r="B134" s="107" t="s">
        <v>92</v>
      </c>
      <c r="C134" s="107"/>
      <c r="D134" s="107"/>
      <c r="E134" s="107"/>
      <c r="F134" s="107"/>
      <c r="G134" s="107"/>
      <c r="H134" s="107"/>
      <c r="I134" s="107"/>
      <c r="J134" s="44"/>
      <c r="K134" s="45"/>
      <c r="L134" s="45"/>
      <c r="M134" s="45"/>
      <c r="N134" s="45"/>
      <c r="O134" s="45"/>
      <c r="P134" s="45"/>
      <c r="Q134" s="45"/>
      <c r="R134" s="45"/>
    </row>
    <row r="135" spans="2:20" x14ac:dyDescent="0.3">
      <c r="B135" s="39" t="s">
        <v>94</v>
      </c>
      <c r="C135" s="6" t="s">
        <v>95</v>
      </c>
      <c r="D135" s="6" t="s">
        <v>96</v>
      </c>
      <c r="E135" s="46" t="s">
        <v>97</v>
      </c>
      <c r="F135" s="46" t="s">
        <v>98</v>
      </c>
      <c r="G135" s="46" t="s">
        <v>99</v>
      </c>
      <c r="H135" s="46" t="s">
        <v>100</v>
      </c>
      <c r="I135" s="46" t="s">
        <v>101</v>
      </c>
      <c r="J135" s="46"/>
      <c r="K135" s="46" t="s">
        <v>106</v>
      </c>
      <c r="L135" s="108" t="s">
        <v>107</v>
      </c>
      <c r="M135" s="108"/>
      <c r="N135" s="108"/>
      <c r="O135" s="108"/>
      <c r="P135" s="108"/>
    </row>
    <row r="136" spans="2:20" x14ac:dyDescent="0.3">
      <c r="B136" s="40">
        <v>1</v>
      </c>
      <c r="C136" s="1">
        <v>1</v>
      </c>
      <c r="D136" s="6" t="s">
        <v>10</v>
      </c>
      <c r="E136" s="6" t="s">
        <v>10</v>
      </c>
      <c r="F136" s="6" t="s">
        <v>10</v>
      </c>
      <c r="G136" s="6" t="s">
        <v>10</v>
      </c>
      <c r="H136" s="6" t="s">
        <v>10</v>
      </c>
      <c r="I136" s="6" t="s">
        <v>10</v>
      </c>
      <c r="J136" s="1"/>
      <c r="K136" s="108"/>
      <c r="L136" s="108"/>
      <c r="M136" s="108"/>
      <c r="N136" s="108"/>
      <c r="O136" s="108"/>
      <c r="P136" s="108"/>
    </row>
    <row r="137" spans="2:20" x14ac:dyDescent="0.3">
      <c r="B137" s="41">
        <v>2</v>
      </c>
      <c r="C137" s="1">
        <v>2</v>
      </c>
      <c r="D137" s="6" t="s">
        <v>10</v>
      </c>
      <c r="E137" s="6" t="s">
        <v>10</v>
      </c>
      <c r="F137" s="6" t="s">
        <v>10</v>
      </c>
      <c r="G137" s="6" t="s">
        <v>10</v>
      </c>
      <c r="H137" s="6" t="s">
        <v>10</v>
      </c>
      <c r="I137" s="6" t="s">
        <v>10</v>
      </c>
      <c r="J137" s="1"/>
      <c r="K137" s="103"/>
      <c r="L137" s="103"/>
      <c r="M137" s="103"/>
      <c r="N137" s="103"/>
      <c r="O137" s="103"/>
      <c r="P137" s="103"/>
    </row>
    <row r="139" spans="2:20" x14ac:dyDescent="0.3">
      <c r="B139" s="100" t="s">
        <v>108</v>
      </c>
      <c r="C139" s="100"/>
      <c r="D139" s="100"/>
      <c r="E139" s="100"/>
      <c r="F139" s="100"/>
      <c r="G139" s="100"/>
      <c r="H139" s="100"/>
      <c r="I139" s="100"/>
      <c r="J139" s="100"/>
      <c r="K139" s="100"/>
      <c r="L139" s="100"/>
      <c r="M139" s="100"/>
      <c r="N139" s="100"/>
      <c r="O139" s="100"/>
      <c r="P139" s="100"/>
      <c r="Q139" s="100"/>
    </row>
    <row r="140" spans="2:20" x14ac:dyDescent="0.3">
      <c r="B140" s="100"/>
      <c r="C140" s="100"/>
      <c r="D140" s="100"/>
      <c r="E140" s="100"/>
      <c r="F140" s="100"/>
      <c r="G140" s="100"/>
      <c r="H140" s="100"/>
      <c r="I140" s="100"/>
      <c r="J140" s="100"/>
      <c r="K140" s="100"/>
      <c r="L140" s="100"/>
      <c r="M140" s="100"/>
      <c r="N140" s="100"/>
      <c r="O140" s="100"/>
      <c r="P140" s="100"/>
      <c r="Q140" s="100"/>
    </row>
    <row r="142" spans="2:20" ht="15" thickBot="1" x14ac:dyDescent="0.35">
      <c r="B142" s="47" t="s">
        <v>109</v>
      </c>
      <c r="C142" s="48" t="s">
        <v>110</v>
      </c>
      <c r="D142" s="48" t="s">
        <v>111</v>
      </c>
      <c r="E142" s="49" t="s">
        <v>19</v>
      </c>
      <c r="F142" s="49" t="s">
        <v>20</v>
      </c>
      <c r="G142" s="49" t="s">
        <v>21</v>
      </c>
      <c r="H142" s="49" t="s">
        <v>22</v>
      </c>
      <c r="I142" s="49" t="s">
        <v>23</v>
      </c>
      <c r="J142" s="49" t="s">
        <v>24</v>
      </c>
      <c r="K142" s="49" t="s">
        <v>29</v>
      </c>
      <c r="L142" s="50" t="s">
        <v>112</v>
      </c>
      <c r="M142" s="49" t="s">
        <v>72</v>
      </c>
      <c r="O142" s="101"/>
      <c r="P142" s="101"/>
      <c r="Q142" s="101"/>
      <c r="R142" s="101"/>
      <c r="S142" s="101"/>
      <c r="T142" s="101"/>
    </row>
    <row r="143" spans="2:20" ht="15.6" thickTop="1" thickBot="1" x14ac:dyDescent="0.35">
      <c r="B143" s="51">
        <v>1</v>
      </c>
      <c r="C143" s="52" t="s">
        <v>110</v>
      </c>
      <c r="D143" s="52" t="s">
        <v>111</v>
      </c>
      <c r="E143" s="53">
        <v>0</v>
      </c>
      <c r="F143" s="53">
        <v>0</v>
      </c>
      <c r="G143" s="53">
        <v>0</v>
      </c>
      <c r="H143" s="53">
        <v>0</v>
      </c>
      <c r="I143" s="53">
        <v>0</v>
      </c>
      <c r="J143" s="53">
        <v>0</v>
      </c>
      <c r="K143" s="53">
        <v>0</v>
      </c>
      <c r="L143" s="12">
        <f>SUM(E143:K143)</f>
        <v>0</v>
      </c>
      <c r="M143" s="54" t="e">
        <v>#REF!</v>
      </c>
      <c r="O143" s="101"/>
      <c r="P143" s="101"/>
      <c r="Q143" s="101"/>
      <c r="R143" s="101"/>
      <c r="S143" s="101"/>
      <c r="T143" s="101"/>
    </row>
    <row r="144" spans="2:20" ht="15" thickTop="1" x14ac:dyDescent="0.3"/>
    <row r="145" spans="2:20" x14ac:dyDescent="0.3">
      <c r="O145" s="102"/>
      <c r="P145" s="102"/>
      <c r="Q145" s="102"/>
      <c r="R145" s="102"/>
    </row>
    <row r="147" spans="2:20" x14ac:dyDescent="0.3">
      <c r="O147" s="102"/>
      <c r="P147" s="102"/>
      <c r="Q147" s="102"/>
      <c r="R147" s="102"/>
      <c r="S147" s="102"/>
      <c r="T147" s="102"/>
    </row>
    <row r="150" spans="2:20" x14ac:dyDescent="0.3">
      <c r="O150" s="101"/>
      <c r="P150" s="101"/>
      <c r="Q150" s="101"/>
      <c r="R150" s="101"/>
      <c r="S150" s="101"/>
      <c r="T150" s="101"/>
    </row>
    <row r="151" spans="2:20" x14ac:dyDescent="0.3">
      <c r="O151" s="101"/>
      <c r="P151" s="101"/>
      <c r="Q151" s="101"/>
      <c r="R151" s="101"/>
      <c r="S151" s="101"/>
      <c r="T151" s="101"/>
    </row>
    <row r="152" spans="2:20" ht="15" thickBot="1" x14ac:dyDescent="0.35">
      <c r="B152" s="55" t="s">
        <v>85</v>
      </c>
      <c r="C152" s="49" t="s">
        <v>19</v>
      </c>
      <c r="D152" s="49" t="s">
        <v>20</v>
      </c>
      <c r="E152" s="49" t="s">
        <v>21</v>
      </c>
      <c r="F152" s="49" t="s">
        <v>22</v>
      </c>
      <c r="G152" s="49" t="s">
        <v>23</v>
      </c>
      <c r="H152" s="49" t="s">
        <v>24</v>
      </c>
      <c r="I152" s="49" t="s">
        <v>29</v>
      </c>
      <c r="J152" s="48" t="s">
        <v>86</v>
      </c>
      <c r="K152" s="50" t="s">
        <v>87</v>
      </c>
      <c r="L152" s="56" t="s">
        <v>88</v>
      </c>
      <c r="O152" s="101"/>
      <c r="P152" s="101"/>
      <c r="Q152" s="101"/>
      <c r="R152" s="101"/>
      <c r="S152" s="101"/>
      <c r="T152" s="101"/>
    </row>
    <row r="153" spans="2:20" ht="15.6" thickTop="1" thickBot="1" x14ac:dyDescent="0.35">
      <c r="B153" s="51">
        <v>1</v>
      </c>
      <c r="C153" s="57">
        <v>10</v>
      </c>
      <c r="D153" s="57">
        <v>5</v>
      </c>
      <c r="E153" s="57">
        <v>10</v>
      </c>
      <c r="F153" s="57">
        <v>0</v>
      </c>
      <c r="G153" s="57">
        <v>5</v>
      </c>
      <c r="H153" s="57">
        <v>0</v>
      </c>
      <c r="I153" s="57">
        <v>0</v>
      </c>
      <c r="J153" s="33" t="e">
        <v>#REF!</v>
      </c>
      <c r="K153" s="58" t="e">
        <v>#REF!</v>
      </c>
      <c r="L153" s="33" t="e">
        <f>$K153*$J153</f>
        <v>#REF!</v>
      </c>
    </row>
    <row r="154" spans="2:20" ht="15" thickTop="1" x14ac:dyDescent="0.3"/>
  </sheetData>
  <mergeCells count="49">
    <mergeCell ref="I42:O43"/>
    <mergeCell ref="J3:S4"/>
    <mergeCell ref="J5:S6"/>
    <mergeCell ref="J7:S8"/>
    <mergeCell ref="J13:S14"/>
    <mergeCell ref="J15:S16"/>
    <mergeCell ref="K22:S23"/>
    <mergeCell ref="B26:D26"/>
    <mergeCell ref="G27:N28"/>
    <mergeCell ref="I34:R35"/>
    <mergeCell ref="I36:R36"/>
    <mergeCell ref="B39:D39"/>
    <mergeCell ref="I44:P45"/>
    <mergeCell ref="C48:D48"/>
    <mergeCell ref="E48:F48"/>
    <mergeCell ref="G48:H48"/>
    <mergeCell ref="I48:J48"/>
    <mergeCell ref="K48:L48"/>
    <mergeCell ref="M48:N48"/>
    <mergeCell ref="O48:P48"/>
    <mergeCell ref="H98:O103"/>
    <mergeCell ref="Q48:R48"/>
    <mergeCell ref="S48:T48"/>
    <mergeCell ref="U48:V48"/>
    <mergeCell ref="W48:X48"/>
    <mergeCell ref="B54:X54"/>
    <mergeCell ref="D58:J60"/>
    <mergeCell ref="E65:F65"/>
    <mergeCell ref="F73:I73"/>
    <mergeCell ref="B75:H75"/>
    <mergeCell ref="B84:I84"/>
    <mergeCell ref="K84:S91"/>
    <mergeCell ref="K137:P137"/>
    <mergeCell ref="H106:N106"/>
    <mergeCell ref="B121:R122"/>
    <mergeCell ref="B123:R123"/>
    <mergeCell ref="K124:X125"/>
    <mergeCell ref="K127:Q127"/>
    <mergeCell ref="K128:Q128"/>
    <mergeCell ref="K129:Q129"/>
    <mergeCell ref="K130:Q130"/>
    <mergeCell ref="B134:I134"/>
    <mergeCell ref="L135:P135"/>
    <mergeCell ref="K136:P136"/>
    <mergeCell ref="B139:Q140"/>
    <mergeCell ref="O142:T143"/>
    <mergeCell ref="O145:R145"/>
    <mergeCell ref="O147:T147"/>
    <mergeCell ref="O150:T152"/>
  </mergeCells>
  <conditionalFormatting sqref="C45">
    <cfRule type="cellIs" dxfId="97" priority="27" operator="equal">
      <formula>100</formula>
    </cfRule>
  </conditionalFormatting>
  <conditionalFormatting sqref="J67">
    <cfRule type="cellIs" dxfId="96" priority="18" operator="greaterThan">
      <formula>$D$37</formula>
    </cfRule>
    <cfRule type="cellIs" dxfId="95" priority="22" operator="lessThan">
      <formula>$D$37</formula>
    </cfRule>
    <cfRule type="cellIs" dxfId="94" priority="26" operator="equal">
      <formula>$D$37</formula>
    </cfRule>
  </conditionalFormatting>
  <conditionalFormatting sqref="J68">
    <cfRule type="cellIs" dxfId="93" priority="17" operator="greaterThan">
      <formula>$D$38</formula>
    </cfRule>
    <cfRule type="cellIs" dxfId="92" priority="21" operator="lessThan">
      <formula>$D$38</formula>
    </cfRule>
    <cfRule type="cellIs" dxfId="91" priority="25" operator="equal">
      <formula>$D$38</formula>
    </cfRule>
  </conditionalFormatting>
  <conditionalFormatting sqref="J69">
    <cfRule type="cellIs" dxfId="90" priority="16" operator="greaterThan">
      <formula>$D$39</formula>
    </cfRule>
    <cfRule type="cellIs" dxfId="89" priority="20" operator="lessThan">
      <formula>$D$39</formula>
    </cfRule>
    <cfRule type="cellIs" dxfId="88" priority="24" operator="equal">
      <formula>$D$39</formula>
    </cfRule>
  </conditionalFormatting>
  <conditionalFormatting sqref="J70">
    <cfRule type="cellIs" dxfId="87" priority="15" operator="greaterThan">
      <formula>$D$40</formula>
    </cfRule>
    <cfRule type="cellIs" dxfId="86" priority="19" operator="lessThan">
      <formula>$D$40</formula>
    </cfRule>
    <cfRule type="cellIs" dxfId="85" priority="23" operator="equal">
      <formula>$D$40</formula>
    </cfRule>
  </conditionalFormatting>
  <conditionalFormatting sqref="E143:K143">
    <cfRule type="cellIs" dxfId="84" priority="7" operator="lessThan">
      <formula>0</formula>
    </cfRule>
  </conditionalFormatting>
  <conditionalFormatting sqref="E143">
    <cfRule type="cellIs" dxfId="83" priority="6" operator="greaterThan">
      <formula>"0$T$10"</formula>
    </cfRule>
  </conditionalFormatting>
  <conditionalFormatting sqref="L143">
    <cfRule type="cellIs" dxfId="82" priority="4" operator="greaterThan">
      <formula>100</formula>
    </cfRule>
    <cfRule type="cellIs" dxfId="81" priority="5" operator="lessThan">
      <formula>0</formula>
    </cfRule>
  </conditionalFormatting>
  <conditionalFormatting sqref="M143">
    <cfRule type="cellIs" dxfId="80" priority="8" operator="greaterThan">
      <formula>$J$37</formula>
    </cfRule>
  </conditionalFormatting>
  <conditionalFormatting sqref="F143">
    <cfRule type="cellIs" dxfId="79" priority="9" operator="greaterThan">
      <formula>$D$49</formula>
    </cfRule>
  </conditionalFormatting>
  <conditionalFormatting sqref="G143">
    <cfRule type="cellIs" dxfId="78" priority="10" operator="greaterThan">
      <formula>$E$49</formula>
    </cfRule>
  </conditionalFormatting>
  <conditionalFormatting sqref="H143">
    <cfRule type="cellIs" dxfId="77" priority="11" operator="greaterThan">
      <formula>$F$49</formula>
    </cfRule>
  </conditionalFormatting>
  <conditionalFormatting sqref="I143">
    <cfRule type="cellIs" dxfId="76" priority="12" operator="greaterThan">
      <formula>$G$49</formula>
    </cfRule>
  </conditionalFormatting>
  <conditionalFormatting sqref="J143">
    <cfRule type="cellIs" dxfId="75" priority="13" operator="greaterThan">
      <formula>$H$49</formula>
    </cfRule>
  </conditionalFormatting>
  <conditionalFormatting sqref="K143">
    <cfRule type="cellIs" dxfId="74" priority="14" operator="greaterThan">
      <formula>$I$49</formula>
    </cfRule>
  </conditionalFormatting>
  <conditionalFormatting sqref="J153">
    <cfRule type="cellIs" dxfId="73" priority="1" operator="equal">
      <formula>0</formula>
    </cfRule>
    <cfRule type="cellIs" dxfId="72" priority="2" operator="lessThan">
      <formula>0</formula>
    </cfRule>
    <cfRule type="cellIs" dxfId="71" priority="3" operator="greaterThan">
      <formula>0</formula>
    </cfRule>
  </conditionalFormatting>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25" r:id="rId4" name="Check Box 1">
              <controlPr defaultSize="0" autoFill="0" autoLine="0" autoPict="0">
                <anchor moveWithCells="1">
                  <from>
                    <xdr:col>2</xdr:col>
                    <xdr:colOff>7620</xdr:colOff>
                    <xdr:row>48</xdr:row>
                    <xdr:rowOff>7620</xdr:rowOff>
                  </from>
                  <to>
                    <xdr:col>2</xdr:col>
                    <xdr:colOff>1135380</xdr:colOff>
                    <xdr:row>49</xdr:row>
                    <xdr:rowOff>30480</xdr:rowOff>
                  </to>
                </anchor>
              </controlPr>
            </control>
          </mc:Choice>
        </mc:AlternateContent>
        <mc:AlternateContent xmlns:mc="http://schemas.openxmlformats.org/markup-compatibility/2006">
          <mc:Choice Requires="x14">
            <control shapeId="1026" r:id="rId5" name="Check Box 2">
              <controlPr defaultSize="0" autoFill="0" autoLine="0" autoPict="0">
                <anchor moveWithCells="1">
                  <from>
                    <xdr:col>2</xdr:col>
                    <xdr:colOff>7620</xdr:colOff>
                    <xdr:row>49</xdr:row>
                    <xdr:rowOff>7620</xdr:rowOff>
                  </from>
                  <to>
                    <xdr:col>2</xdr:col>
                    <xdr:colOff>1135380</xdr:colOff>
                    <xdr:row>50</xdr:row>
                    <xdr:rowOff>30480</xdr:rowOff>
                  </to>
                </anchor>
              </controlPr>
            </control>
          </mc:Choice>
        </mc:AlternateContent>
        <mc:AlternateContent xmlns:mc="http://schemas.openxmlformats.org/markup-compatibility/2006">
          <mc:Choice Requires="x14">
            <control shapeId="1027" r:id="rId6" name="Check Box 3">
              <controlPr defaultSize="0" autoFill="0" autoLine="0" autoPict="0">
                <anchor moveWithCells="1">
                  <from>
                    <xdr:col>2</xdr:col>
                    <xdr:colOff>7620</xdr:colOff>
                    <xdr:row>50</xdr:row>
                    <xdr:rowOff>7620</xdr:rowOff>
                  </from>
                  <to>
                    <xdr:col>2</xdr:col>
                    <xdr:colOff>1135380</xdr:colOff>
                    <xdr:row>51</xdr:row>
                    <xdr:rowOff>30480</xdr:rowOff>
                  </to>
                </anchor>
              </controlPr>
            </control>
          </mc:Choice>
        </mc:AlternateContent>
        <mc:AlternateContent xmlns:mc="http://schemas.openxmlformats.org/markup-compatibility/2006">
          <mc:Choice Requires="x14">
            <control shapeId="1028" r:id="rId7" name="Check Box 4">
              <controlPr defaultSize="0" autoFill="0" autoLine="0" autoPict="0">
                <anchor moveWithCells="1">
                  <from>
                    <xdr:col>2</xdr:col>
                    <xdr:colOff>7620</xdr:colOff>
                    <xdr:row>51</xdr:row>
                    <xdr:rowOff>7620</xdr:rowOff>
                  </from>
                  <to>
                    <xdr:col>2</xdr:col>
                    <xdr:colOff>1135380</xdr:colOff>
                    <xdr:row>52</xdr:row>
                    <xdr:rowOff>30480</xdr:rowOff>
                  </to>
                </anchor>
              </controlPr>
            </control>
          </mc:Choice>
        </mc:AlternateContent>
        <mc:AlternateContent xmlns:mc="http://schemas.openxmlformats.org/markup-compatibility/2006">
          <mc:Choice Requires="x14">
            <control shapeId="1029" r:id="rId8" name="Check Box 5">
              <controlPr defaultSize="0" autoFill="0" autoLine="0" autoPict="0">
                <anchor moveWithCells="1">
                  <from>
                    <xdr:col>4</xdr:col>
                    <xdr:colOff>7620</xdr:colOff>
                    <xdr:row>48</xdr:row>
                    <xdr:rowOff>7620</xdr:rowOff>
                  </from>
                  <to>
                    <xdr:col>4</xdr:col>
                    <xdr:colOff>1264920</xdr:colOff>
                    <xdr:row>49</xdr:row>
                    <xdr:rowOff>30480</xdr:rowOff>
                  </to>
                </anchor>
              </controlPr>
            </control>
          </mc:Choice>
        </mc:AlternateContent>
        <mc:AlternateContent xmlns:mc="http://schemas.openxmlformats.org/markup-compatibility/2006">
          <mc:Choice Requires="x14">
            <control shapeId="1030" r:id="rId9" name="Check Box 6">
              <controlPr defaultSize="0" autoFill="0" autoLine="0" autoPict="0">
                <anchor moveWithCells="1">
                  <from>
                    <xdr:col>4</xdr:col>
                    <xdr:colOff>7620</xdr:colOff>
                    <xdr:row>49</xdr:row>
                    <xdr:rowOff>7620</xdr:rowOff>
                  </from>
                  <to>
                    <xdr:col>4</xdr:col>
                    <xdr:colOff>1264920</xdr:colOff>
                    <xdr:row>50</xdr:row>
                    <xdr:rowOff>30480</xdr:rowOff>
                  </to>
                </anchor>
              </controlPr>
            </control>
          </mc:Choice>
        </mc:AlternateContent>
        <mc:AlternateContent xmlns:mc="http://schemas.openxmlformats.org/markup-compatibility/2006">
          <mc:Choice Requires="x14">
            <control shapeId="1031" r:id="rId10" name="Check Box 7">
              <controlPr defaultSize="0" autoFill="0" autoLine="0" autoPict="0">
                <anchor moveWithCells="1">
                  <from>
                    <xdr:col>4</xdr:col>
                    <xdr:colOff>7620</xdr:colOff>
                    <xdr:row>50</xdr:row>
                    <xdr:rowOff>7620</xdr:rowOff>
                  </from>
                  <to>
                    <xdr:col>4</xdr:col>
                    <xdr:colOff>1264920</xdr:colOff>
                    <xdr:row>51</xdr:row>
                    <xdr:rowOff>30480</xdr:rowOff>
                  </to>
                </anchor>
              </controlPr>
            </control>
          </mc:Choice>
        </mc:AlternateContent>
        <mc:AlternateContent xmlns:mc="http://schemas.openxmlformats.org/markup-compatibility/2006">
          <mc:Choice Requires="x14">
            <control shapeId="1032" r:id="rId11" name="Check Box 8">
              <controlPr defaultSize="0" autoFill="0" autoLine="0" autoPict="0">
                <anchor moveWithCells="1">
                  <from>
                    <xdr:col>4</xdr:col>
                    <xdr:colOff>7620</xdr:colOff>
                    <xdr:row>51</xdr:row>
                    <xdr:rowOff>7620</xdr:rowOff>
                  </from>
                  <to>
                    <xdr:col>4</xdr:col>
                    <xdr:colOff>1264920</xdr:colOff>
                    <xdr:row>52</xdr:row>
                    <xdr:rowOff>30480</xdr:rowOff>
                  </to>
                </anchor>
              </controlPr>
            </control>
          </mc:Choice>
        </mc:AlternateContent>
        <mc:AlternateContent xmlns:mc="http://schemas.openxmlformats.org/markup-compatibility/2006">
          <mc:Choice Requires="x14">
            <control shapeId="1033" r:id="rId12" name="Check Box 9">
              <controlPr defaultSize="0" autoFill="0" autoLine="0" autoPict="0">
                <anchor moveWithCells="1">
                  <from>
                    <xdr:col>6</xdr:col>
                    <xdr:colOff>7620</xdr:colOff>
                    <xdr:row>48</xdr:row>
                    <xdr:rowOff>7620</xdr:rowOff>
                  </from>
                  <to>
                    <xdr:col>7</xdr:col>
                    <xdr:colOff>68580</xdr:colOff>
                    <xdr:row>49</xdr:row>
                    <xdr:rowOff>30480</xdr:rowOff>
                  </to>
                </anchor>
              </controlPr>
            </control>
          </mc:Choice>
        </mc:AlternateContent>
        <mc:AlternateContent xmlns:mc="http://schemas.openxmlformats.org/markup-compatibility/2006">
          <mc:Choice Requires="x14">
            <control shapeId="1034" r:id="rId13" name="Check Box 10">
              <controlPr defaultSize="0" autoFill="0" autoLine="0" autoPict="0">
                <anchor moveWithCells="1">
                  <from>
                    <xdr:col>6</xdr:col>
                    <xdr:colOff>7620</xdr:colOff>
                    <xdr:row>49</xdr:row>
                    <xdr:rowOff>7620</xdr:rowOff>
                  </from>
                  <to>
                    <xdr:col>7</xdr:col>
                    <xdr:colOff>68580</xdr:colOff>
                    <xdr:row>50</xdr:row>
                    <xdr:rowOff>30480</xdr:rowOff>
                  </to>
                </anchor>
              </controlPr>
            </control>
          </mc:Choice>
        </mc:AlternateContent>
        <mc:AlternateContent xmlns:mc="http://schemas.openxmlformats.org/markup-compatibility/2006">
          <mc:Choice Requires="x14">
            <control shapeId="1035" r:id="rId14" name="Check Box 11">
              <controlPr defaultSize="0" autoFill="0" autoLine="0" autoPict="0">
                <anchor moveWithCells="1">
                  <from>
                    <xdr:col>6</xdr:col>
                    <xdr:colOff>7620</xdr:colOff>
                    <xdr:row>50</xdr:row>
                    <xdr:rowOff>7620</xdr:rowOff>
                  </from>
                  <to>
                    <xdr:col>7</xdr:col>
                    <xdr:colOff>68580</xdr:colOff>
                    <xdr:row>51</xdr:row>
                    <xdr:rowOff>30480</xdr:rowOff>
                  </to>
                </anchor>
              </controlPr>
            </control>
          </mc:Choice>
        </mc:AlternateContent>
        <mc:AlternateContent xmlns:mc="http://schemas.openxmlformats.org/markup-compatibility/2006">
          <mc:Choice Requires="x14">
            <control shapeId="1036" r:id="rId15" name="Check Box 12">
              <controlPr defaultSize="0" autoFill="0" autoLine="0" autoPict="0">
                <anchor moveWithCells="1">
                  <from>
                    <xdr:col>6</xdr:col>
                    <xdr:colOff>7620</xdr:colOff>
                    <xdr:row>51</xdr:row>
                    <xdr:rowOff>7620</xdr:rowOff>
                  </from>
                  <to>
                    <xdr:col>7</xdr:col>
                    <xdr:colOff>68580</xdr:colOff>
                    <xdr:row>52</xdr:row>
                    <xdr:rowOff>30480</xdr:rowOff>
                  </to>
                </anchor>
              </controlPr>
            </control>
          </mc:Choice>
        </mc:AlternateContent>
        <mc:AlternateContent xmlns:mc="http://schemas.openxmlformats.org/markup-compatibility/2006">
          <mc:Choice Requires="x14">
            <control shapeId="1037" r:id="rId16" name="Check Box 13">
              <controlPr defaultSize="0" autoFill="0" autoLine="0" autoPict="0">
                <anchor moveWithCells="1">
                  <from>
                    <xdr:col>8</xdr:col>
                    <xdr:colOff>7620</xdr:colOff>
                    <xdr:row>48</xdr:row>
                    <xdr:rowOff>7620</xdr:rowOff>
                  </from>
                  <to>
                    <xdr:col>9</xdr:col>
                    <xdr:colOff>45720</xdr:colOff>
                    <xdr:row>49</xdr:row>
                    <xdr:rowOff>30480</xdr:rowOff>
                  </to>
                </anchor>
              </controlPr>
            </control>
          </mc:Choice>
        </mc:AlternateContent>
        <mc:AlternateContent xmlns:mc="http://schemas.openxmlformats.org/markup-compatibility/2006">
          <mc:Choice Requires="x14">
            <control shapeId="1038" r:id="rId17" name="Check Box 14">
              <controlPr defaultSize="0" autoFill="0" autoLine="0" autoPict="0">
                <anchor moveWithCells="1">
                  <from>
                    <xdr:col>8</xdr:col>
                    <xdr:colOff>7620</xdr:colOff>
                    <xdr:row>49</xdr:row>
                    <xdr:rowOff>7620</xdr:rowOff>
                  </from>
                  <to>
                    <xdr:col>9</xdr:col>
                    <xdr:colOff>45720</xdr:colOff>
                    <xdr:row>50</xdr:row>
                    <xdr:rowOff>30480</xdr:rowOff>
                  </to>
                </anchor>
              </controlPr>
            </control>
          </mc:Choice>
        </mc:AlternateContent>
        <mc:AlternateContent xmlns:mc="http://schemas.openxmlformats.org/markup-compatibility/2006">
          <mc:Choice Requires="x14">
            <control shapeId="1039" r:id="rId18" name="Check Box 15">
              <controlPr defaultSize="0" autoFill="0" autoLine="0" autoPict="0">
                <anchor moveWithCells="1">
                  <from>
                    <xdr:col>8</xdr:col>
                    <xdr:colOff>7620</xdr:colOff>
                    <xdr:row>50</xdr:row>
                    <xdr:rowOff>7620</xdr:rowOff>
                  </from>
                  <to>
                    <xdr:col>9</xdr:col>
                    <xdr:colOff>45720</xdr:colOff>
                    <xdr:row>51</xdr:row>
                    <xdr:rowOff>30480</xdr:rowOff>
                  </to>
                </anchor>
              </controlPr>
            </control>
          </mc:Choice>
        </mc:AlternateContent>
        <mc:AlternateContent xmlns:mc="http://schemas.openxmlformats.org/markup-compatibility/2006">
          <mc:Choice Requires="x14">
            <control shapeId="1040" r:id="rId19" name="Check Box 16">
              <controlPr defaultSize="0" autoFill="0" autoLine="0" autoPict="0">
                <anchor moveWithCells="1">
                  <from>
                    <xdr:col>8</xdr:col>
                    <xdr:colOff>7620</xdr:colOff>
                    <xdr:row>51</xdr:row>
                    <xdr:rowOff>7620</xdr:rowOff>
                  </from>
                  <to>
                    <xdr:col>9</xdr:col>
                    <xdr:colOff>45720</xdr:colOff>
                    <xdr:row>52</xdr:row>
                    <xdr:rowOff>30480</xdr:rowOff>
                  </to>
                </anchor>
              </controlPr>
            </control>
          </mc:Choice>
        </mc:AlternateContent>
        <mc:AlternateContent xmlns:mc="http://schemas.openxmlformats.org/markup-compatibility/2006">
          <mc:Choice Requires="x14">
            <control shapeId="1041" r:id="rId20" name="Check Box 17">
              <controlPr defaultSize="0" autoFill="0" autoLine="0" autoPict="0">
                <anchor moveWithCells="1">
                  <from>
                    <xdr:col>10</xdr:col>
                    <xdr:colOff>7620</xdr:colOff>
                    <xdr:row>48</xdr:row>
                    <xdr:rowOff>7620</xdr:rowOff>
                  </from>
                  <to>
                    <xdr:col>11</xdr:col>
                    <xdr:colOff>175260</xdr:colOff>
                    <xdr:row>49</xdr:row>
                    <xdr:rowOff>30480</xdr:rowOff>
                  </to>
                </anchor>
              </controlPr>
            </control>
          </mc:Choice>
        </mc:AlternateContent>
        <mc:AlternateContent xmlns:mc="http://schemas.openxmlformats.org/markup-compatibility/2006">
          <mc:Choice Requires="x14">
            <control shapeId="1042" r:id="rId21" name="Check Box 18">
              <controlPr defaultSize="0" autoFill="0" autoLine="0" autoPict="0">
                <anchor moveWithCells="1">
                  <from>
                    <xdr:col>10</xdr:col>
                    <xdr:colOff>7620</xdr:colOff>
                    <xdr:row>49</xdr:row>
                    <xdr:rowOff>7620</xdr:rowOff>
                  </from>
                  <to>
                    <xdr:col>11</xdr:col>
                    <xdr:colOff>175260</xdr:colOff>
                    <xdr:row>50</xdr:row>
                    <xdr:rowOff>30480</xdr:rowOff>
                  </to>
                </anchor>
              </controlPr>
            </control>
          </mc:Choice>
        </mc:AlternateContent>
        <mc:AlternateContent xmlns:mc="http://schemas.openxmlformats.org/markup-compatibility/2006">
          <mc:Choice Requires="x14">
            <control shapeId="1043" r:id="rId22" name="Check Box 19">
              <controlPr defaultSize="0" autoFill="0" autoLine="0" autoPict="0">
                <anchor moveWithCells="1">
                  <from>
                    <xdr:col>10</xdr:col>
                    <xdr:colOff>7620</xdr:colOff>
                    <xdr:row>50</xdr:row>
                    <xdr:rowOff>7620</xdr:rowOff>
                  </from>
                  <to>
                    <xdr:col>11</xdr:col>
                    <xdr:colOff>175260</xdr:colOff>
                    <xdr:row>51</xdr:row>
                    <xdr:rowOff>30480</xdr:rowOff>
                  </to>
                </anchor>
              </controlPr>
            </control>
          </mc:Choice>
        </mc:AlternateContent>
        <mc:AlternateContent xmlns:mc="http://schemas.openxmlformats.org/markup-compatibility/2006">
          <mc:Choice Requires="x14">
            <control shapeId="1044" r:id="rId23" name="Check Box 20">
              <controlPr defaultSize="0" autoFill="0" autoLine="0" autoPict="0">
                <anchor moveWithCells="1">
                  <from>
                    <xdr:col>10</xdr:col>
                    <xdr:colOff>7620</xdr:colOff>
                    <xdr:row>51</xdr:row>
                    <xdr:rowOff>7620</xdr:rowOff>
                  </from>
                  <to>
                    <xdr:col>11</xdr:col>
                    <xdr:colOff>175260</xdr:colOff>
                    <xdr:row>52</xdr:row>
                    <xdr:rowOff>30480</xdr:rowOff>
                  </to>
                </anchor>
              </controlPr>
            </control>
          </mc:Choice>
        </mc:AlternateContent>
        <mc:AlternateContent xmlns:mc="http://schemas.openxmlformats.org/markup-compatibility/2006">
          <mc:Choice Requires="x14">
            <control shapeId="1045" r:id="rId24" name="Check Box 21">
              <controlPr defaultSize="0" autoFill="0" autoLine="0" autoPict="0">
                <anchor moveWithCells="1">
                  <from>
                    <xdr:col>12</xdr:col>
                    <xdr:colOff>7620</xdr:colOff>
                    <xdr:row>48</xdr:row>
                    <xdr:rowOff>7620</xdr:rowOff>
                  </from>
                  <to>
                    <xdr:col>13</xdr:col>
                    <xdr:colOff>556260</xdr:colOff>
                    <xdr:row>49</xdr:row>
                    <xdr:rowOff>30480</xdr:rowOff>
                  </to>
                </anchor>
              </controlPr>
            </control>
          </mc:Choice>
        </mc:AlternateContent>
        <mc:AlternateContent xmlns:mc="http://schemas.openxmlformats.org/markup-compatibility/2006">
          <mc:Choice Requires="x14">
            <control shapeId="1046" r:id="rId25" name="Check Box 22">
              <controlPr defaultSize="0" autoFill="0" autoLine="0" autoPict="0">
                <anchor moveWithCells="1">
                  <from>
                    <xdr:col>12</xdr:col>
                    <xdr:colOff>7620</xdr:colOff>
                    <xdr:row>49</xdr:row>
                    <xdr:rowOff>7620</xdr:rowOff>
                  </from>
                  <to>
                    <xdr:col>13</xdr:col>
                    <xdr:colOff>556260</xdr:colOff>
                    <xdr:row>50</xdr:row>
                    <xdr:rowOff>30480</xdr:rowOff>
                  </to>
                </anchor>
              </controlPr>
            </control>
          </mc:Choice>
        </mc:AlternateContent>
        <mc:AlternateContent xmlns:mc="http://schemas.openxmlformats.org/markup-compatibility/2006">
          <mc:Choice Requires="x14">
            <control shapeId="1047" r:id="rId26" name="Check Box 23">
              <controlPr defaultSize="0" autoFill="0" autoLine="0" autoPict="0">
                <anchor moveWithCells="1">
                  <from>
                    <xdr:col>12</xdr:col>
                    <xdr:colOff>7620</xdr:colOff>
                    <xdr:row>50</xdr:row>
                    <xdr:rowOff>7620</xdr:rowOff>
                  </from>
                  <to>
                    <xdr:col>13</xdr:col>
                    <xdr:colOff>556260</xdr:colOff>
                    <xdr:row>51</xdr:row>
                    <xdr:rowOff>30480</xdr:rowOff>
                  </to>
                </anchor>
              </controlPr>
            </control>
          </mc:Choice>
        </mc:AlternateContent>
        <mc:AlternateContent xmlns:mc="http://schemas.openxmlformats.org/markup-compatibility/2006">
          <mc:Choice Requires="x14">
            <control shapeId="1048" r:id="rId27" name="Check Box 24">
              <controlPr defaultSize="0" autoFill="0" autoLine="0" autoPict="0">
                <anchor moveWithCells="1">
                  <from>
                    <xdr:col>12</xdr:col>
                    <xdr:colOff>7620</xdr:colOff>
                    <xdr:row>51</xdr:row>
                    <xdr:rowOff>7620</xdr:rowOff>
                  </from>
                  <to>
                    <xdr:col>13</xdr:col>
                    <xdr:colOff>556260</xdr:colOff>
                    <xdr:row>52</xdr:row>
                    <xdr:rowOff>30480</xdr:rowOff>
                  </to>
                </anchor>
              </controlPr>
            </control>
          </mc:Choice>
        </mc:AlternateContent>
        <mc:AlternateContent xmlns:mc="http://schemas.openxmlformats.org/markup-compatibility/2006">
          <mc:Choice Requires="x14">
            <control shapeId="1049" r:id="rId28" name="Check Box 25">
              <controlPr defaultSize="0" autoFill="0" autoLine="0" autoPict="0">
                <anchor moveWithCells="1">
                  <from>
                    <xdr:col>14</xdr:col>
                    <xdr:colOff>7620</xdr:colOff>
                    <xdr:row>48</xdr:row>
                    <xdr:rowOff>7620</xdr:rowOff>
                  </from>
                  <to>
                    <xdr:col>16</xdr:col>
                    <xdr:colOff>45720</xdr:colOff>
                    <xdr:row>49</xdr:row>
                    <xdr:rowOff>30480</xdr:rowOff>
                  </to>
                </anchor>
              </controlPr>
            </control>
          </mc:Choice>
        </mc:AlternateContent>
        <mc:AlternateContent xmlns:mc="http://schemas.openxmlformats.org/markup-compatibility/2006">
          <mc:Choice Requires="x14">
            <control shapeId="1050" r:id="rId29" name="Check Box 26">
              <controlPr defaultSize="0" autoFill="0" autoLine="0" autoPict="0">
                <anchor moveWithCells="1">
                  <from>
                    <xdr:col>14</xdr:col>
                    <xdr:colOff>7620</xdr:colOff>
                    <xdr:row>49</xdr:row>
                    <xdr:rowOff>7620</xdr:rowOff>
                  </from>
                  <to>
                    <xdr:col>16</xdr:col>
                    <xdr:colOff>45720</xdr:colOff>
                    <xdr:row>50</xdr:row>
                    <xdr:rowOff>30480</xdr:rowOff>
                  </to>
                </anchor>
              </controlPr>
            </control>
          </mc:Choice>
        </mc:AlternateContent>
        <mc:AlternateContent xmlns:mc="http://schemas.openxmlformats.org/markup-compatibility/2006">
          <mc:Choice Requires="x14">
            <control shapeId="1051" r:id="rId30" name="Check Box 27">
              <controlPr defaultSize="0" autoFill="0" autoLine="0" autoPict="0">
                <anchor moveWithCells="1">
                  <from>
                    <xdr:col>14</xdr:col>
                    <xdr:colOff>7620</xdr:colOff>
                    <xdr:row>50</xdr:row>
                    <xdr:rowOff>7620</xdr:rowOff>
                  </from>
                  <to>
                    <xdr:col>16</xdr:col>
                    <xdr:colOff>45720</xdr:colOff>
                    <xdr:row>51</xdr:row>
                    <xdr:rowOff>30480</xdr:rowOff>
                  </to>
                </anchor>
              </controlPr>
            </control>
          </mc:Choice>
        </mc:AlternateContent>
        <mc:AlternateContent xmlns:mc="http://schemas.openxmlformats.org/markup-compatibility/2006">
          <mc:Choice Requires="x14">
            <control shapeId="1052" r:id="rId31" name="Check Box 28">
              <controlPr defaultSize="0" autoFill="0" autoLine="0" autoPict="0">
                <anchor moveWithCells="1">
                  <from>
                    <xdr:col>14</xdr:col>
                    <xdr:colOff>7620</xdr:colOff>
                    <xdr:row>51</xdr:row>
                    <xdr:rowOff>7620</xdr:rowOff>
                  </from>
                  <to>
                    <xdr:col>16</xdr:col>
                    <xdr:colOff>45720</xdr:colOff>
                    <xdr:row>52</xdr:row>
                    <xdr:rowOff>30480</xdr:rowOff>
                  </to>
                </anchor>
              </controlPr>
            </control>
          </mc:Choice>
        </mc:AlternateContent>
        <mc:AlternateContent xmlns:mc="http://schemas.openxmlformats.org/markup-compatibility/2006">
          <mc:Choice Requires="x14">
            <control shapeId="1053" r:id="rId32" name="Check Box 29">
              <controlPr defaultSize="0" autoFill="0" autoLine="0" autoPict="0">
                <anchor moveWithCells="1">
                  <from>
                    <xdr:col>16</xdr:col>
                    <xdr:colOff>7620</xdr:colOff>
                    <xdr:row>48</xdr:row>
                    <xdr:rowOff>7620</xdr:rowOff>
                  </from>
                  <to>
                    <xdr:col>17</xdr:col>
                    <xdr:colOff>373380</xdr:colOff>
                    <xdr:row>49</xdr:row>
                    <xdr:rowOff>30480</xdr:rowOff>
                  </to>
                </anchor>
              </controlPr>
            </control>
          </mc:Choice>
        </mc:AlternateContent>
        <mc:AlternateContent xmlns:mc="http://schemas.openxmlformats.org/markup-compatibility/2006">
          <mc:Choice Requires="x14">
            <control shapeId="1054" r:id="rId33" name="Check Box 30">
              <controlPr defaultSize="0" autoFill="0" autoLine="0" autoPict="0">
                <anchor moveWithCells="1">
                  <from>
                    <xdr:col>16</xdr:col>
                    <xdr:colOff>7620</xdr:colOff>
                    <xdr:row>49</xdr:row>
                    <xdr:rowOff>7620</xdr:rowOff>
                  </from>
                  <to>
                    <xdr:col>17</xdr:col>
                    <xdr:colOff>373380</xdr:colOff>
                    <xdr:row>50</xdr:row>
                    <xdr:rowOff>30480</xdr:rowOff>
                  </to>
                </anchor>
              </controlPr>
            </control>
          </mc:Choice>
        </mc:AlternateContent>
        <mc:AlternateContent xmlns:mc="http://schemas.openxmlformats.org/markup-compatibility/2006">
          <mc:Choice Requires="x14">
            <control shapeId="1055" r:id="rId34" name="Check Box 31">
              <controlPr defaultSize="0" autoFill="0" autoLine="0" autoPict="0">
                <anchor moveWithCells="1">
                  <from>
                    <xdr:col>16</xdr:col>
                    <xdr:colOff>7620</xdr:colOff>
                    <xdr:row>50</xdr:row>
                    <xdr:rowOff>7620</xdr:rowOff>
                  </from>
                  <to>
                    <xdr:col>17</xdr:col>
                    <xdr:colOff>373380</xdr:colOff>
                    <xdr:row>51</xdr:row>
                    <xdr:rowOff>30480</xdr:rowOff>
                  </to>
                </anchor>
              </controlPr>
            </control>
          </mc:Choice>
        </mc:AlternateContent>
        <mc:AlternateContent xmlns:mc="http://schemas.openxmlformats.org/markup-compatibility/2006">
          <mc:Choice Requires="x14">
            <control shapeId="1056" r:id="rId35" name="Check Box 32">
              <controlPr defaultSize="0" autoFill="0" autoLine="0" autoPict="0">
                <anchor moveWithCells="1">
                  <from>
                    <xdr:col>16</xdr:col>
                    <xdr:colOff>7620</xdr:colOff>
                    <xdr:row>51</xdr:row>
                    <xdr:rowOff>7620</xdr:rowOff>
                  </from>
                  <to>
                    <xdr:col>17</xdr:col>
                    <xdr:colOff>373380</xdr:colOff>
                    <xdr:row>52</xdr:row>
                    <xdr:rowOff>30480</xdr:rowOff>
                  </to>
                </anchor>
              </controlPr>
            </control>
          </mc:Choice>
        </mc:AlternateContent>
        <mc:AlternateContent xmlns:mc="http://schemas.openxmlformats.org/markup-compatibility/2006">
          <mc:Choice Requires="x14">
            <control shapeId="1057" r:id="rId36" name="Check Box 33">
              <controlPr defaultSize="0" autoFill="0" autoLine="0" autoPict="0">
                <anchor moveWithCells="1">
                  <from>
                    <xdr:col>18</xdr:col>
                    <xdr:colOff>7620</xdr:colOff>
                    <xdr:row>48</xdr:row>
                    <xdr:rowOff>7620</xdr:rowOff>
                  </from>
                  <to>
                    <xdr:col>20</xdr:col>
                    <xdr:colOff>45720</xdr:colOff>
                    <xdr:row>49</xdr:row>
                    <xdr:rowOff>30480</xdr:rowOff>
                  </to>
                </anchor>
              </controlPr>
            </control>
          </mc:Choice>
        </mc:AlternateContent>
        <mc:AlternateContent xmlns:mc="http://schemas.openxmlformats.org/markup-compatibility/2006">
          <mc:Choice Requires="x14">
            <control shapeId="1058" r:id="rId37" name="Check Box 34">
              <controlPr defaultSize="0" autoFill="0" autoLine="0" autoPict="0">
                <anchor moveWithCells="1">
                  <from>
                    <xdr:col>18</xdr:col>
                    <xdr:colOff>7620</xdr:colOff>
                    <xdr:row>49</xdr:row>
                    <xdr:rowOff>7620</xdr:rowOff>
                  </from>
                  <to>
                    <xdr:col>20</xdr:col>
                    <xdr:colOff>45720</xdr:colOff>
                    <xdr:row>50</xdr:row>
                    <xdr:rowOff>30480</xdr:rowOff>
                  </to>
                </anchor>
              </controlPr>
            </control>
          </mc:Choice>
        </mc:AlternateContent>
        <mc:AlternateContent xmlns:mc="http://schemas.openxmlformats.org/markup-compatibility/2006">
          <mc:Choice Requires="x14">
            <control shapeId="1059" r:id="rId38" name="Check Box 35">
              <controlPr defaultSize="0" autoFill="0" autoLine="0" autoPict="0">
                <anchor moveWithCells="1">
                  <from>
                    <xdr:col>18</xdr:col>
                    <xdr:colOff>7620</xdr:colOff>
                    <xdr:row>50</xdr:row>
                    <xdr:rowOff>7620</xdr:rowOff>
                  </from>
                  <to>
                    <xdr:col>20</xdr:col>
                    <xdr:colOff>45720</xdr:colOff>
                    <xdr:row>51</xdr:row>
                    <xdr:rowOff>30480</xdr:rowOff>
                  </to>
                </anchor>
              </controlPr>
            </control>
          </mc:Choice>
        </mc:AlternateContent>
        <mc:AlternateContent xmlns:mc="http://schemas.openxmlformats.org/markup-compatibility/2006">
          <mc:Choice Requires="x14">
            <control shapeId="1060" r:id="rId39" name="Check Box 36">
              <controlPr defaultSize="0" autoFill="0" autoLine="0" autoPict="0">
                <anchor moveWithCells="1">
                  <from>
                    <xdr:col>18</xdr:col>
                    <xdr:colOff>7620</xdr:colOff>
                    <xdr:row>51</xdr:row>
                    <xdr:rowOff>7620</xdr:rowOff>
                  </from>
                  <to>
                    <xdr:col>20</xdr:col>
                    <xdr:colOff>45720</xdr:colOff>
                    <xdr:row>52</xdr:row>
                    <xdr:rowOff>30480</xdr:rowOff>
                  </to>
                </anchor>
              </controlPr>
            </control>
          </mc:Choice>
        </mc:AlternateContent>
        <mc:AlternateContent xmlns:mc="http://schemas.openxmlformats.org/markup-compatibility/2006">
          <mc:Choice Requires="x14">
            <control shapeId="1061" r:id="rId40" name="Check Box 37">
              <controlPr defaultSize="0" autoFill="0" autoLine="0" autoPict="0">
                <anchor moveWithCells="1">
                  <from>
                    <xdr:col>20</xdr:col>
                    <xdr:colOff>7620</xdr:colOff>
                    <xdr:row>48</xdr:row>
                    <xdr:rowOff>7620</xdr:rowOff>
                  </from>
                  <to>
                    <xdr:col>20</xdr:col>
                    <xdr:colOff>1036320</xdr:colOff>
                    <xdr:row>49</xdr:row>
                    <xdr:rowOff>30480</xdr:rowOff>
                  </to>
                </anchor>
              </controlPr>
            </control>
          </mc:Choice>
        </mc:AlternateContent>
        <mc:AlternateContent xmlns:mc="http://schemas.openxmlformats.org/markup-compatibility/2006">
          <mc:Choice Requires="x14">
            <control shapeId="1062" r:id="rId41" name="Check Box 38">
              <controlPr defaultSize="0" autoFill="0" autoLine="0" autoPict="0">
                <anchor moveWithCells="1">
                  <from>
                    <xdr:col>20</xdr:col>
                    <xdr:colOff>7620</xdr:colOff>
                    <xdr:row>49</xdr:row>
                    <xdr:rowOff>7620</xdr:rowOff>
                  </from>
                  <to>
                    <xdr:col>20</xdr:col>
                    <xdr:colOff>1036320</xdr:colOff>
                    <xdr:row>50</xdr:row>
                    <xdr:rowOff>30480</xdr:rowOff>
                  </to>
                </anchor>
              </controlPr>
            </control>
          </mc:Choice>
        </mc:AlternateContent>
        <mc:AlternateContent xmlns:mc="http://schemas.openxmlformats.org/markup-compatibility/2006">
          <mc:Choice Requires="x14">
            <control shapeId="1063" r:id="rId42" name="Check Box 39">
              <controlPr defaultSize="0" autoFill="0" autoLine="0" autoPict="0">
                <anchor moveWithCells="1">
                  <from>
                    <xdr:col>20</xdr:col>
                    <xdr:colOff>7620</xdr:colOff>
                    <xdr:row>50</xdr:row>
                    <xdr:rowOff>7620</xdr:rowOff>
                  </from>
                  <to>
                    <xdr:col>20</xdr:col>
                    <xdr:colOff>1036320</xdr:colOff>
                    <xdr:row>51</xdr:row>
                    <xdr:rowOff>30480</xdr:rowOff>
                  </to>
                </anchor>
              </controlPr>
            </control>
          </mc:Choice>
        </mc:AlternateContent>
        <mc:AlternateContent xmlns:mc="http://schemas.openxmlformats.org/markup-compatibility/2006">
          <mc:Choice Requires="x14">
            <control shapeId="1064" r:id="rId43" name="Check Box 40">
              <controlPr defaultSize="0" autoFill="0" autoLine="0" autoPict="0">
                <anchor moveWithCells="1">
                  <from>
                    <xdr:col>20</xdr:col>
                    <xdr:colOff>7620</xdr:colOff>
                    <xdr:row>51</xdr:row>
                    <xdr:rowOff>7620</xdr:rowOff>
                  </from>
                  <to>
                    <xdr:col>20</xdr:col>
                    <xdr:colOff>1036320</xdr:colOff>
                    <xdr:row>52</xdr:row>
                    <xdr:rowOff>30480</xdr:rowOff>
                  </to>
                </anchor>
              </controlPr>
            </control>
          </mc:Choice>
        </mc:AlternateContent>
        <mc:AlternateContent xmlns:mc="http://schemas.openxmlformats.org/markup-compatibility/2006">
          <mc:Choice Requires="x14">
            <control shapeId="1065" r:id="rId44" name="Check Box 41">
              <controlPr defaultSize="0" autoFill="0" autoLine="0" autoPict="0">
                <anchor moveWithCells="1">
                  <from>
                    <xdr:col>22</xdr:col>
                    <xdr:colOff>7620</xdr:colOff>
                    <xdr:row>48</xdr:row>
                    <xdr:rowOff>7620</xdr:rowOff>
                  </from>
                  <to>
                    <xdr:col>22</xdr:col>
                    <xdr:colOff>601980</xdr:colOff>
                    <xdr:row>49</xdr:row>
                    <xdr:rowOff>30480</xdr:rowOff>
                  </to>
                </anchor>
              </controlPr>
            </control>
          </mc:Choice>
        </mc:AlternateContent>
        <mc:AlternateContent xmlns:mc="http://schemas.openxmlformats.org/markup-compatibility/2006">
          <mc:Choice Requires="x14">
            <control shapeId="1066" r:id="rId45" name="Check Box 42">
              <controlPr defaultSize="0" autoFill="0" autoLine="0" autoPict="0">
                <anchor moveWithCells="1">
                  <from>
                    <xdr:col>22</xdr:col>
                    <xdr:colOff>7620</xdr:colOff>
                    <xdr:row>49</xdr:row>
                    <xdr:rowOff>7620</xdr:rowOff>
                  </from>
                  <to>
                    <xdr:col>22</xdr:col>
                    <xdr:colOff>601980</xdr:colOff>
                    <xdr:row>50</xdr:row>
                    <xdr:rowOff>30480</xdr:rowOff>
                  </to>
                </anchor>
              </controlPr>
            </control>
          </mc:Choice>
        </mc:AlternateContent>
        <mc:AlternateContent xmlns:mc="http://schemas.openxmlformats.org/markup-compatibility/2006">
          <mc:Choice Requires="x14">
            <control shapeId="1067" r:id="rId46" name="Check Box 43">
              <controlPr defaultSize="0" autoFill="0" autoLine="0" autoPict="0">
                <anchor moveWithCells="1">
                  <from>
                    <xdr:col>22</xdr:col>
                    <xdr:colOff>7620</xdr:colOff>
                    <xdr:row>50</xdr:row>
                    <xdr:rowOff>7620</xdr:rowOff>
                  </from>
                  <to>
                    <xdr:col>22</xdr:col>
                    <xdr:colOff>601980</xdr:colOff>
                    <xdr:row>51</xdr:row>
                    <xdr:rowOff>30480</xdr:rowOff>
                  </to>
                </anchor>
              </controlPr>
            </control>
          </mc:Choice>
        </mc:AlternateContent>
        <mc:AlternateContent xmlns:mc="http://schemas.openxmlformats.org/markup-compatibility/2006">
          <mc:Choice Requires="x14">
            <control shapeId="1068" r:id="rId47" name="Check Box 44">
              <controlPr defaultSize="0" autoFill="0" autoLine="0" autoPict="0">
                <anchor moveWithCells="1">
                  <from>
                    <xdr:col>22</xdr:col>
                    <xdr:colOff>7620</xdr:colOff>
                    <xdr:row>51</xdr:row>
                    <xdr:rowOff>7620</xdr:rowOff>
                  </from>
                  <to>
                    <xdr:col>22</xdr:col>
                    <xdr:colOff>601980</xdr:colOff>
                    <xdr:row>52</xdr:row>
                    <xdr:rowOff>30480</xdr:rowOff>
                  </to>
                </anchor>
              </controlPr>
            </control>
          </mc:Choice>
        </mc:AlternateContent>
        <mc:AlternateContent xmlns:mc="http://schemas.openxmlformats.org/markup-compatibility/2006">
          <mc:Choice Requires="x14">
            <control shapeId="1069" r:id="rId48" name="Check Box 45">
              <controlPr defaultSize="0" autoFill="0" autoLine="0" autoPict="0">
                <anchor moveWithCells="1">
                  <from>
                    <xdr:col>16</xdr:col>
                    <xdr:colOff>22860</xdr:colOff>
                    <xdr:row>50</xdr:row>
                    <xdr:rowOff>190500</xdr:rowOff>
                  </from>
                  <to>
                    <xdr:col>17</xdr:col>
                    <xdr:colOff>381000</xdr:colOff>
                    <xdr:row>52</xdr:row>
                    <xdr:rowOff>22860</xdr:rowOff>
                  </to>
                </anchor>
              </controlPr>
            </control>
          </mc:Choice>
        </mc:AlternateContent>
        <mc:AlternateContent xmlns:mc="http://schemas.openxmlformats.org/markup-compatibility/2006">
          <mc:Choice Requires="x14">
            <control shapeId="1070" r:id="rId49" name="Check Box 46">
              <controlPr defaultSize="0" autoFill="0" autoLine="0" autoPict="0">
                <anchor moveWithCells="1">
                  <from>
                    <xdr:col>10</xdr:col>
                    <xdr:colOff>22860</xdr:colOff>
                    <xdr:row>48</xdr:row>
                    <xdr:rowOff>7620</xdr:rowOff>
                  </from>
                  <to>
                    <xdr:col>11</xdr:col>
                    <xdr:colOff>182880</xdr:colOff>
                    <xdr:row>49</xdr:row>
                    <xdr:rowOff>45720</xdr:rowOff>
                  </to>
                </anchor>
              </controlPr>
            </control>
          </mc:Choice>
        </mc:AlternateContent>
        <mc:AlternateContent xmlns:mc="http://schemas.openxmlformats.org/markup-compatibility/2006">
          <mc:Choice Requires="x14">
            <control shapeId="1071" r:id="rId50" name="Check Box 47">
              <controlPr defaultSize="0" autoFill="0" autoLine="0" autoPict="0">
                <anchor moveWithCells="1">
                  <from>
                    <xdr:col>4</xdr:col>
                    <xdr:colOff>7620</xdr:colOff>
                    <xdr:row>48</xdr:row>
                    <xdr:rowOff>7620</xdr:rowOff>
                  </from>
                  <to>
                    <xdr:col>4</xdr:col>
                    <xdr:colOff>1143000</xdr:colOff>
                    <xdr:row>49</xdr:row>
                    <xdr:rowOff>45720</xdr:rowOff>
                  </to>
                </anchor>
              </controlPr>
            </control>
          </mc:Choice>
        </mc:AlternateContent>
        <mc:AlternateContent xmlns:mc="http://schemas.openxmlformats.org/markup-compatibility/2006">
          <mc:Choice Requires="x14">
            <control shapeId="1072" r:id="rId51" name="Check Box 48">
              <controlPr defaultSize="0" autoFill="0" autoLine="0" autoPict="0">
                <anchor moveWithCells="1">
                  <from>
                    <xdr:col>4</xdr:col>
                    <xdr:colOff>7620</xdr:colOff>
                    <xdr:row>49</xdr:row>
                    <xdr:rowOff>7620</xdr:rowOff>
                  </from>
                  <to>
                    <xdr:col>4</xdr:col>
                    <xdr:colOff>1143000</xdr:colOff>
                    <xdr:row>50</xdr:row>
                    <xdr:rowOff>45720</xdr:rowOff>
                  </to>
                </anchor>
              </controlPr>
            </control>
          </mc:Choice>
        </mc:AlternateContent>
        <mc:AlternateContent xmlns:mc="http://schemas.openxmlformats.org/markup-compatibility/2006">
          <mc:Choice Requires="x14">
            <control shapeId="1073" r:id="rId52" name="Check Box 49">
              <controlPr defaultSize="0" autoFill="0" autoLine="0" autoPict="0">
                <anchor moveWithCells="1">
                  <from>
                    <xdr:col>4</xdr:col>
                    <xdr:colOff>7620</xdr:colOff>
                    <xdr:row>50</xdr:row>
                    <xdr:rowOff>7620</xdr:rowOff>
                  </from>
                  <to>
                    <xdr:col>4</xdr:col>
                    <xdr:colOff>1143000</xdr:colOff>
                    <xdr:row>51</xdr:row>
                    <xdr:rowOff>45720</xdr:rowOff>
                  </to>
                </anchor>
              </controlPr>
            </control>
          </mc:Choice>
        </mc:AlternateContent>
        <mc:AlternateContent xmlns:mc="http://schemas.openxmlformats.org/markup-compatibility/2006">
          <mc:Choice Requires="x14">
            <control shapeId="1074" r:id="rId53" name="Check Box 50">
              <controlPr defaultSize="0" autoFill="0" autoLine="0" autoPict="0">
                <anchor moveWithCells="1">
                  <from>
                    <xdr:col>4</xdr:col>
                    <xdr:colOff>7620</xdr:colOff>
                    <xdr:row>51</xdr:row>
                    <xdr:rowOff>7620</xdr:rowOff>
                  </from>
                  <to>
                    <xdr:col>4</xdr:col>
                    <xdr:colOff>1143000</xdr:colOff>
                    <xdr:row>52</xdr:row>
                    <xdr:rowOff>45720</xdr:rowOff>
                  </to>
                </anchor>
              </controlPr>
            </control>
          </mc:Choice>
        </mc:AlternateContent>
        <mc:AlternateContent xmlns:mc="http://schemas.openxmlformats.org/markup-compatibility/2006">
          <mc:Choice Requires="x14">
            <control shapeId="1075" r:id="rId54" name="Check Box 51">
              <controlPr defaultSize="0" autoFill="0" autoLine="0" autoPict="0">
                <anchor moveWithCells="1">
                  <from>
                    <xdr:col>6</xdr:col>
                    <xdr:colOff>7620</xdr:colOff>
                    <xdr:row>48</xdr:row>
                    <xdr:rowOff>7620</xdr:rowOff>
                  </from>
                  <to>
                    <xdr:col>7</xdr:col>
                    <xdr:colOff>350520</xdr:colOff>
                    <xdr:row>49</xdr:row>
                    <xdr:rowOff>45720</xdr:rowOff>
                  </to>
                </anchor>
              </controlPr>
            </control>
          </mc:Choice>
        </mc:AlternateContent>
        <mc:AlternateContent xmlns:mc="http://schemas.openxmlformats.org/markup-compatibility/2006">
          <mc:Choice Requires="x14">
            <control shapeId="1076" r:id="rId55" name="Check Box 52">
              <controlPr defaultSize="0" autoFill="0" autoLine="0" autoPict="0">
                <anchor moveWithCells="1">
                  <from>
                    <xdr:col>6</xdr:col>
                    <xdr:colOff>7620</xdr:colOff>
                    <xdr:row>49</xdr:row>
                    <xdr:rowOff>7620</xdr:rowOff>
                  </from>
                  <to>
                    <xdr:col>7</xdr:col>
                    <xdr:colOff>350520</xdr:colOff>
                    <xdr:row>50</xdr:row>
                    <xdr:rowOff>45720</xdr:rowOff>
                  </to>
                </anchor>
              </controlPr>
            </control>
          </mc:Choice>
        </mc:AlternateContent>
        <mc:AlternateContent xmlns:mc="http://schemas.openxmlformats.org/markup-compatibility/2006">
          <mc:Choice Requires="x14">
            <control shapeId="1077" r:id="rId56" name="Check Box 53">
              <controlPr defaultSize="0" autoFill="0" autoLine="0" autoPict="0">
                <anchor moveWithCells="1">
                  <from>
                    <xdr:col>6</xdr:col>
                    <xdr:colOff>7620</xdr:colOff>
                    <xdr:row>50</xdr:row>
                    <xdr:rowOff>7620</xdr:rowOff>
                  </from>
                  <to>
                    <xdr:col>7</xdr:col>
                    <xdr:colOff>350520</xdr:colOff>
                    <xdr:row>51</xdr:row>
                    <xdr:rowOff>45720</xdr:rowOff>
                  </to>
                </anchor>
              </controlPr>
            </control>
          </mc:Choice>
        </mc:AlternateContent>
        <mc:AlternateContent xmlns:mc="http://schemas.openxmlformats.org/markup-compatibility/2006">
          <mc:Choice Requires="x14">
            <control shapeId="1078" r:id="rId57" name="Check Box 54">
              <controlPr defaultSize="0" autoFill="0" autoLine="0" autoPict="0">
                <anchor moveWithCells="1">
                  <from>
                    <xdr:col>6</xdr:col>
                    <xdr:colOff>7620</xdr:colOff>
                    <xdr:row>51</xdr:row>
                    <xdr:rowOff>7620</xdr:rowOff>
                  </from>
                  <to>
                    <xdr:col>7</xdr:col>
                    <xdr:colOff>350520</xdr:colOff>
                    <xdr:row>52</xdr:row>
                    <xdr:rowOff>45720</xdr:rowOff>
                  </to>
                </anchor>
              </controlPr>
            </control>
          </mc:Choice>
        </mc:AlternateContent>
        <mc:AlternateContent xmlns:mc="http://schemas.openxmlformats.org/markup-compatibility/2006">
          <mc:Choice Requires="x14">
            <control shapeId="1079" r:id="rId58" name="Check Box 55">
              <controlPr defaultSize="0" autoFill="0" autoLine="0" autoPict="0">
                <anchor moveWithCells="1">
                  <from>
                    <xdr:col>8</xdr:col>
                    <xdr:colOff>7620</xdr:colOff>
                    <xdr:row>48</xdr:row>
                    <xdr:rowOff>7620</xdr:rowOff>
                  </from>
                  <to>
                    <xdr:col>8</xdr:col>
                    <xdr:colOff>1135380</xdr:colOff>
                    <xdr:row>49</xdr:row>
                    <xdr:rowOff>45720</xdr:rowOff>
                  </to>
                </anchor>
              </controlPr>
            </control>
          </mc:Choice>
        </mc:AlternateContent>
        <mc:AlternateContent xmlns:mc="http://schemas.openxmlformats.org/markup-compatibility/2006">
          <mc:Choice Requires="x14">
            <control shapeId="1080" r:id="rId59" name="Check Box 56">
              <controlPr defaultSize="0" autoFill="0" autoLine="0" autoPict="0">
                <anchor moveWithCells="1">
                  <from>
                    <xdr:col>8</xdr:col>
                    <xdr:colOff>7620</xdr:colOff>
                    <xdr:row>49</xdr:row>
                    <xdr:rowOff>7620</xdr:rowOff>
                  </from>
                  <to>
                    <xdr:col>8</xdr:col>
                    <xdr:colOff>1135380</xdr:colOff>
                    <xdr:row>50</xdr:row>
                    <xdr:rowOff>45720</xdr:rowOff>
                  </to>
                </anchor>
              </controlPr>
            </control>
          </mc:Choice>
        </mc:AlternateContent>
        <mc:AlternateContent xmlns:mc="http://schemas.openxmlformats.org/markup-compatibility/2006">
          <mc:Choice Requires="x14">
            <control shapeId="1081" r:id="rId60" name="Check Box 57">
              <controlPr defaultSize="0" autoFill="0" autoLine="0" autoPict="0">
                <anchor moveWithCells="1">
                  <from>
                    <xdr:col>8</xdr:col>
                    <xdr:colOff>7620</xdr:colOff>
                    <xdr:row>50</xdr:row>
                    <xdr:rowOff>7620</xdr:rowOff>
                  </from>
                  <to>
                    <xdr:col>8</xdr:col>
                    <xdr:colOff>1135380</xdr:colOff>
                    <xdr:row>51</xdr:row>
                    <xdr:rowOff>45720</xdr:rowOff>
                  </to>
                </anchor>
              </controlPr>
            </control>
          </mc:Choice>
        </mc:AlternateContent>
        <mc:AlternateContent xmlns:mc="http://schemas.openxmlformats.org/markup-compatibility/2006">
          <mc:Choice Requires="x14">
            <control shapeId="1082" r:id="rId61" name="Check Box 58">
              <controlPr defaultSize="0" autoFill="0" autoLine="0" autoPict="0">
                <anchor moveWithCells="1">
                  <from>
                    <xdr:col>8</xdr:col>
                    <xdr:colOff>7620</xdr:colOff>
                    <xdr:row>51</xdr:row>
                    <xdr:rowOff>7620</xdr:rowOff>
                  </from>
                  <to>
                    <xdr:col>8</xdr:col>
                    <xdr:colOff>1135380</xdr:colOff>
                    <xdr:row>52</xdr:row>
                    <xdr:rowOff>45720</xdr:rowOff>
                  </to>
                </anchor>
              </controlPr>
            </control>
          </mc:Choice>
        </mc:AlternateContent>
        <mc:AlternateContent xmlns:mc="http://schemas.openxmlformats.org/markup-compatibility/2006">
          <mc:Choice Requires="x14">
            <control shapeId="1083" r:id="rId62" name="Check Box 59">
              <controlPr defaultSize="0" autoFill="0" autoLine="0" autoPict="0">
                <anchor moveWithCells="1">
                  <from>
                    <xdr:col>10</xdr:col>
                    <xdr:colOff>7620</xdr:colOff>
                    <xdr:row>48</xdr:row>
                    <xdr:rowOff>7620</xdr:rowOff>
                  </from>
                  <to>
                    <xdr:col>11</xdr:col>
                    <xdr:colOff>121920</xdr:colOff>
                    <xdr:row>49</xdr:row>
                    <xdr:rowOff>45720</xdr:rowOff>
                  </to>
                </anchor>
              </controlPr>
            </control>
          </mc:Choice>
        </mc:AlternateContent>
        <mc:AlternateContent xmlns:mc="http://schemas.openxmlformats.org/markup-compatibility/2006">
          <mc:Choice Requires="x14">
            <control shapeId="1084" r:id="rId63" name="Check Box 60">
              <controlPr defaultSize="0" autoFill="0" autoLine="0" autoPict="0">
                <anchor moveWithCells="1">
                  <from>
                    <xdr:col>10</xdr:col>
                    <xdr:colOff>7620</xdr:colOff>
                    <xdr:row>49</xdr:row>
                    <xdr:rowOff>7620</xdr:rowOff>
                  </from>
                  <to>
                    <xdr:col>11</xdr:col>
                    <xdr:colOff>121920</xdr:colOff>
                    <xdr:row>50</xdr:row>
                    <xdr:rowOff>45720</xdr:rowOff>
                  </to>
                </anchor>
              </controlPr>
            </control>
          </mc:Choice>
        </mc:AlternateContent>
        <mc:AlternateContent xmlns:mc="http://schemas.openxmlformats.org/markup-compatibility/2006">
          <mc:Choice Requires="x14">
            <control shapeId="1085" r:id="rId64" name="Check Box 61">
              <controlPr defaultSize="0" autoFill="0" autoLine="0" autoPict="0">
                <anchor moveWithCells="1">
                  <from>
                    <xdr:col>10</xdr:col>
                    <xdr:colOff>7620</xdr:colOff>
                    <xdr:row>50</xdr:row>
                    <xdr:rowOff>7620</xdr:rowOff>
                  </from>
                  <to>
                    <xdr:col>11</xdr:col>
                    <xdr:colOff>121920</xdr:colOff>
                    <xdr:row>51</xdr:row>
                    <xdr:rowOff>45720</xdr:rowOff>
                  </to>
                </anchor>
              </controlPr>
            </control>
          </mc:Choice>
        </mc:AlternateContent>
        <mc:AlternateContent xmlns:mc="http://schemas.openxmlformats.org/markup-compatibility/2006">
          <mc:Choice Requires="x14">
            <control shapeId="1086" r:id="rId65" name="Check Box 62">
              <controlPr defaultSize="0" autoFill="0" autoLine="0" autoPict="0">
                <anchor moveWithCells="1">
                  <from>
                    <xdr:col>10</xdr:col>
                    <xdr:colOff>7620</xdr:colOff>
                    <xdr:row>51</xdr:row>
                    <xdr:rowOff>7620</xdr:rowOff>
                  </from>
                  <to>
                    <xdr:col>11</xdr:col>
                    <xdr:colOff>121920</xdr:colOff>
                    <xdr:row>52</xdr:row>
                    <xdr:rowOff>45720</xdr:rowOff>
                  </to>
                </anchor>
              </controlPr>
            </control>
          </mc:Choice>
        </mc:AlternateContent>
        <mc:AlternateContent xmlns:mc="http://schemas.openxmlformats.org/markup-compatibility/2006">
          <mc:Choice Requires="x14">
            <control shapeId="1087" r:id="rId66" name="Check Box 63">
              <controlPr defaultSize="0" autoFill="0" autoLine="0" autoPict="0">
                <anchor moveWithCells="1">
                  <from>
                    <xdr:col>12</xdr:col>
                    <xdr:colOff>7620</xdr:colOff>
                    <xdr:row>48</xdr:row>
                    <xdr:rowOff>7620</xdr:rowOff>
                  </from>
                  <to>
                    <xdr:col>13</xdr:col>
                    <xdr:colOff>525780</xdr:colOff>
                    <xdr:row>49</xdr:row>
                    <xdr:rowOff>45720</xdr:rowOff>
                  </to>
                </anchor>
              </controlPr>
            </control>
          </mc:Choice>
        </mc:AlternateContent>
        <mc:AlternateContent xmlns:mc="http://schemas.openxmlformats.org/markup-compatibility/2006">
          <mc:Choice Requires="x14">
            <control shapeId="1088" r:id="rId67" name="Check Box 64">
              <controlPr defaultSize="0" autoFill="0" autoLine="0" autoPict="0">
                <anchor moveWithCells="1">
                  <from>
                    <xdr:col>12</xdr:col>
                    <xdr:colOff>7620</xdr:colOff>
                    <xdr:row>49</xdr:row>
                    <xdr:rowOff>7620</xdr:rowOff>
                  </from>
                  <to>
                    <xdr:col>13</xdr:col>
                    <xdr:colOff>525780</xdr:colOff>
                    <xdr:row>50</xdr:row>
                    <xdr:rowOff>45720</xdr:rowOff>
                  </to>
                </anchor>
              </controlPr>
            </control>
          </mc:Choice>
        </mc:AlternateContent>
        <mc:AlternateContent xmlns:mc="http://schemas.openxmlformats.org/markup-compatibility/2006">
          <mc:Choice Requires="x14">
            <control shapeId="1089" r:id="rId68" name="Check Box 65">
              <controlPr defaultSize="0" autoFill="0" autoLine="0" autoPict="0">
                <anchor moveWithCells="1">
                  <from>
                    <xdr:col>12</xdr:col>
                    <xdr:colOff>7620</xdr:colOff>
                    <xdr:row>50</xdr:row>
                    <xdr:rowOff>7620</xdr:rowOff>
                  </from>
                  <to>
                    <xdr:col>13</xdr:col>
                    <xdr:colOff>525780</xdr:colOff>
                    <xdr:row>51</xdr:row>
                    <xdr:rowOff>45720</xdr:rowOff>
                  </to>
                </anchor>
              </controlPr>
            </control>
          </mc:Choice>
        </mc:AlternateContent>
        <mc:AlternateContent xmlns:mc="http://schemas.openxmlformats.org/markup-compatibility/2006">
          <mc:Choice Requires="x14">
            <control shapeId="1090" r:id="rId69" name="Check Box 66">
              <controlPr defaultSize="0" autoFill="0" autoLine="0" autoPict="0">
                <anchor moveWithCells="1">
                  <from>
                    <xdr:col>12</xdr:col>
                    <xdr:colOff>7620</xdr:colOff>
                    <xdr:row>51</xdr:row>
                    <xdr:rowOff>7620</xdr:rowOff>
                  </from>
                  <to>
                    <xdr:col>13</xdr:col>
                    <xdr:colOff>525780</xdr:colOff>
                    <xdr:row>52</xdr:row>
                    <xdr:rowOff>45720</xdr:rowOff>
                  </to>
                </anchor>
              </controlPr>
            </control>
          </mc:Choice>
        </mc:AlternateContent>
        <mc:AlternateContent xmlns:mc="http://schemas.openxmlformats.org/markup-compatibility/2006">
          <mc:Choice Requires="x14">
            <control shapeId="1091" r:id="rId70" name="Check Box 67">
              <controlPr defaultSize="0" autoFill="0" autoLine="0" autoPict="0">
                <anchor moveWithCells="1">
                  <from>
                    <xdr:col>14</xdr:col>
                    <xdr:colOff>7620</xdr:colOff>
                    <xdr:row>48</xdr:row>
                    <xdr:rowOff>7620</xdr:rowOff>
                  </from>
                  <to>
                    <xdr:col>15</xdr:col>
                    <xdr:colOff>525780</xdr:colOff>
                    <xdr:row>49</xdr:row>
                    <xdr:rowOff>45720</xdr:rowOff>
                  </to>
                </anchor>
              </controlPr>
            </control>
          </mc:Choice>
        </mc:AlternateContent>
        <mc:AlternateContent xmlns:mc="http://schemas.openxmlformats.org/markup-compatibility/2006">
          <mc:Choice Requires="x14">
            <control shapeId="1092" r:id="rId71" name="Check Box 68">
              <controlPr defaultSize="0" autoFill="0" autoLine="0" autoPict="0">
                <anchor moveWithCells="1">
                  <from>
                    <xdr:col>14</xdr:col>
                    <xdr:colOff>7620</xdr:colOff>
                    <xdr:row>49</xdr:row>
                    <xdr:rowOff>7620</xdr:rowOff>
                  </from>
                  <to>
                    <xdr:col>15</xdr:col>
                    <xdr:colOff>525780</xdr:colOff>
                    <xdr:row>50</xdr:row>
                    <xdr:rowOff>45720</xdr:rowOff>
                  </to>
                </anchor>
              </controlPr>
            </control>
          </mc:Choice>
        </mc:AlternateContent>
        <mc:AlternateContent xmlns:mc="http://schemas.openxmlformats.org/markup-compatibility/2006">
          <mc:Choice Requires="x14">
            <control shapeId="1093" r:id="rId72" name="Check Box 69">
              <controlPr defaultSize="0" autoFill="0" autoLine="0" autoPict="0">
                <anchor moveWithCells="1">
                  <from>
                    <xdr:col>14</xdr:col>
                    <xdr:colOff>7620</xdr:colOff>
                    <xdr:row>50</xdr:row>
                    <xdr:rowOff>7620</xdr:rowOff>
                  </from>
                  <to>
                    <xdr:col>15</xdr:col>
                    <xdr:colOff>525780</xdr:colOff>
                    <xdr:row>51</xdr:row>
                    <xdr:rowOff>45720</xdr:rowOff>
                  </to>
                </anchor>
              </controlPr>
            </control>
          </mc:Choice>
        </mc:AlternateContent>
        <mc:AlternateContent xmlns:mc="http://schemas.openxmlformats.org/markup-compatibility/2006">
          <mc:Choice Requires="x14">
            <control shapeId="1094" r:id="rId73" name="Check Box 70">
              <controlPr defaultSize="0" autoFill="0" autoLine="0" autoPict="0">
                <anchor moveWithCells="1">
                  <from>
                    <xdr:col>14</xdr:col>
                    <xdr:colOff>7620</xdr:colOff>
                    <xdr:row>51</xdr:row>
                    <xdr:rowOff>7620</xdr:rowOff>
                  </from>
                  <to>
                    <xdr:col>15</xdr:col>
                    <xdr:colOff>525780</xdr:colOff>
                    <xdr:row>52</xdr:row>
                    <xdr:rowOff>45720</xdr:rowOff>
                  </to>
                </anchor>
              </controlPr>
            </control>
          </mc:Choice>
        </mc:AlternateContent>
        <mc:AlternateContent xmlns:mc="http://schemas.openxmlformats.org/markup-compatibility/2006">
          <mc:Choice Requires="x14">
            <control shapeId="1095" r:id="rId74" name="Check Box 71">
              <controlPr defaultSize="0" autoFill="0" autoLine="0" autoPict="0">
                <anchor moveWithCells="1">
                  <from>
                    <xdr:col>16</xdr:col>
                    <xdr:colOff>7620</xdr:colOff>
                    <xdr:row>48</xdr:row>
                    <xdr:rowOff>7620</xdr:rowOff>
                  </from>
                  <to>
                    <xdr:col>17</xdr:col>
                    <xdr:colOff>449580</xdr:colOff>
                    <xdr:row>49</xdr:row>
                    <xdr:rowOff>45720</xdr:rowOff>
                  </to>
                </anchor>
              </controlPr>
            </control>
          </mc:Choice>
        </mc:AlternateContent>
        <mc:AlternateContent xmlns:mc="http://schemas.openxmlformats.org/markup-compatibility/2006">
          <mc:Choice Requires="x14">
            <control shapeId="1096" r:id="rId75" name="Check Box 72">
              <controlPr defaultSize="0" autoFill="0" autoLine="0" autoPict="0">
                <anchor moveWithCells="1">
                  <from>
                    <xdr:col>16</xdr:col>
                    <xdr:colOff>7620</xdr:colOff>
                    <xdr:row>49</xdr:row>
                    <xdr:rowOff>7620</xdr:rowOff>
                  </from>
                  <to>
                    <xdr:col>17</xdr:col>
                    <xdr:colOff>449580</xdr:colOff>
                    <xdr:row>50</xdr:row>
                    <xdr:rowOff>45720</xdr:rowOff>
                  </to>
                </anchor>
              </controlPr>
            </control>
          </mc:Choice>
        </mc:AlternateContent>
        <mc:AlternateContent xmlns:mc="http://schemas.openxmlformats.org/markup-compatibility/2006">
          <mc:Choice Requires="x14">
            <control shapeId="1097" r:id="rId76" name="Check Box 73">
              <controlPr defaultSize="0" autoFill="0" autoLine="0" autoPict="0">
                <anchor moveWithCells="1">
                  <from>
                    <xdr:col>16</xdr:col>
                    <xdr:colOff>7620</xdr:colOff>
                    <xdr:row>50</xdr:row>
                    <xdr:rowOff>7620</xdr:rowOff>
                  </from>
                  <to>
                    <xdr:col>17</xdr:col>
                    <xdr:colOff>449580</xdr:colOff>
                    <xdr:row>51</xdr:row>
                    <xdr:rowOff>45720</xdr:rowOff>
                  </to>
                </anchor>
              </controlPr>
            </control>
          </mc:Choice>
        </mc:AlternateContent>
        <mc:AlternateContent xmlns:mc="http://schemas.openxmlformats.org/markup-compatibility/2006">
          <mc:Choice Requires="x14">
            <control shapeId="1098" r:id="rId77" name="Check Box 74">
              <controlPr defaultSize="0" autoFill="0" autoLine="0" autoPict="0">
                <anchor moveWithCells="1">
                  <from>
                    <xdr:col>16</xdr:col>
                    <xdr:colOff>7620</xdr:colOff>
                    <xdr:row>51</xdr:row>
                    <xdr:rowOff>7620</xdr:rowOff>
                  </from>
                  <to>
                    <xdr:col>17</xdr:col>
                    <xdr:colOff>449580</xdr:colOff>
                    <xdr:row>52</xdr:row>
                    <xdr:rowOff>45720</xdr:rowOff>
                  </to>
                </anchor>
              </controlPr>
            </control>
          </mc:Choice>
        </mc:AlternateContent>
        <mc:AlternateContent xmlns:mc="http://schemas.openxmlformats.org/markup-compatibility/2006">
          <mc:Choice Requires="x14">
            <control shapeId="1099" r:id="rId78" name="Check Box 75">
              <controlPr defaultSize="0" autoFill="0" autoLine="0" autoPict="0">
                <anchor moveWithCells="1">
                  <from>
                    <xdr:col>18</xdr:col>
                    <xdr:colOff>7620</xdr:colOff>
                    <xdr:row>48</xdr:row>
                    <xdr:rowOff>7620</xdr:rowOff>
                  </from>
                  <to>
                    <xdr:col>19</xdr:col>
                    <xdr:colOff>525780</xdr:colOff>
                    <xdr:row>49</xdr:row>
                    <xdr:rowOff>45720</xdr:rowOff>
                  </to>
                </anchor>
              </controlPr>
            </control>
          </mc:Choice>
        </mc:AlternateContent>
        <mc:AlternateContent xmlns:mc="http://schemas.openxmlformats.org/markup-compatibility/2006">
          <mc:Choice Requires="x14">
            <control shapeId="1100" r:id="rId79" name="Check Box 76">
              <controlPr defaultSize="0" autoFill="0" autoLine="0" autoPict="0">
                <anchor moveWithCells="1">
                  <from>
                    <xdr:col>18</xdr:col>
                    <xdr:colOff>7620</xdr:colOff>
                    <xdr:row>49</xdr:row>
                    <xdr:rowOff>7620</xdr:rowOff>
                  </from>
                  <to>
                    <xdr:col>19</xdr:col>
                    <xdr:colOff>525780</xdr:colOff>
                    <xdr:row>50</xdr:row>
                    <xdr:rowOff>45720</xdr:rowOff>
                  </to>
                </anchor>
              </controlPr>
            </control>
          </mc:Choice>
        </mc:AlternateContent>
        <mc:AlternateContent xmlns:mc="http://schemas.openxmlformats.org/markup-compatibility/2006">
          <mc:Choice Requires="x14">
            <control shapeId="1101" r:id="rId80" name="Check Box 77">
              <controlPr defaultSize="0" autoFill="0" autoLine="0" autoPict="0">
                <anchor moveWithCells="1">
                  <from>
                    <xdr:col>18</xdr:col>
                    <xdr:colOff>7620</xdr:colOff>
                    <xdr:row>50</xdr:row>
                    <xdr:rowOff>7620</xdr:rowOff>
                  </from>
                  <to>
                    <xdr:col>19</xdr:col>
                    <xdr:colOff>525780</xdr:colOff>
                    <xdr:row>51</xdr:row>
                    <xdr:rowOff>45720</xdr:rowOff>
                  </to>
                </anchor>
              </controlPr>
            </control>
          </mc:Choice>
        </mc:AlternateContent>
        <mc:AlternateContent xmlns:mc="http://schemas.openxmlformats.org/markup-compatibility/2006">
          <mc:Choice Requires="x14">
            <control shapeId="1102" r:id="rId81" name="Check Box 78">
              <controlPr defaultSize="0" autoFill="0" autoLine="0" autoPict="0">
                <anchor moveWithCells="1">
                  <from>
                    <xdr:col>18</xdr:col>
                    <xdr:colOff>7620</xdr:colOff>
                    <xdr:row>51</xdr:row>
                    <xdr:rowOff>7620</xdr:rowOff>
                  </from>
                  <to>
                    <xdr:col>19</xdr:col>
                    <xdr:colOff>525780</xdr:colOff>
                    <xdr:row>52</xdr:row>
                    <xdr:rowOff>45720</xdr:rowOff>
                  </to>
                </anchor>
              </controlPr>
            </control>
          </mc:Choice>
        </mc:AlternateContent>
        <mc:AlternateContent xmlns:mc="http://schemas.openxmlformats.org/markup-compatibility/2006">
          <mc:Choice Requires="x14">
            <control shapeId="1103" r:id="rId82" name="Check Box 79">
              <controlPr defaultSize="0" autoFill="0" autoLine="0" autoPict="0">
                <anchor moveWithCells="1">
                  <from>
                    <xdr:col>20</xdr:col>
                    <xdr:colOff>7620</xdr:colOff>
                    <xdr:row>48</xdr:row>
                    <xdr:rowOff>7620</xdr:rowOff>
                  </from>
                  <to>
                    <xdr:col>20</xdr:col>
                    <xdr:colOff>1135380</xdr:colOff>
                    <xdr:row>49</xdr:row>
                    <xdr:rowOff>45720</xdr:rowOff>
                  </to>
                </anchor>
              </controlPr>
            </control>
          </mc:Choice>
        </mc:AlternateContent>
        <mc:AlternateContent xmlns:mc="http://schemas.openxmlformats.org/markup-compatibility/2006">
          <mc:Choice Requires="x14">
            <control shapeId="1104" r:id="rId83" name="Check Box 80">
              <controlPr defaultSize="0" autoFill="0" autoLine="0" autoPict="0">
                <anchor moveWithCells="1">
                  <from>
                    <xdr:col>20</xdr:col>
                    <xdr:colOff>7620</xdr:colOff>
                    <xdr:row>49</xdr:row>
                    <xdr:rowOff>7620</xdr:rowOff>
                  </from>
                  <to>
                    <xdr:col>20</xdr:col>
                    <xdr:colOff>1135380</xdr:colOff>
                    <xdr:row>50</xdr:row>
                    <xdr:rowOff>45720</xdr:rowOff>
                  </to>
                </anchor>
              </controlPr>
            </control>
          </mc:Choice>
        </mc:AlternateContent>
        <mc:AlternateContent xmlns:mc="http://schemas.openxmlformats.org/markup-compatibility/2006">
          <mc:Choice Requires="x14">
            <control shapeId="1105" r:id="rId84" name="Check Box 81">
              <controlPr defaultSize="0" autoFill="0" autoLine="0" autoPict="0">
                <anchor moveWithCells="1">
                  <from>
                    <xdr:col>20</xdr:col>
                    <xdr:colOff>7620</xdr:colOff>
                    <xdr:row>50</xdr:row>
                    <xdr:rowOff>7620</xdr:rowOff>
                  </from>
                  <to>
                    <xdr:col>20</xdr:col>
                    <xdr:colOff>1135380</xdr:colOff>
                    <xdr:row>51</xdr:row>
                    <xdr:rowOff>45720</xdr:rowOff>
                  </to>
                </anchor>
              </controlPr>
            </control>
          </mc:Choice>
        </mc:AlternateContent>
        <mc:AlternateContent xmlns:mc="http://schemas.openxmlformats.org/markup-compatibility/2006">
          <mc:Choice Requires="x14">
            <control shapeId="1106" r:id="rId85" name="Check Box 82">
              <controlPr defaultSize="0" autoFill="0" autoLine="0" autoPict="0">
                <anchor moveWithCells="1">
                  <from>
                    <xdr:col>20</xdr:col>
                    <xdr:colOff>7620</xdr:colOff>
                    <xdr:row>51</xdr:row>
                    <xdr:rowOff>7620</xdr:rowOff>
                  </from>
                  <to>
                    <xdr:col>20</xdr:col>
                    <xdr:colOff>1135380</xdr:colOff>
                    <xdr:row>52</xdr:row>
                    <xdr:rowOff>45720</xdr:rowOff>
                  </to>
                </anchor>
              </controlPr>
            </control>
          </mc:Choice>
        </mc:AlternateContent>
        <mc:AlternateContent xmlns:mc="http://schemas.openxmlformats.org/markup-compatibility/2006">
          <mc:Choice Requires="x14">
            <control shapeId="1107" r:id="rId86" name="Check Box 83">
              <controlPr defaultSize="0" autoFill="0" autoLine="0" autoPict="0">
                <anchor moveWithCells="1">
                  <from>
                    <xdr:col>22</xdr:col>
                    <xdr:colOff>7620</xdr:colOff>
                    <xdr:row>48</xdr:row>
                    <xdr:rowOff>7620</xdr:rowOff>
                  </from>
                  <to>
                    <xdr:col>23</xdr:col>
                    <xdr:colOff>525780</xdr:colOff>
                    <xdr:row>49</xdr:row>
                    <xdr:rowOff>45720</xdr:rowOff>
                  </to>
                </anchor>
              </controlPr>
            </control>
          </mc:Choice>
        </mc:AlternateContent>
        <mc:AlternateContent xmlns:mc="http://schemas.openxmlformats.org/markup-compatibility/2006">
          <mc:Choice Requires="x14">
            <control shapeId="1108" r:id="rId87" name="Check Box 84">
              <controlPr defaultSize="0" autoFill="0" autoLine="0" autoPict="0">
                <anchor moveWithCells="1">
                  <from>
                    <xdr:col>22</xdr:col>
                    <xdr:colOff>7620</xdr:colOff>
                    <xdr:row>49</xdr:row>
                    <xdr:rowOff>7620</xdr:rowOff>
                  </from>
                  <to>
                    <xdr:col>23</xdr:col>
                    <xdr:colOff>525780</xdr:colOff>
                    <xdr:row>50</xdr:row>
                    <xdr:rowOff>45720</xdr:rowOff>
                  </to>
                </anchor>
              </controlPr>
            </control>
          </mc:Choice>
        </mc:AlternateContent>
        <mc:AlternateContent xmlns:mc="http://schemas.openxmlformats.org/markup-compatibility/2006">
          <mc:Choice Requires="x14">
            <control shapeId="1109" r:id="rId88" name="Check Box 85">
              <controlPr defaultSize="0" autoFill="0" autoLine="0" autoPict="0">
                <anchor moveWithCells="1">
                  <from>
                    <xdr:col>22</xdr:col>
                    <xdr:colOff>7620</xdr:colOff>
                    <xdr:row>50</xdr:row>
                    <xdr:rowOff>7620</xdr:rowOff>
                  </from>
                  <to>
                    <xdr:col>23</xdr:col>
                    <xdr:colOff>525780</xdr:colOff>
                    <xdr:row>51</xdr:row>
                    <xdr:rowOff>45720</xdr:rowOff>
                  </to>
                </anchor>
              </controlPr>
            </control>
          </mc:Choice>
        </mc:AlternateContent>
        <mc:AlternateContent xmlns:mc="http://schemas.openxmlformats.org/markup-compatibility/2006">
          <mc:Choice Requires="x14">
            <control shapeId="1110" r:id="rId89" name="Check Box 86">
              <controlPr defaultSize="0" autoFill="0" autoLine="0" autoPict="0">
                <anchor moveWithCells="1">
                  <from>
                    <xdr:col>22</xdr:col>
                    <xdr:colOff>7620</xdr:colOff>
                    <xdr:row>51</xdr:row>
                    <xdr:rowOff>7620</xdr:rowOff>
                  </from>
                  <to>
                    <xdr:col>23</xdr:col>
                    <xdr:colOff>525780</xdr:colOff>
                    <xdr:row>52</xdr:row>
                    <xdr:rowOff>45720</xdr:rowOff>
                  </to>
                </anchor>
              </controlPr>
            </control>
          </mc:Choice>
        </mc:AlternateContent>
      </controls>
    </mc:Choice>
  </mc:AlternateContent>
  <tableParts count="10">
    <tablePart r:id="rId90"/>
    <tablePart r:id="rId91"/>
    <tablePart r:id="rId92"/>
    <tablePart r:id="rId93"/>
    <tablePart r:id="rId94"/>
    <tablePart r:id="rId95"/>
    <tablePart r:id="rId96"/>
    <tablePart r:id="rId97"/>
    <tablePart r:id="rId98"/>
    <tablePart r:id="rId99"/>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E2658E-B86D-4F43-A5B5-A14E096C08CF}">
  <dimension ref="A1:Z97"/>
  <sheetViews>
    <sheetView topLeftCell="E1" zoomScale="55" zoomScaleNormal="55" workbookViewId="0">
      <selection activeCell="R31" sqref="R31"/>
    </sheetView>
  </sheetViews>
  <sheetFormatPr defaultColWidth="8.5546875" defaultRowHeight="14.4" x14ac:dyDescent="0.3"/>
  <cols>
    <col min="1" max="1" width="16.109375" style="1" customWidth="1"/>
    <col min="2" max="2" width="16.44140625" style="5" customWidth="1"/>
    <col min="3" max="3" width="15.6640625" style="5" customWidth="1"/>
    <col min="4" max="4" width="18.33203125" style="5" customWidth="1"/>
    <col min="5" max="5" width="15.33203125" style="5" bestFit="1" customWidth="1"/>
    <col min="6" max="6" width="12.44140625" style="5" bestFit="1" customWidth="1"/>
    <col min="7" max="7" width="13.33203125" style="5" bestFit="1" customWidth="1"/>
    <col min="8" max="8" width="18.33203125" style="1" customWidth="1"/>
    <col min="9" max="9" width="16.88671875" style="67" bestFit="1" customWidth="1"/>
    <col min="10" max="10" width="17.33203125" style="5" customWidth="1"/>
    <col min="11" max="11" width="15" style="5" bestFit="1" customWidth="1"/>
    <col min="12" max="12" width="16.88671875" style="5" bestFit="1" customWidth="1"/>
    <col min="13" max="13" width="16.88671875" style="5" customWidth="1"/>
    <col min="14" max="14" width="16.88671875" style="5" bestFit="1" customWidth="1"/>
    <col min="15" max="15" width="18.33203125" style="5" bestFit="1" customWidth="1"/>
    <col min="16" max="16" width="15.6640625" style="5" bestFit="1" customWidth="1"/>
    <col min="17" max="17" width="22.5546875" style="5" bestFit="1" customWidth="1"/>
    <col min="18" max="18" width="23.6640625" style="5" customWidth="1"/>
    <col min="19" max="19" width="20.6640625" style="5" bestFit="1" customWidth="1"/>
    <col min="20" max="20" width="16.6640625" style="5" bestFit="1" customWidth="1"/>
    <col min="21" max="21" width="16.6640625" style="5" customWidth="1"/>
    <col min="22" max="22" width="20.33203125" style="5" bestFit="1" customWidth="1"/>
    <col min="23" max="23" width="21.33203125" style="5" bestFit="1" customWidth="1"/>
    <col min="24" max="24" width="13.109375" style="5" customWidth="1"/>
    <col min="25" max="16384" width="8.5546875" style="5"/>
  </cols>
  <sheetData>
    <row r="1" spans="1:25" ht="33.6" x14ac:dyDescent="0.3">
      <c r="B1" s="137" t="s">
        <v>113</v>
      </c>
      <c r="C1" s="137"/>
      <c r="D1" s="137"/>
      <c r="E1" s="137"/>
      <c r="F1" s="137"/>
      <c r="G1" s="137"/>
      <c r="H1" s="137"/>
      <c r="I1" s="137"/>
      <c r="J1" s="137"/>
      <c r="K1" s="137"/>
      <c r="L1" s="137"/>
      <c r="M1" s="137"/>
      <c r="N1" s="137"/>
      <c r="O1" s="137"/>
      <c r="P1" s="137"/>
      <c r="Q1" s="137"/>
      <c r="R1" s="137"/>
      <c r="S1" s="137"/>
      <c r="T1" s="137"/>
      <c r="U1" s="137"/>
      <c r="V1" s="137"/>
      <c r="W1" s="137"/>
      <c r="X1" s="137"/>
      <c r="Y1" s="137"/>
    </row>
    <row r="2" spans="1:25" ht="21" x14ac:dyDescent="0.4">
      <c r="A2" s="5"/>
      <c r="B2" s="138" t="s">
        <v>114</v>
      </c>
      <c r="C2" s="138"/>
      <c r="D2" s="138"/>
      <c r="E2" s="138"/>
      <c r="F2" s="138"/>
      <c r="G2" s="138"/>
      <c r="H2" s="138"/>
      <c r="I2" s="138"/>
      <c r="J2" s="138"/>
      <c r="K2" s="138"/>
      <c r="L2" s="138"/>
      <c r="M2" s="138"/>
    </row>
    <row r="3" spans="1:25" x14ac:dyDescent="0.3">
      <c r="B3" s="59" t="s">
        <v>94</v>
      </c>
      <c r="C3" s="2" t="s">
        <v>95</v>
      </c>
      <c r="D3" s="31" t="s">
        <v>110</v>
      </c>
      <c r="E3" s="31" t="s">
        <v>111</v>
      </c>
      <c r="F3" s="2" t="s">
        <v>1</v>
      </c>
      <c r="G3" s="2" t="s">
        <v>2</v>
      </c>
      <c r="H3" s="2" t="s">
        <v>3</v>
      </c>
      <c r="I3" s="2" t="s">
        <v>4</v>
      </c>
      <c r="J3" s="2" t="s">
        <v>5</v>
      </c>
      <c r="K3" s="3" t="s">
        <v>6</v>
      </c>
      <c r="L3" s="2" t="s">
        <v>7</v>
      </c>
      <c r="M3" s="2" t="s">
        <v>115</v>
      </c>
    </row>
    <row r="4" spans="1:25" ht="15" x14ac:dyDescent="0.3">
      <c r="B4" s="60">
        <v>1</v>
      </c>
      <c r="C4" s="14">
        <v>4</v>
      </c>
      <c r="D4" s="61" t="s">
        <v>110</v>
      </c>
      <c r="E4" s="61" t="s">
        <v>111</v>
      </c>
      <c r="F4" s="1">
        <f>VLOOKUP(Tablo1[[#This Row],[Student No]],Tablo17[[STUDENT ID]:[TOTAL GRADE]],11,FALSE)</f>
        <v>71</v>
      </c>
      <c r="G4" s="1">
        <f>VLOOKUP(Tablo1[[#This Row],[Student No]],Tablo1744[[STUDENT ID]:[TOTAL GRADE]],11,FALSE)</f>
        <v>71</v>
      </c>
      <c r="H4" s="62">
        <f>VLOOKUP(Tablo1[[#This Row],[Student No]],Tablo3[[Student No]:[TOTAL]],9,FALSE)</f>
        <v>5</v>
      </c>
      <c r="I4" s="62">
        <f>VLOOKUP(Tablo1[[#This Row],[Student No]],Tablo314[[Student No]:[TOTAL]],18,FALSE)</f>
        <v>64</v>
      </c>
      <c r="J4" s="63">
        <v>0</v>
      </c>
      <c r="K4" s="32">
        <f>(F4*$P$22%*100/$Q$22+G4*$P$23%*100/$Q$23+H4*$P$20%*100/$Q$20+I4*$P$21%*100/$Q$21)+Tablo1[[#This Row],[BONUS]]</f>
        <v>63.5</v>
      </c>
      <c r="L4" s="1" t="str" cm="1">
        <f t="array" ref="L4">_xlfn.IFS(AND(K4&gt;=$P$7,K4&lt;$Q$7),"AA",AND(K4&gt;=$P$8,K4&lt;$Q$8),"AB",AND(K4&gt;=$P$9,K4&lt;$Q$9),"BB",AND(K4&gt;=$P$10,K4&lt;$Q$10),"CB",AND(K4&gt;=$P$11,K4&lt;$Q$11),"CC",AND(K4&gt;=$P$12,K4&lt;$Q$12),"DC",AND(K4&gt;=$P$13,K4&lt;$Q$13),"DD",AND(K4&gt;=$P$14,K4&lt;$Q$14),"FD",AND(K4&gt;=$P$15,K4&lt;$Q$15),"FF")</f>
        <v>DD</v>
      </c>
      <c r="M4" s="1">
        <f t="shared" ref="M4:M33" si="0">_xlfn.NORM.DIST(K4,$T$32,$U$32,FALSE)</f>
        <v>5.859039865418165E-3</v>
      </c>
    </row>
    <row r="5" spans="1:25" ht="15" x14ac:dyDescent="0.3">
      <c r="B5" s="64">
        <v>2</v>
      </c>
      <c r="C5" s="14">
        <v>5</v>
      </c>
      <c r="D5" s="61" t="s">
        <v>110</v>
      </c>
      <c r="E5" s="61" t="s">
        <v>111</v>
      </c>
      <c r="F5" s="1">
        <f>VLOOKUP(Tablo1[[#This Row],[Student No]],Tablo17[[STUDENT ID]:[TOTAL GRADE]],11,FALSE)</f>
        <v>67</v>
      </c>
      <c r="G5" s="1">
        <f>VLOOKUP(Tablo1[[#This Row],[Student No]],Tablo1744[[STUDENT ID]:[TOTAL GRADE]],11,FALSE)</f>
        <v>67</v>
      </c>
      <c r="H5" s="62">
        <f>VLOOKUP(Tablo1[[#This Row],[Student No]],Tablo3[[Student No]:[TOTAL]],9,FALSE)</f>
        <v>0</v>
      </c>
      <c r="I5" s="62">
        <f>VLOOKUP(Tablo1[[#This Row],[Student No]],Tablo314[[Student No]:[TOTAL]],18,FALSE)</f>
        <v>54</v>
      </c>
      <c r="J5" s="63">
        <v>0</v>
      </c>
      <c r="K5" s="32">
        <f>(F5*$P$22%*100/$Q$22+G5*$P$23%*100/$Q$23+H5*$P$20%*100/$Q$20+I5*$P$21%*100/$Q$21)+Tablo1[[#This Row],[BONUS]]</f>
        <v>57.7</v>
      </c>
      <c r="L5" s="1" t="str" cm="1">
        <f t="array" ref="L5">_xlfn.IFS(AND(K5&gt;=$P$7,K5&lt;$Q$7),"AA",AND(K5&gt;=$P$8,K5&lt;$Q$8),"AB",AND(K5&gt;=$P$9,K5&lt;$Q$9),"BB",AND(K5&gt;=$P$10,K5&lt;$Q$10),"CB",AND(K5&gt;=$P$11,K5&lt;$Q$11),"CC",AND(K5&gt;=$P$12,K5&lt;$Q$12),"DC",AND(K5&gt;=$P$13,K5&lt;$Q$13),"DD",AND(K5&gt;=$P$14,K5&lt;$Q$14),"FD",AND(K5&gt;=$P$15,K5&lt;$Q$15),"FF")</f>
        <v>FD</v>
      </c>
      <c r="M5" s="1">
        <f t="shared" si="0"/>
        <v>1.1399825209054068E-2</v>
      </c>
      <c r="O5" s="122" t="s">
        <v>33</v>
      </c>
      <c r="P5" s="122"/>
      <c r="Q5" s="122"/>
    </row>
    <row r="6" spans="1:25" ht="15" x14ac:dyDescent="0.3">
      <c r="B6" s="60">
        <v>3</v>
      </c>
      <c r="C6" s="14">
        <v>8</v>
      </c>
      <c r="D6" s="61" t="s">
        <v>110</v>
      </c>
      <c r="E6" s="61" t="s">
        <v>111</v>
      </c>
      <c r="F6" s="1">
        <f>VLOOKUP(Tablo1[[#This Row],[Student No]],Tablo17[[STUDENT ID]:[TOTAL GRADE]],11,FALSE)</f>
        <v>55</v>
      </c>
      <c r="G6" s="1">
        <f>VLOOKUP(Tablo1[[#This Row],[Student No]],Tablo1744[[STUDENT ID]:[TOTAL GRADE]],11,FALSE)</f>
        <v>55</v>
      </c>
      <c r="H6" s="62">
        <f>VLOOKUP(Tablo1[[#This Row],[Student No]],Tablo3[[Student No]:[TOTAL]],9,FALSE)</f>
        <v>5.4</v>
      </c>
      <c r="I6" s="62">
        <f>VLOOKUP(Tablo1[[#This Row],[Student No]],Tablo314[[Student No]:[TOTAL]],18,FALSE)</f>
        <v>74</v>
      </c>
      <c r="J6" s="63">
        <v>0</v>
      </c>
      <c r="K6" s="32">
        <f>(F6*$P$22%*100/$Q$22+G6*$P$23%*100/$Q$23+H6*$P$20%*100/$Q$20+I6*$P$21%*100/$Q$21)+Tablo1[[#This Row],[BONUS]]</f>
        <v>54.379999999999995</v>
      </c>
      <c r="L6" s="1" t="str" cm="1">
        <f t="array" ref="L6">_xlfn.IFS(AND(K6&gt;=$P$7,K6&lt;$Q$7),"AA",AND(K6&gt;=$P$8,K6&lt;$Q$8),"AB",AND(K6&gt;=$P$9,K6&lt;$Q$9),"BB",AND(K6&gt;=$P$10,K6&lt;$Q$10),"CB",AND(K6&gt;=$P$11,K6&lt;$Q$11),"CC",AND(K6&gt;=$P$12,K6&lt;$Q$12),"DC",AND(K6&gt;=$P$13,K6&lt;$Q$13),"DD",AND(K6&gt;=$P$14,K6&lt;$Q$14),"FD",AND(K6&gt;=$P$15,K6&lt;$Q$15),"FF")</f>
        <v>FD</v>
      </c>
      <c r="M6" s="1">
        <f t="shared" si="0"/>
        <v>1.5402312617757877E-2</v>
      </c>
      <c r="O6" s="5" t="s">
        <v>34</v>
      </c>
      <c r="P6" s="5" t="s">
        <v>35</v>
      </c>
      <c r="Q6" s="5" t="s">
        <v>36</v>
      </c>
    </row>
    <row r="7" spans="1:25" ht="15" x14ac:dyDescent="0.3">
      <c r="B7" s="64">
        <v>4</v>
      </c>
      <c r="C7" s="14">
        <v>7</v>
      </c>
      <c r="D7" s="61" t="s">
        <v>110</v>
      </c>
      <c r="E7" s="61" t="s">
        <v>111</v>
      </c>
      <c r="F7" s="1">
        <f>VLOOKUP(Tablo1[[#This Row],[Student No]],Tablo17[[STUDENT ID]:[TOTAL GRADE]],11,FALSE)</f>
        <v>57</v>
      </c>
      <c r="G7" s="1">
        <f>VLOOKUP(Tablo1[[#This Row],[Student No]],Tablo1744[[STUDENT ID]:[TOTAL GRADE]],11,FALSE)</f>
        <v>57</v>
      </c>
      <c r="H7" s="62">
        <f>VLOOKUP(Tablo1[[#This Row],[Student No]],Tablo3[[Student No]:[TOTAL]],9,FALSE)</f>
        <v>5.4</v>
      </c>
      <c r="I7" s="62">
        <f>VLOOKUP(Tablo1[[#This Row],[Student No]],Tablo314[[Student No]:[TOTAL]],18,FALSE)</f>
        <v>62</v>
      </c>
      <c r="J7" s="63">
        <v>0</v>
      </c>
      <c r="K7" s="32">
        <f>(F7*$P$22%*100/$Q$22+G7*$P$23%*100/$Q$23+H7*$P$20%*100/$Q$20+I7*$P$21%*100/$Q$21)+Tablo1[[#This Row],[BONUS]]</f>
        <v>53.379999999999995</v>
      </c>
      <c r="L7" s="1" t="str" cm="1">
        <f t="array" ref="L7">_xlfn.IFS(AND(K7&gt;=$P$7,K7&lt;$Q$7),"AA",AND(K7&gt;=$P$8,K7&lt;$Q$8),"AB",AND(K7&gt;=$P$9,K7&lt;$Q$9),"BB",AND(K7&gt;=$P$10,K7&lt;$Q$10),"CB",AND(K7&gt;=$P$11,K7&lt;$Q$11),"CC",AND(K7&gt;=$P$12,K7&lt;$Q$12),"DC",AND(K7&gt;=$P$13,K7&lt;$Q$13),"DD",AND(K7&gt;=$P$14,K7&lt;$Q$14),"FD",AND(K7&gt;=$P$15,K7&lt;$Q$15),"FF")</f>
        <v>FD</v>
      </c>
      <c r="M7" s="1">
        <f t="shared" si="0"/>
        <v>1.6671985028178137E-2</v>
      </c>
      <c r="O7" s="5" t="s">
        <v>38</v>
      </c>
      <c r="P7" s="13">
        <v>90</v>
      </c>
      <c r="Q7" s="13">
        <v>100</v>
      </c>
    </row>
    <row r="8" spans="1:25" ht="15" x14ac:dyDescent="0.3">
      <c r="B8" s="60">
        <v>5</v>
      </c>
      <c r="C8" s="14">
        <v>6</v>
      </c>
      <c r="D8" s="61" t="s">
        <v>110</v>
      </c>
      <c r="E8" s="61" t="s">
        <v>111</v>
      </c>
      <c r="F8" s="1">
        <f>VLOOKUP(Tablo1[[#This Row],[Student No]],Tablo17[[STUDENT ID]:[TOTAL GRADE]],11,FALSE)</f>
        <v>62</v>
      </c>
      <c r="G8" s="1">
        <f>VLOOKUP(Tablo1[[#This Row],[Student No]],Tablo1744[[STUDENT ID]:[TOTAL GRADE]],11,FALSE)</f>
        <v>62</v>
      </c>
      <c r="H8" s="62">
        <f>VLOOKUP(Tablo1[[#This Row],[Student No]],Tablo3[[Student No]:[TOTAL]],9,FALSE)</f>
        <v>0</v>
      </c>
      <c r="I8" s="62">
        <f>VLOOKUP(Tablo1[[#This Row],[Student No]],Tablo314[[Student No]:[TOTAL]],18,FALSE)</f>
        <v>49</v>
      </c>
      <c r="J8" s="63">
        <v>0</v>
      </c>
      <c r="K8" s="32">
        <f>(F8*$P$22%*100/$Q$22+G8*$P$23%*100/$Q$23+H8*$P$20%*100/$Q$20+I8*$P$21%*100/$Q$21)+Tablo1[[#This Row],[BONUS]]</f>
        <v>53.2</v>
      </c>
      <c r="L8" s="1" t="str" cm="1">
        <f t="array" ref="L8">_xlfn.IFS(AND(K8&gt;=$P$7,K8&lt;$Q$7),"AA",AND(K8&gt;=$P$8,K8&lt;$Q$8),"AB",AND(K8&gt;=$P$9,K8&lt;$Q$9),"BB",AND(K8&gt;=$P$10,K8&lt;$Q$10),"CB",AND(K8&gt;=$P$11,K8&lt;$Q$11),"CC",AND(K8&gt;=$P$12,K8&lt;$Q$12),"DC",AND(K8&gt;=$P$13,K8&lt;$Q$13),"DD",AND(K8&gt;=$P$14,K8&lt;$Q$14),"FD",AND(K8&gt;=$P$15,K8&lt;$Q$15),"FF")</f>
        <v>FD</v>
      </c>
      <c r="M8" s="1">
        <f t="shared" si="0"/>
        <v>1.6901901831425734E-2</v>
      </c>
      <c r="O8" s="5" t="s">
        <v>39</v>
      </c>
      <c r="P8" s="13">
        <v>85</v>
      </c>
      <c r="Q8" s="13">
        <v>90</v>
      </c>
    </row>
    <row r="9" spans="1:25" ht="15" x14ac:dyDescent="0.3">
      <c r="B9" s="64">
        <v>6</v>
      </c>
      <c r="C9" s="14">
        <v>16</v>
      </c>
      <c r="D9" s="61" t="s">
        <v>110</v>
      </c>
      <c r="E9" s="61" t="s">
        <v>111</v>
      </c>
      <c r="F9" s="1">
        <f>VLOOKUP(Tablo1[[#This Row],[Student No]],Tablo17[[STUDENT ID]:[TOTAL GRADE]],11,FALSE)</f>
        <v>43</v>
      </c>
      <c r="G9" s="1">
        <f>VLOOKUP(Tablo1[[#This Row],[Student No]],Tablo1744[[STUDENT ID]:[TOTAL GRADE]],11,FALSE)</f>
        <v>60</v>
      </c>
      <c r="H9" s="62">
        <f>VLOOKUP(Tablo1[[#This Row],[Student No]],Tablo3[[Student No]:[TOTAL]],9,FALSE)</f>
        <v>10</v>
      </c>
      <c r="I9" s="62">
        <f>VLOOKUP(Tablo1[[#This Row],[Student No]],Tablo314[[Student No]:[TOTAL]],18,FALSE)</f>
        <v>56</v>
      </c>
      <c r="J9" s="63">
        <v>0</v>
      </c>
      <c r="K9" s="32">
        <f>(F9*$P$22%*100/$Q$22+G9*$P$23%*100/$Q$23+H9*$P$20%*100/$Q$20+I9*$P$21%*100/$Q$21)+Tablo1[[#This Row],[BONUS]]</f>
        <v>50.099999999999994</v>
      </c>
      <c r="L9" s="1" t="str" cm="1">
        <f t="array" ref="L9">_xlfn.IFS(AND(K9&gt;=$P$7,K9&lt;$Q$7),"AA",AND(K9&gt;=$P$8,K9&lt;$Q$8),"AB",AND(K9&gt;=$P$9,K9&lt;$Q$9),"BB",AND(K9&gt;=$P$10,K9&lt;$Q$10),"CB",AND(K9&gt;=$P$11,K9&lt;$Q$11),"CC",AND(K9&gt;=$P$12,K9&lt;$Q$12),"DC",AND(K9&gt;=$P$13,K9&lt;$Q$13),"DD",AND(K9&gt;=$P$14,K9&lt;$Q$14),"FD",AND(K9&gt;=$P$15,K9&lt;$Q$15),"FF")</f>
        <v>FD</v>
      </c>
      <c r="M9" s="1">
        <f t="shared" si="0"/>
        <v>2.0830412425502993E-2</v>
      </c>
      <c r="O9" s="5" t="s">
        <v>40</v>
      </c>
      <c r="P9" s="13">
        <v>80</v>
      </c>
      <c r="Q9" s="13">
        <v>85</v>
      </c>
    </row>
    <row r="10" spans="1:25" ht="15" x14ac:dyDescent="0.3">
      <c r="B10" s="60">
        <v>7</v>
      </c>
      <c r="C10" s="14">
        <v>13</v>
      </c>
      <c r="D10" s="61" t="s">
        <v>110</v>
      </c>
      <c r="E10" s="61" t="s">
        <v>111</v>
      </c>
      <c r="F10" s="1">
        <f>VLOOKUP(Tablo1[[#This Row],[Student No]],Tablo17[[STUDENT ID]:[TOTAL GRADE]],11,FALSE)</f>
        <v>48</v>
      </c>
      <c r="G10" s="1">
        <f>VLOOKUP(Tablo1[[#This Row],[Student No]],Tablo1744[[STUDENT ID]:[TOTAL GRADE]],11,FALSE)</f>
        <v>54</v>
      </c>
      <c r="H10" s="62">
        <f>VLOOKUP(Tablo1[[#This Row],[Student No]],Tablo3[[Student No]:[TOTAL]],9,FALSE)</f>
        <v>4.4000000000000004</v>
      </c>
      <c r="I10" s="62">
        <f>VLOOKUP(Tablo1[[#This Row],[Student No]],Tablo314[[Student No]:[TOTAL]],18,FALSE)</f>
        <v>61</v>
      </c>
      <c r="J10" s="63">
        <v>0</v>
      </c>
      <c r="K10" s="32">
        <f>(F10*$P$22%*100/$Q$22+G10*$P$23%*100/$Q$23+H10*$P$20%*100/$Q$20+I10*$P$21%*100/$Q$21)+Tablo1[[#This Row],[BONUS]]</f>
        <v>49.08</v>
      </c>
      <c r="L10" s="1" t="str" cm="1">
        <f t="array" ref="L10">_xlfn.IFS(AND(K10&gt;=$P$7,K10&lt;$Q$7),"AA",AND(K10&gt;=$P$8,K10&lt;$Q$8),"AB",AND(K10&gt;=$P$9,K10&lt;$Q$9),"BB",AND(K10&gt;=$P$10,K10&lt;$Q$10),"CB",AND(K10&gt;=$P$11,K10&lt;$Q$11),"CC",AND(K10&gt;=$P$12,K10&lt;$Q$12),"DC",AND(K10&gt;=$P$13,K10&lt;$Q$13),"DD",AND(K10&gt;=$P$14,K10&lt;$Q$14),"FD",AND(K10&gt;=$P$15,K10&lt;$Q$15),"FF")</f>
        <v>FF</v>
      </c>
      <c r="M10" s="1">
        <f t="shared" si="0"/>
        <v>2.2066541883834903E-2</v>
      </c>
      <c r="O10" s="5" t="s">
        <v>41</v>
      </c>
      <c r="P10" s="13">
        <v>75</v>
      </c>
      <c r="Q10" s="13">
        <v>80</v>
      </c>
    </row>
    <row r="11" spans="1:25" ht="15" x14ac:dyDescent="0.3">
      <c r="B11" s="64">
        <v>8</v>
      </c>
      <c r="C11" s="14">
        <v>14</v>
      </c>
      <c r="D11" s="61" t="s">
        <v>110</v>
      </c>
      <c r="E11" s="61" t="s">
        <v>111</v>
      </c>
      <c r="F11" s="1">
        <f>VLOOKUP(Tablo1[[#This Row],[Student No]],Tablo17[[STUDENT ID]:[TOTAL GRADE]],11,FALSE)</f>
        <v>47</v>
      </c>
      <c r="G11" s="1">
        <f>VLOOKUP(Tablo1[[#This Row],[Student No]],Tablo1744[[STUDENT ID]:[TOTAL GRADE]],11,FALSE)</f>
        <v>54</v>
      </c>
      <c r="H11" s="62">
        <f>VLOOKUP(Tablo1[[#This Row],[Student No]],Tablo3[[Student No]:[TOTAL]],9,FALSE)</f>
        <v>3.4</v>
      </c>
      <c r="I11" s="62">
        <f>VLOOKUP(Tablo1[[#This Row],[Student No]],Tablo314[[Student No]:[TOTAL]],18,FALSE)</f>
        <v>62</v>
      </c>
      <c r="J11" s="63">
        <v>0</v>
      </c>
      <c r="K11" s="32">
        <f>(F11*$P$22%*100/$Q$22+G11*$P$23%*100/$Q$23+H11*$P$20%*100/$Q$20+I11*$P$21%*100/$Q$21)+Tablo1[[#This Row],[BONUS]]</f>
        <v>48.78</v>
      </c>
      <c r="L11" s="1" t="str" cm="1">
        <f t="array" ref="L11">_xlfn.IFS(AND(K11&gt;=$P$7,K11&lt;$Q$7),"AA",AND(K11&gt;=$P$8,K11&lt;$Q$8),"AB",AND(K11&gt;=$P$9,K11&lt;$Q$9),"BB",AND(K11&gt;=$P$10,K11&lt;$Q$10),"CB",AND(K11&gt;=$P$11,K11&lt;$Q$11),"CC",AND(K11&gt;=$P$12,K11&lt;$Q$12),"DC",AND(K11&gt;=$P$13,K11&lt;$Q$13),"DD",AND(K11&gt;=$P$14,K11&lt;$Q$14),"FD",AND(K11&gt;=$P$15,K11&lt;$Q$15),"FF")</f>
        <v>FF</v>
      </c>
      <c r="M11" s="1">
        <f t="shared" si="0"/>
        <v>2.2420383775145349E-2</v>
      </c>
      <c r="O11" s="5" t="s">
        <v>42</v>
      </c>
      <c r="P11" s="13">
        <v>70</v>
      </c>
      <c r="Q11" s="13">
        <v>75</v>
      </c>
    </row>
    <row r="12" spans="1:25" ht="15" x14ac:dyDescent="0.3">
      <c r="B12" s="60">
        <v>9</v>
      </c>
      <c r="C12" s="14">
        <v>9</v>
      </c>
      <c r="D12" s="61" t="s">
        <v>110</v>
      </c>
      <c r="E12" s="61" t="s">
        <v>111</v>
      </c>
      <c r="F12" s="1">
        <f>VLOOKUP(Tablo1[[#This Row],[Student No]],Tablo17[[STUDENT ID]:[TOTAL GRADE]],11,FALSE)</f>
        <v>53</v>
      </c>
      <c r="G12" s="1">
        <f>VLOOKUP(Tablo1[[#This Row],[Student No]],Tablo1744[[STUDENT ID]:[TOTAL GRADE]],11,FALSE)</f>
        <v>53</v>
      </c>
      <c r="H12" s="62">
        <f>VLOOKUP(Tablo1[[#This Row],[Student No]],Tablo3[[Student No]:[TOTAL]],9,FALSE)</f>
        <v>4</v>
      </c>
      <c r="I12" s="62">
        <f>VLOOKUP(Tablo1[[#This Row],[Student No]],Tablo314[[Student No]:[TOTAL]],18,FALSE)</f>
        <v>49</v>
      </c>
      <c r="J12" s="63">
        <v>0</v>
      </c>
      <c r="K12" s="32">
        <f>(F12*$P$22%*100/$Q$22+G12*$P$23%*100/$Q$23+H12*$P$20%*100/$Q$20+I12*$P$21%*100/$Q$21)+Tablo1[[#This Row],[BONUS]]</f>
        <v>47.7</v>
      </c>
      <c r="L12" s="1" t="str" cm="1">
        <f t="array" ref="L12">_xlfn.IFS(AND(K12&gt;=$P$7,K12&lt;$Q$7),"AA",AND(K12&gt;=$P$8,K12&lt;$Q$8),"AB",AND(K12&gt;=$P$9,K12&lt;$Q$9),"BB",AND(K12&gt;=$P$10,K12&lt;$Q$10),"CB",AND(K12&gt;=$P$11,K12&lt;$Q$11),"CC",AND(K12&gt;=$P$12,K12&lt;$Q$12),"DC",AND(K12&gt;=$P$13,K12&lt;$Q$13),"DD",AND(K12&gt;=$P$14,K12&lt;$Q$14),"FD",AND(K12&gt;=$P$15,K12&lt;$Q$15),"FF")</f>
        <v>FF</v>
      </c>
      <c r="M12" s="1">
        <f t="shared" si="0"/>
        <v>2.3648443553586161E-2</v>
      </c>
      <c r="O12" s="5" t="s">
        <v>43</v>
      </c>
      <c r="P12" s="13">
        <v>65</v>
      </c>
      <c r="Q12" s="13">
        <v>70</v>
      </c>
    </row>
    <row r="13" spans="1:25" ht="15" x14ac:dyDescent="0.3">
      <c r="B13" s="64">
        <v>10</v>
      </c>
      <c r="C13" s="14">
        <v>10</v>
      </c>
      <c r="D13" s="61" t="s">
        <v>110</v>
      </c>
      <c r="E13" s="61" t="s">
        <v>111</v>
      </c>
      <c r="F13" s="1">
        <f>VLOOKUP(Tablo1[[#This Row],[Student No]],Tablo17[[STUDENT ID]:[TOTAL GRADE]],11,FALSE)</f>
        <v>50</v>
      </c>
      <c r="G13" s="1">
        <f>VLOOKUP(Tablo1[[#This Row],[Student No]],Tablo1744[[STUDENT ID]:[TOTAL GRADE]],11,FALSE)</f>
        <v>50</v>
      </c>
      <c r="H13" s="62">
        <f>VLOOKUP(Tablo1[[#This Row],[Student No]],Tablo3[[Student No]:[TOTAL]],9,FALSE)</f>
        <v>5.8</v>
      </c>
      <c r="I13" s="62">
        <f>VLOOKUP(Tablo1[[#This Row],[Student No]],Tablo314[[Student No]:[TOTAL]],18,FALSE)</f>
        <v>54</v>
      </c>
      <c r="J13" s="63">
        <v>0</v>
      </c>
      <c r="K13" s="32">
        <f>(F13*$P$22%*100/$Q$22+G13*$P$23%*100/$Q$23+H13*$P$20%*100/$Q$20+I13*$P$21%*100/$Q$21)+Tablo1[[#This Row],[BONUS]]</f>
        <v>46.959999999999994</v>
      </c>
      <c r="L13" s="1" t="str" cm="1">
        <f t="array" ref="L13">_xlfn.IFS(AND(K13&gt;=$P$7,K13&lt;$Q$7),"AA",AND(K13&gt;=$P$8,K13&lt;$Q$8),"AB",AND(K13&gt;=$P$9,K13&lt;$Q$9),"BB",AND(K13&gt;=$P$10,K13&lt;$Q$10),"CB",AND(K13&gt;=$P$11,K13&lt;$Q$11),"CC",AND(K13&gt;=$P$12,K13&lt;$Q$12),"DC",AND(K13&gt;=$P$13,K13&lt;$Q$13),"DD",AND(K13&gt;=$P$14,K13&lt;$Q$14),"FD",AND(K13&gt;=$P$15,K13&lt;$Q$15),"FF")</f>
        <v>FF</v>
      </c>
      <c r="M13" s="1">
        <f t="shared" si="0"/>
        <v>2.4441285750594181E-2</v>
      </c>
      <c r="O13" s="5" t="s">
        <v>44</v>
      </c>
      <c r="P13" s="13">
        <v>60</v>
      </c>
      <c r="Q13" s="13">
        <v>65</v>
      </c>
    </row>
    <row r="14" spans="1:25" ht="15" x14ac:dyDescent="0.3">
      <c r="B14" s="60">
        <v>11</v>
      </c>
      <c r="C14" s="14">
        <v>12</v>
      </c>
      <c r="D14" s="61" t="s">
        <v>110</v>
      </c>
      <c r="E14" s="61" t="s">
        <v>111</v>
      </c>
      <c r="F14" s="1">
        <f>VLOOKUP(Tablo1[[#This Row],[Student No]],Tablo17[[STUDENT ID]:[TOTAL GRADE]],11,FALSE)</f>
        <v>48</v>
      </c>
      <c r="G14" s="1">
        <f>VLOOKUP(Tablo1[[#This Row],[Student No]],Tablo1744[[STUDENT ID]:[TOTAL GRADE]],11,FALSE)</f>
        <v>58</v>
      </c>
      <c r="H14" s="62">
        <f>VLOOKUP(Tablo1[[#This Row],[Student No]],Tablo3[[Student No]:[TOTAL]],9,FALSE)</f>
        <v>5</v>
      </c>
      <c r="I14" s="62">
        <f>VLOOKUP(Tablo1[[#This Row],[Student No]],Tablo314[[Student No]:[TOTAL]],18,FALSE)</f>
        <v>41</v>
      </c>
      <c r="J14" s="63">
        <v>0</v>
      </c>
      <c r="K14" s="32">
        <f>(F14*$P$22%*100/$Q$22+G14*$P$23%*100/$Q$23+H14*$P$20%*100/$Q$20+I14*$P$21%*100/$Q$21)+Tablo1[[#This Row],[BONUS]]</f>
        <v>46.800000000000004</v>
      </c>
      <c r="L14" s="1" t="str" cm="1">
        <f t="array" ref="L14">_xlfn.IFS(AND(K14&gt;=$P$7,K14&lt;$Q$7),"AA",AND(K14&gt;=$P$8,K14&lt;$Q$8),"AB",AND(K14&gt;=$P$9,K14&lt;$Q$9),"BB",AND(K14&gt;=$P$10,K14&lt;$Q$10),"CB",AND(K14&gt;=$P$11,K14&lt;$Q$11),"CC",AND(K14&gt;=$P$12,K14&lt;$Q$12),"DC",AND(K14&gt;=$P$13,K14&lt;$Q$13),"DD",AND(K14&gt;=$P$14,K14&lt;$Q$14),"FD",AND(K14&gt;=$P$15,K14&lt;$Q$15),"FF")</f>
        <v>FF</v>
      </c>
      <c r="M14" s="1">
        <f t="shared" si="0"/>
        <v>2.4606801888451508E-2</v>
      </c>
      <c r="O14" s="5" t="s">
        <v>46</v>
      </c>
      <c r="P14" s="13">
        <v>50</v>
      </c>
      <c r="Q14" s="13">
        <v>60</v>
      </c>
    </row>
    <row r="15" spans="1:25" ht="15" x14ac:dyDescent="0.3">
      <c r="B15" s="64">
        <v>12</v>
      </c>
      <c r="C15" s="14">
        <v>15</v>
      </c>
      <c r="D15" s="61" t="s">
        <v>110</v>
      </c>
      <c r="E15" s="61" t="s">
        <v>111</v>
      </c>
      <c r="F15" s="1">
        <f>VLOOKUP(Tablo1[[#This Row],[Student No]],Tablo17[[STUDENT ID]:[TOTAL GRADE]],11,FALSE)</f>
        <v>44</v>
      </c>
      <c r="G15" s="1">
        <f>VLOOKUP(Tablo1[[#This Row],[Student No]],Tablo1744[[STUDENT ID]:[TOTAL GRADE]],11,FALSE)</f>
        <v>46</v>
      </c>
      <c r="H15" s="62">
        <f>VLOOKUP(Tablo1[[#This Row],[Student No]],Tablo3[[Student No]:[TOTAL]],9,FALSE)</f>
        <v>6.7</v>
      </c>
      <c r="I15" s="62">
        <f>VLOOKUP(Tablo1[[#This Row],[Student No]],Tablo314[[Student No]:[TOTAL]],18,FALSE)</f>
        <v>62</v>
      </c>
      <c r="J15" s="63">
        <v>0</v>
      </c>
      <c r="K15" s="32">
        <f>(F15*$P$22%*100/$Q$22+G15*$P$23%*100/$Q$23+H15*$P$20%*100/$Q$20+I15*$P$21%*100/$Q$21)+Tablo1[[#This Row],[BONUS]]</f>
        <v>45.34</v>
      </c>
      <c r="L15" s="1" t="str" cm="1">
        <f t="array" ref="L15">_xlfn.IFS(AND(K15&gt;=$P$7,K15&lt;$Q$7),"AA",AND(K15&gt;=$P$8,K15&lt;$Q$8),"AB",AND(K15&gt;=$P$9,K15&lt;$Q$9),"BB",AND(K15&gt;=$P$10,K15&lt;$Q$10),"CB",AND(K15&gt;=$P$11,K15&lt;$Q$11),"CC",AND(K15&gt;=$P$12,K15&lt;$Q$12),"DC",AND(K15&gt;=$P$13,K15&lt;$Q$13),"DD",AND(K15&gt;=$P$14,K15&lt;$Q$14),"FD",AND(K15&gt;=$P$15,K15&lt;$Q$15),"FF")</f>
        <v>FF</v>
      </c>
      <c r="M15" s="1">
        <f t="shared" si="0"/>
        <v>2.6006671206685861E-2</v>
      </c>
      <c r="O15" s="5" t="s">
        <v>47</v>
      </c>
      <c r="P15" s="13">
        <v>0</v>
      </c>
      <c r="Q15" s="13">
        <v>50</v>
      </c>
    </row>
    <row r="16" spans="1:25" ht="15" x14ac:dyDescent="0.3">
      <c r="B16" s="60">
        <v>13</v>
      </c>
      <c r="C16" s="14">
        <v>11</v>
      </c>
      <c r="D16" s="61" t="s">
        <v>110</v>
      </c>
      <c r="E16" s="61" t="s">
        <v>111</v>
      </c>
      <c r="F16" s="1">
        <f>VLOOKUP(Tablo1[[#This Row],[Student No]],Tablo17[[STUDENT ID]:[TOTAL GRADE]],11,FALSE)</f>
        <v>50</v>
      </c>
      <c r="G16" s="1">
        <f>VLOOKUP(Tablo1[[#This Row],[Student No]],Tablo1744[[STUDENT ID]:[TOTAL GRADE]],11,FALSE)</f>
        <v>50</v>
      </c>
      <c r="H16" s="62">
        <f>VLOOKUP(Tablo1[[#This Row],[Student No]],Tablo3[[Student No]:[TOTAL]],9,FALSE)</f>
        <v>4.8</v>
      </c>
      <c r="I16" s="62">
        <f>VLOOKUP(Tablo1[[#This Row],[Student No]],Tablo314[[Student No]:[TOTAL]],18,FALSE)</f>
        <v>43</v>
      </c>
      <c r="J16" s="63">
        <v>0</v>
      </c>
      <c r="K16" s="32">
        <f>(F16*$P$22%*100/$Q$22+G16*$P$23%*100/$Q$23+H16*$P$20%*100/$Q$20+I16*$P$21%*100/$Q$21)+Tablo1[[#This Row],[BONUS]]</f>
        <v>44.56</v>
      </c>
      <c r="L16" s="1" t="str" cm="1">
        <f t="array" ref="L16">_xlfn.IFS(AND(K16&gt;=$P$7,K16&lt;$Q$7),"AA",AND(K16&gt;=$P$8,K16&lt;$Q$8),"AB",AND(K16&gt;=$P$9,K16&lt;$Q$9),"BB",AND(K16&gt;=$P$10,K16&lt;$Q$10),"CB",AND(K16&gt;=$P$11,K16&lt;$Q$11),"CC",AND(K16&gt;=$P$12,K16&lt;$Q$12),"DC",AND(K16&gt;=$P$13,K16&lt;$Q$13),"DD",AND(K16&gt;=$P$14,K16&lt;$Q$14),"FD",AND(K16&gt;=$P$15,K16&lt;$Q$15),"FF")</f>
        <v>FF</v>
      </c>
      <c r="M16" s="1">
        <f t="shared" si="0"/>
        <v>2.666339708720232E-2</v>
      </c>
      <c r="O16" s="5" t="s">
        <v>49</v>
      </c>
      <c r="P16" s="1" t="s">
        <v>50</v>
      </c>
      <c r="Q16" s="1" t="s">
        <v>50</v>
      </c>
    </row>
    <row r="17" spans="2:26" ht="15" x14ac:dyDescent="0.3">
      <c r="B17" s="64">
        <v>14</v>
      </c>
      <c r="C17" s="14">
        <v>19</v>
      </c>
      <c r="D17" s="61" t="s">
        <v>110</v>
      </c>
      <c r="E17" s="61" t="s">
        <v>111</v>
      </c>
      <c r="F17" s="1">
        <f>VLOOKUP(Tablo1[[#This Row],[Student No]],Tablo17[[STUDENT ID]:[TOTAL GRADE]],11,FALSE)</f>
        <v>40</v>
      </c>
      <c r="G17" s="1">
        <f>VLOOKUP(Tablo1[[#This Row],[Student No]],Tablo1744[[STUDENT ID]:[TOTAL GRADE]],11,FALSE)</f>
        <v>40</v>
      </c>
      <c r="H17" s="62">
        <f>VLOOKUP(Tablo1[[#This Row],[Student No]],Tablo3[[Student No]:[TOTAL]],9,FALSE)</f>
        <v>5</v>
      </c>
      <c r="I17" s="62">
        <f>VLOOKUP(Tablo1[[#This Row],[Student No]],Tablo314[[Student No]:[TOTAL]],18,FALSE)</f>
        <v>66</v>
      </c>
      <c r="J17" s="63">
        <v>0</v>
      </c>
      <c r="K17" s="32">
        <f>(F17*$P$22%*100/$Q$22+G17*$P$23%*100/$Q$23+H17*$P$20%*100/$Q$20+I17*$P$21%*100/$Q$21)+Tablo1[[#This Row],[BONUS]]</f>
        <v>42.2</v>
      </c>
      <c r="L17" s="1" t="str" cm="1">
        <f t="array" ref="L17">_xlfn.IFS(AND(K17&gt;=$P$7,K17&lt;$Q$7),"AA",AND(K17&gt;=$P$8,K17&lt;$Q$8),"AB",AND(K17&gt;=$P$9,K17&lt;$Q$9),"BB",AND(K17&gt;=$P$10,K17&lt;$Q$10),"CB",AND(K17&gt;=$P$11,K17&lt;$Q$11),"CC",AND(K17&gt;=$P$12,K17&lt;$Q$12),"DC",AND(K17&gt;=$P$13,K17&lt;$Q$13),"DD",AND(K17&gt;=$P$14,K17&lt;$Q$14),"FD",AND(K17&gt;=$P$15,K17&lt;$Q$15),"FF")</f>
        <v>FF</v>
      </c>
      <c r="M17" s="1">
        <f t="shared" si="0"/>
        <v>2.8195057048203333E-2</v>
      </c>
    </row>
    <row r="18" spans="2:26" ht="15" x14ac:dyDescent="0.3">
      <c r="B18" s="60">
        <v>15</v>
      </c>
      <c r="C18" s="14">
        <v>20</v>
      </c>
      <c r="D18" s="61" t="s">
        <v>110</v>
      </c>
      <c r="E18" s="61" t="s">
        <v>111</v>
      </c>
      <c r="F18" s="1">
        <f>VLOOKUP(Tablo1[[#This Row],[Student No]],Tablo17[[STUDENT ID]:[TOTAL GRADE]],11,FALSE)</f>
        <v>40</v>
      </c>
      <c r="G18" s="1">
        <f>VLOOKUP(Tablo1[[#This Row],[Student No]],Tablo1744[[STUDENT ID]:[TOTAL GRADE]],11,FALSE)</f>
        <v>40</v>
      </c>
      <c r="H18" s="62">
        <f>VLOOKUP(Tablo1[[#This Row],[Student No]],Tablo3[[Student No]:[TOTAL]],9,FALSE)</f>
        <v>4.8</v>
      </c>
      <c r="I18" s="62">
        <f>VLOOKUP(Tablo1[[#This Row],[Student No]],Tablo314[[Student No]:[TOTAL]],18,FALSE)</f>
        <v>61</v>
      </c>
      <c r="J18" s="63">
        <v>0</v>
      </c>
      <c r="K18" s="32">
        <f>(F18*$P$22%*100/$Q$22+G18*$P$23%*100/$Q$23+H18*$P$20%*100/$Q$20+I18*$P$21%*100/$Q$21)+Tablo1[[#This Row],[BONUS]]</f>
        <v>41.16</v>
      </c>
      <c r="L18" s="1" t="str" cm="1">
        <f t="array" ref="L18">_xlfn.IFS(AND(K18&gt;=$P$7,K18&lt;$Q$7),"AA",AND(K18&gt;=$P$8,K18&lt;$Q$8),"AB",AND(K18&gt;=$P$9,K18&lt;$Q$9),"BB",AND(K18&gt;=$P$10,K18&lt;$Q$10),"CB",AND(K18&gt;=$P$11,K18&lt;$Q$11),"CC",AND(K18&gt;=$P$12,K18&lt;$Q$12),"DC",AND(K18&gt;=$P$13,K18&lt;$Q$13),"DD",AND(K18&gt;=$P$14,K18&lt;$Q$14),"FD",AND(K18&gt;=$P$15,K18&lt;$Q$15),"FF")</f>
        <v>FF</v>
      </c>
      <c r="M18" s="1">
        <f t="shared" si="0"/>
        <v>2.8628652429656298E-2</v>
      </c>
      <c r="O18" s="126" t="s">
        <v>51</v>
      </c>
      <c r="P18" s="127"/>
      <c r="Q18" s="128"/>
    </row>
    <row r="19" spans="2:26" ht="15.6" thickBot="1" x14ac:dyDescent="0.35">
      <c r="B19" s="64">
        <v>16</v>
      </c>
      <c r="C19" s="14">
        <v>23</v>
      </c>
      <c r="D19" s="61" t="s">
        <v>110</v>
      </c>
      <c r="E19" s="61" t="s">
        <v>111</v>
      </c>
      <c r="F19" s="1">
        <f>VLOOKUP(Tablo1[[#This Row],[Student No]],Tablo17[[STUDENT ID]:[TOTAL GRADE]],11,FALSE)</f>
        <v>36</v>
      </c>
      <c r="G19" s="1">
        <f>VLOOKUP(Tablo1[[#This Row],[Student No]],Tablo1744[[STUDENT ID]:[TOTAL GRADE]],11,FALSE)</f>
        <v>36</v>
      </c>
      <c r="H19" s="62">
        <f>VLOOKUP(Tablo1[[#This Row],[Student No]],Tablo3[[Student No]:[TOTAL]],9,FALSE)</f>
        <v>6.2</v>
      </c>
      <c r="I19" s="62">
        <f>VLOOKUP(Tablo1[[#This Row],[Student No]],Tablo314[[Student No]:[TOTAL]],18,FALSE)</f>
        <v>69</v>
      </c>
      <c r="J19" s="63">
        <v>0</v>
      </c>
      <c r="K19" s="32">
        <f>(F19*$P$22%*100/$Q$22+G19*$P$23%*100/$Q$23+H19*$P$20%*100/$Q$20+I19*$P$21%*100/$Q$21)+Tablo1[[#This Row],[BONUS]]</f>
        <v>40.240000000000009</v>
      </c>
      <c r="L19" s="1" t="str" cm="1">
        <f t="array" ref="L19">_xlfn.IFS(AND(K19&gt;=$P$7,K19&lt;$Q$7),"AA",AND(K19&gt;=$P$8,K19&lt;$Q$8),"AB",AND(K19&gt;=$P$9,K19&lt;$Q$9),"BB",AND(K19&gt;=$P$10,K19&lt;$Q$10),"CB",AND(K19&gt;=$P$11,K19&lt;$Q$11),"CC",AND(K19&gt;=$P$12,K19&lt;$Q$12),"DC",AND(K19&gt;=$P$13,K19&lt;$Q$13),"DD",AND(K19&gt;=$P$14,K19&lt;$Q$14),"FD",AND(K19&gt;=$P$15,K19&lt;$Q$15),"FF")</f>
        <v>FF</v>
      </c>
      <c r="M19" s="1">
        <f t="shared" si="0"/>
        <v>2.8879703547214169E-2</v>
      </c>
      <c r="O19" s="5" t="s">
        <v>52</v>
      </c>
      <c r="P19" s="5" t="s">
        <v>53</v>
      </c>
      <c r="Q19" s="6" t="s">
        <v>54</v>
      </c>
    </row>
    <row r="20" spans="2:26" ht="16.2" thickTop="1" thickBot="1" x14ac:dyDescent="0.35">
      <c r="B20" s="60">
        <v>17</v>
      </c>
      <c r="C20" s="14">
        <v>18</v>
      </c>
      <c r="D20" s="61" t="s">
        <v>110</v>
      </c>
      <c r="E20" s="61" t="s">
        <v>111</v>
      </c>
      <c r="F20" s="1">
        <f>VLOOKUP(Tablo1[[#This Row],[Student No]],Tablo17[[STUDENT ID]:[TOTAL GRADE]],11,FALSE)</f>
        <v>42</v>
      </c>
      <c r="G20" s="1">
        <f>VLOOKUP(Tablo1[[#This Row],[Student No]],Tablo1744[[STUDENT ID]:[TOTAL GRADE]],11,FALSE)</f>
        <v>42</v>
      </c>
      <c r="H20" s="62">
        <f>VLOOKUP(Tablo1[[#This Row],[Student No]],Tablo3[[Student No]:[TOTAL]],9,FALSE)</f>
        <v>2.8</v>
      </c>
      <c r="I20" s="62">
        <f>VLOOKUP(Tablo1[[#This Row],[Student No]],Tablo314[[Student No]:[TOTAL]],18,FALSE)</f>
        <v>49</v>
      </c>
      <c r="J20" s="63">
        <v>0</v>
      </c>
      <c r="K20" s="32">
        <f>(F20*$P$22%*100/$Q$22+G20*$P$23%*100/$Q$23+H20*$P$20%*100/$Q$20+I20*$P$21%*100/$Q$21)+Tablo1[[#This Row],[BONUS]]</f>
        <v>39.76</v>
      </c>
      <c r="L20" s="1" t="str" cm="1">
        <f t="array" ref="L20">_xlfn.IFS(AND(K20&gt;=$P$7,K20&lt;$Q$7),"AA",AND(K20&gt;=$P$8,K20&lt;$Q$8),"AB",AND(K20&gt;=$P$9,K20&lt;$Q$9),"BB",AND(K20&gt;=$P$10,K20&lt;$Q$10),"CB",AND(K20&gt;=$P$11,K20&lt;$Q$11),"CC",AND(K20&gt;=$P$12,K20&lt;$Q$12),"DC",AND(K20&gt;=$P$13,K20&lt;$Q$13),"DD",AND(K20&gt;=$P$14,K20&lt;$Q$14),"FD",AND(K20&gt;=$P$15,K20&lt;$Q$15),"FF")</f>
        <v>FF</v>
      </c>
      <c r="M20" s="1">
        <f t="shared" si="0"/>
        <v>2.8960039200966924E-2</v>
      </c>
      <c r="O20" s="5" t="s">
        <v>55</v>
      </c>
      <c r="P20" s="14">
        <v>10</v>
      </c>
      <c r="Q20" s="9" cm="1">
        <f t="array" ref="Q20">Tablo11[TOTAL]</f>
        <v>50</v>
      </c>
    </row>
    <row r="21" spans="2:26" ht="16.2" thickTop="1" thickBot="1" x14ac:dyDescent="0.35">
      <c r="B21" s="64">
        <v>18</v>
      </c>
      <c r="C21" s="14">
        <v>21</v>
      </c>
      <c r="D21" s="61" t="s">
        <v>110</v>
      </c>
      <c r="E21" s="61" t="s">
        <v>111</v>
      </c>
      <c r="F21" s="1">
        <f>VLOOKUP(Tablo1[[#This Row],[Student No]],Tablo17[[STUDENT ID]:[TOTAL GRADE]],11,FALSE)</f>
        <v>37</v>
      </c>
      <c r="G21" s="1">
        <f>VLOOKUP(Tablo1[[#This Row],[Student No]],Tablo1744[[STUDENT ID]:[TOTAL GRADE]],11,FALSE)</f>
        <v>37</v>
      </c>
      <c r="H21" s="62">
        <f>VLOOKUP(Tablo1[[#This Row],[Student No]],Tablo3[[Student No]:[TOTAL]],9,FALSE)</f>
        <v>6</v>
      </c>
      <c r="I21" s="62">
        <f>VLOOKUP(Tablo1[[#This Row],[Student No]],Tablo314[[Student No]:[TOTAL]],18,FALSE)</f>
        <v>53</v>
      </c>
      <c r="J21" s="63">
        <v>0</v>
      </c>
      <c r="K21" s="32">
        <f>(F21*$P$22%*100/$Q$22+G21*$P$23%*100/$Q$23+H21*$P$20%*100/$Q$20+I21*$P$21%*100/$Q$21)+Tablo1[[#This Row],[BONUS]]</f>
        <v>37.700000000000003</v>
      </c>
      <c r="L21" s="1" t="str" cm="1">
        <f t="array" ref="L21">_xlfn.IFS(AND(K21&gt;=$P$7,K21&lt;$Q$7),"AA",AND(K21&gt;=$P$8,K21&lt;$Q$8),"AB",AND(K21&gt;=$P$9,K21&lt;$Q$9),"BB",AND(K21&gt;=$P$10,K21&lt;$Q$10),"CB",AND(K21&gt;=$P$11,K21&lt;$Q$11),"CC",AND(K21&gt;=$P$12,K21&lt;$Q$12),"DC",AND(K21&gt;=$P$13,K21&lt;$Q$13),"DD",AND(K21&gt;=$P$14,K21&lt;$Q$14),"FD",AND(K21&gt;=$P$15,K21&lt;$Q$15),"FF")</f>
        <v>FF</v>
      </c>
      <c r="M21" s="1">
        <f t="shared" si="0"/>
        <v>2.8904548996991804E-2</v>
      </c>
      <c r="O21" s="5" t="s">
        <v>56</v>
      </c>
      <c r="P21" s="14">
        <v>20</v>
      </c>
      <c r="Q21" s="9" cm="1">
        <f t="array" ref="Q21">Tablo27[TOPLAM]</f>
        <v>100</v>
      </c>
    </row>
    <row r="22" spans="2:26" ht="16.2" thickTop="1" thickBot="1" x14ac:dyDescent="0.35">
      <c r="B22" s="60">
        <v>19</v>
      </c>
      <c r="C22" s="14">
        <v>24</v>
      </c>
      <c r="D22" s="61" t="s">
        <v>110</v>
      </c>
      <c r="E22" s="61" t="s">
        <v>111</v>
      </c>
      <c r="F22" s="1">
        <f>VLOOKUP(Tablo1[[#This Row],[Student No]],Tablo17[[STUDENT ID]:[TOTAL GRADE]],11,FALSE)</f>
        <v>35</v>
      </c>
      <c r="G22" s="1">
        <f>VLOOKUP(Tablo1[[#This Row],[Student No]],Tablo1744[[STUDENT ID]:[TOTAL GRADE]],11,FALSE)</f>
        <v>35</v>
      </c>
      <c r="H22" s="62">
        <f>VLOOKUP(Tablo1[[#This Row],[Student No]],Tablo3[[Student No]:[TOTAL]],9,FALSE)</f>
        <v>5.6</v>
      </c>
      <c r="I22" s="62">
        <f>VLOOKUP(Tablo1[[#This Row],[Student No]],Tablo314[[Student No]:[TOTAL]],18,FALSE)</f>
        <v>57</v>
      </c>
      <c r="J22" s="63">
        <v>0</v>
      </c>
      <c r="K22" s="32">
        <f>(F22*$P$22%*100/$Q$22+G22*$P$23%*100/$Q$23+H22*$P$20%*100/$Q$20+I22*$P$21%*100/$Q$21)+Tablo1[[#This Row],[BONUS]]</f>
        <v>37.020000000000003</v>
      </c>
      <c r="L22" s="1" t="str" cm="1">
        <f t="array" ref="L22">_xlfn.IFS(AND(K22&gt;=$P$7,K22&lt;$Q$7),"AA",AND(K22&gt;=$P$8,K22&lt;$Q$8),"AB",AND(K22&gt;=$P$9,K22&lt;$Q$9),"BB",AND(K22&gt;=$P$10,K22&lt;$Q$10),"CB",AND(K22&gt;=$P$11,K22&lt;$Q$11),"CC",AND(K22&gt;=$P$12,K22&lt;$Q$12),"DC",AND(K22&gt;=$P$13,K22&lt;$Q$13),"DD",AND(K22&gt;=$P$14,K22&lt;$Q$14),"FD",AND(K22&gt;=$P$15,K22&lt;$Q$15),"FF")</f>
        <v>FF</v>
      </c>
      <c r="M22" s="1">
        <f t="shared" si="0"/>
        <v>2.8744249837490903E-2</v>
      </c>
      <c r="O22" s="5" t="s">
        <v>1</v>
      </c>
      <c r="P22" s="14">
        <v>30</v>
      </c>
      <c r="Q22" s="9" cm="1">
        <f t="array" ref="Q22">Tablo19[TOTAL]</f>
        <v>100</v>
      </c>
    </row>
    <row r="23" spans="2:26" ht="16.2" thickTop="1" thickBot="1" x14ac:dyDescent="0.35">
      <c r="B23" s="64">
        <v>20</v>
      </c>
      <c r="C23" s="14">
        <v>17</v>
      </c>
      <c r="D23" s="61" t="s">
        <v>110</v>
      </c>
      <c r="E23" s="61" t="s">
        <v>111</v>
      </c>
      <c r="F23" s="1">
        <f>VLOOKUP(Tablo1[[#This Row],[Student No]],Tablo17[[STUDENT ID]:[TOTAL GRADE]],11,FALSE)</f>
        <v>42</v>
      </c>
      <c r="G23" s="1">
        <f>VLOOKUP(Tablo1[[#This Row],[Student No]],Tablo1744[[STUDENT ID]:[TOTAL GRADE]],11,FALSE)</f>
        <v>42</v>
      </c>
      <c r="H23" s="62">
        <f>VLOOKUP(Tablo1[[#This Row],[Student No]],Tablo3[[Student No]:[TOTAL]],9,FALSE)</f>
        <v>5</v>
      </c>
      <c r="I23" s="62">
        <f>VLOOKUP(Tablo1[[#This Row],[Student No]],Tablo314[[Student No]:[TOTAL]],18,FALSE)</f>
        <v>33</v>
      </c>
      <c r="J23" s="63">
        <v>0</v>
      </c>
      <c r="K23" s="32">
        <f>(F23*$P$22%*100/$Q$22+G23*$P$23%*100/$Q$23+H23*$P$20%*100/$Q$20+I23*$P$21%*100/$Q$21)+Tablo1[[#This Row],[BONUS]]</f>
        <v>37</v>
      </c>
      <c r="L23" s="1" t="str" cm="1">
        <f t="array" ref="L23">_xlfn.IFS(AND(K23&gt;=$P$7,K23&lt;$Q$7),"AA",AND(K23&gt;=$P$8,K23&lt;$Q$8),"AB",AND(K23&gt;=$P$9,K23&lt;$Q$9),"BB",AND(K23&gt;=$P$10,K23&lt;$Q$10),"CB",AND(K23&gt;=$P$11,K23&lt;$Q$11),"CC",AND(K23&gt;=$P$12,K23&lt;$Q$12),"DC",AND(K23&gt;=$P$13,K23&lt;$Q$13),"DD",AND(K23&gt;=$P$14,K23&lt;$Q$14),"FD",AND(K23&gt;=$P$15,K23&lt;$Q$15),"FF")</f>
        <v>FF</v>
      </c>
      <c r="M23" s="1">
        <f t="shared" si="0"/>
        <v>2.8738484437479471E-2</v>
      </c>
      <c r="O23" s="5" t="s">
        <v>58</v>
      </c>
      <c r="P23" s="14">
        <v>40</v>
      </c>
      <c r="Q23" s="9" cm="1">
        <f t="array" ref="Q23">Tablo1945[TOTAL]</f>
        <v>100</v>
      </c>
    </row>
    <row r="24" spans="2:26" ht="16.2" thickTop="1" thickBot="1" x14ac:dyDescent="0.35">
      <c r="B24" s="60">
        <v>21</v>
      </c>
      <c r="C24" s="14">
        <v>22</v>
      </c>
      <c r="D24" s="61" t="s">
        <v>110</v>
      </c>
      <c r="E24" s="61" t="s">
        <v>111</v>
      </c>
      <c r="F24" s="1">
        <f>VLOOKUP(Tablo1[[#This Row],[Student No]],Tablo17[[STUDENT ID]:[TOTAL GRADE]],11,FALSE)</f>
        <v>36</v>
      </c>
      <c r="G24" s="1">
        <f>VLOOKUP(Tablo1[[#This Row],[Student No]],Tablo1744[[STUDENT ID]:[TOTAL GRADE]],11,FALSE)</f>
        <v>36</v>
      </c>
      <c r="H24" s="62">
        <f>VLOOKUP(Tablo1[[#This Row],[Student No]],Tablo3[[Student No]:[TOTAL]],9,FALSE)</f>
        <v>4.4000000000000004</v>
      </c>
      <c r="I24" s="62">
        <f>VLOOKUP(Tablo1[[#This Row],[Student No]],Tablo314[[Student No]:[TOTAL]],18,FALSE)</f>
        <v>42</v>
      </c>
      <c r="J24" s="63">
        <v>0</v>
      </c>
      <c r="K24" s="32">
        <f>(F24*$P$22%*100/$Q$22+G24*$P$23%*100/$Q$23+H24*$P$20%*100/$Q$20+I24*$P$21%*100/$Q$21)+Tablo1[[#This Row],[BONUS]]</f>
        <v>34.480000000000004</v>
      </c>
      <c r="L24" s="1" t="str" cm="1">
        <f t="array" ref="L24">_xlfn.IFS(AND(K24&gt;=$P$7,K24&lt;$Q$7),"AA",AND(K24&gt;=$P$8,K24&lt;$Q$8),"AB",AND(K24&gt;=$P$9,K24&lt;$Q$9),"BB",AND(K24&gt;=$P$10,K24&lt;$Q$10),"CB",AND(K24&gt;=$P$11,K24&lt;$Q$11),"CC",AND(K24&gt;=$P$12,K24&lt;$Q$12),"DC",AND(K24&gt;=$P$13,K24&lt;$Q$13),"DD",AND(K24&gt;=$P$14,K24&lt;$Q$14),"FD",AND(K24&gt;=$P$15,K24&lt;$Q$15),"FF")</f>
        <v>FF</v>
      </c>
      <c r="M24" s="1">
        <f t="shared" si="0"/>
        <v>2.7550812445580872E-2</v>
      </c>
      <c r="O24" s="5" t="s">
        <v>60</v>
      </c>
      <c r="P24" s="15">
        <f>SUM(P20,P21,P22,P23)</f>
        <v>100</v>
      </c>
      <c r="Q24" s="9" t="s">
        <v>0</v>
      </c>
    </row>
    <row r="25" spans="2:26" ht="15.6" thickTop="1" x14ac:dyDescent="0.3">
      <c r="B25" s="64">
        <v>22</v>
      </c>
      <c r="C25" s="14">
        <v>25</v>
      </c>
      <c r="D25" s="61" t="s">
        <v>110</v>
      </c>
      <c r="E25" s="61" t="s">
        <v>111</v>
      </c>
      <c r="F25" s="1">
        <f>VLOOKUP(Tablo1[[#This Row],[Student No]],Tablo17[[STUDENT ID]:[TOTAL GRADE]],11,FALSE)</f>
        <v>28</v>
      </c>
      <c r="G25" s="1">
        <f>VLOOKUP(Tablo1[[#This Row],[Student No]],Tablo1744[[STUDENT ID]:[TOTAL GRADE]],11,FALSE)</f>
        <v>28</v>
      </c>
      <c r="H25" s="62">
        <f>VLOOKUP(Tablo1[[#This Row],[Student No]],Tablo3[[Student No]:[TOTAL]],9,FALSE)</f>
        <v>2.2000000000000002</v>
      </c>
      <c r="I25" s="62">
        <f>VLOOKUP(Tablo1[[#This Row],[Student No]],Tablo314[[Student No]:[TOTAL]],18,FALSE)</f>
        <v>56</v>
      </c>
      <c r="J25" s="63">
        <v>0</v>
      </c>
      <c r="K25" s="32">
        <f>(F25*$P$22%*100/$Q$22+G25*$P$23%*100/$Q$23+H25*$P$20%*100/$Q$20+I25*$P$21%*100/$Q$21)+Tablo1[[#This Row],[BONUS]]</f>
        <v>31.240000000000002</v>
      </c>
      <c r="L25" s="1" t="str" cm="1">
        <f t="array" ref="L25">_xlfn.IFS(AND(K25&gt;=$P$7,K25&lt;$Q$7),"AA",AND(K25&gt;=$P$8,K25&lt;$Q$8),"AB",AND(K25&gt;=$P$9,K25&lt;$Q$9),"BB",AND(K25&gt;=$P$10,K25&lt;$Q$10),"CB",AND(K25&gt;=$P$11,K25&lt;$Q$11),"CC",AND(K25&gt;=$P$12,K25&lt;$Q$12),"DC",AND(K25&gt;=$P$13,K25&lt;$Q$13),"DD",AND(K25&gt;=$P$14,K25&lt;$Q$14),"FD",AND(K25&gt;=$P$15,K25&lt;$Q$15),"FF")</f>
        <v>FF</v>
      </c>
      <c r="M25" s="1">
        <f t="shared" si="0"/>
        <v>2.4838788286407641E-2</v>
      </c>
    </row>
    <row r="26" spans="2:26" ht="15" x14ac:dyDescent="0.3">
      <c r="B26" s="60">
        <v>23</v>
      </c>
      <c r="C26" s="14">
        <v>26</v>
      </c>
      <c r="D26" s="61" t="s">
        <v>110</v>
      </c>
      <c r="E26" s="61" t="s">
        <v>111</v>
      </c>
      <c r="F26" s="1">
        <f>VLOOKUP(Tablo1[[#This Row],[Student No]],Tablo17[[STUDENT ID]:[TOTAL GRADE]],11,FALSE)</f>
        <v>25</v>
      </c>
      <c r="G26" s="1">
        <f>VLOOKUP(Tablo1[[#This Row],[Student No]],Tablo1744[[STUDENT ID]:[TOTAL GRADE]],11,FALSE)</f>
        <v>25</v>
      </c>
      <c r="H26" s="62">
        <f>VLOOKUP(Tablo1[[#This Row],[Student No]],Tablo3[[Student No]:[TOTAL]],9,FALSE)</f>
        <v>5.2</v>
      </c>
      <c r="I26" s="62">
        <f>VLOOKUP(Tablo1[[#This Row],[Student No]],Tablo314[[Student No]:[TOTAL]],18,FALSE)</f>
        <v>59</v>
      </c>
      <c r="J26" s="63">
        <v>0</v>
      </c>
      <c r="K26" s="32">
        <f>(F26*$P$22%*100/$Q$22+G26*$P$23%*100/$Q$23+H26*$P$20%*100/$Q$20+I26*$P$21%*100/$Q$21)+Tablo1[[#This Row],[BONUS]]</f>
        <v>30.34</v>
      </c>
      <c r="L26" s="1" t="str" cm="1">
        <f t="array" ref="L26">_xlfn.IFS(AND(K26&gt;=$P$7,K26&lt;$Q$7),"AA",AND(K26&gt;=$P$8,K26&lt;$Q$8),"AB",AND(K26&gt;=$P$9,K26&lt;$Q$9),"BB",AND(K26&gt;=$P$10,K26&lt;$Q$10),"CB",AND(K26&gt;=$P$11,K26&lt;$Q$11),"CC",AND(K26&gt;=$P$12,K26&lt;$Q$12),"DC",AND(K26&gt;=$P$13,K26&lt;$Q$13),"DD",AND(K26&gt;=$P$14,K26&lt;$Q$14),"FD",AND(K26&gt;=$P$15,K26&lt;$Q$15),"FF")</f>
        <v>FF</v>
      </c>
      <c r="M26" s="1">
        <f t="shared" si="0"/>
        <v>2.3897321344692461E-2</v>
      </c>
    </row>
    <row r="27" spans="2:26" ht="15" x14ac:dyDescent="0.3">
      <c r="B27" s="64">
        <v>24</v>
      </c>
      <c r="C27" s="14">
        <v>27</v>
      </c>
      <c r="D27" s="61" t="s">
        <v>110</v>
      </c>
      <c r="E27" s="61" t="s">
        <v>111</v>
      </c>
      <c r="F27" s="1">
        <f>VLOOKUP(Tablo1[[#This Row],[Student No]],Tablo17[[STUDENT ID]:[TOTAL GRADE]],11,FALSE)</f>
        <v>24</v>
      </c>
      <c r="G27" s="1">
        <f>VLOOKUP(Tablo1[[#This Row],[Student No]],Tablo1744[[STUDENT ID]:[TOTAL GRADE]],11,FALSE)</f>
        <v>24</v>
      </c>
      <c r="H27" s="62">
        <f>VLOOKUP(Tablo1[[#This Row],[Student No]],Tablo3[[Student No]:[TOTAL]],9,FALSE)</f>
        <v>4</v>
      </c>
      <c r="I27" s="62">
        <f>VLOOKUP(Tablo1[[#This Row],[Student No]],Tablo314[[Student No]:[TOTAL]],18,FALSE)</f>
        <v>55</v>
      </c>
      <c r="J27" s="63">
        <v>0</v>
      </c>
      <c r="K27" s="32">
        <f>(F27*$P$22%*100/$Q$22+G27*$P$23%*100/$Q$23+H27*$P$20%*100/$Q$20+I27*$P$21%*100/$Q$21)+Tablo1[[#This Row],[BONUS]]</f>
        <v>28.6</v>
      </c>
      <c r="L27" s="1" t="str" cm="1">
        <f t="array" ref="L27">_xlfn.IFS(AND(K27&gt;=$P$7,K27&lt;$Q$7),"AA",AND(K27&gt;=$P$8,K27&lt;$Q$8),"AB",AND(K27&gt;=$P$9,K27&lt;$Q$9),"BB",AND(K27&gt;=$P$10,K27&lt;$Q$10),"CB",AND(K27&gt;=$P$11,K27&lt;$Q$11),"CC",AND(K27&gt;=$P$12,K27&lt;$Q$12),"DC",AND(K27&gt;=$P$13,K27&lt;$Q$13),"DD",AND(K27&gt;=$P$14,K27&lt;$Q$14),"FD",AND(K27&gt;=$P$15,K27&lt;$Q$15),"FF")</f>
        <v>FF</v>
      </c>
      <c r="M27" s="1">
        <f t="shared" si="0"/>
        <v>2.1909321045681204E-2</v>
      </c>
    </row>
    <row r="28" spans="2:26" ht="15" x14ac:dyDescent="0.3">
      <c r="B28" s="60">
        <v>25</v>
      </c>
      <c r="C28" s="14">
        <v>29</v>
      </c>
      <c r="D28" s="61" t="s">
        <v>110</v>
      </c>
      <c r="E28" s="61" t="s">
        <v>111</v>
      </c>
      <c r="F28" s="1">
        <f>VLOOKUP(Tablo1[[#This Row],[Student No]],Tablo17[[STUDENT ID]:[TOTAL GRADE]],11,FALSE)</f>
        <v>26</v>
      </c>
      <c r="G28" s="1">
        <f>VLOOKUP(Tablo1[[#This Row],[Student No]],Tablo1744[[STUDENT ID]:[TOTAL GRADE]],11,FALSE)</f>
        <v>26</v>
      </c>
      <c r="H28" s="62">
        <f>VLOOKUP(Tablo1[[#This Row],[Student No]],Tablo3[[Student No]:[TOTAL]],9,FALSE)</f>
        <v>4.2</v>
      </c>
      <c r="I28" s="62">
        <f>VLOOKUP(Tablo1[[#This Row],[Student No]],Tablo314[[Student No]:[TOTAL]],18,FALSE)</f>
        <v>47</v>
      </c>
      <c r="J28" s="63">
        <v>0</v>
      </c>
      <c r="K28" s="32">
        <f>(F28*$P$22%*100/$Q$22+G28*$P$23%*100/$Q$23+H28*$P$20%*100/$Q$20+I28*$P$21%*100/$Q$21)+Tablo1[[#This Row],[BONUS]]</f>
        <v>28.439999999999998</v>
      </c>
      <c r="L28" s="1" t="str" cm="1">
        <f t="array" ref="L28">_xlfn.IFS(AND(K28&gt;=$P$7,K28&lt;$Q$7),"AA",AND(K28&gt;=$P$8,K28&lt;$Q$8),"AB",AND(K28&gt;=$P$9,K28&lt;$Q$9),"BB",AND(K28&gt;=$P$10,K28&lt;$Q$10),"CB",AND(K28&gt;=$P$11,K28&lt;$Q$11),"CC",AND(K28&gt;=$P$12,K28&lt;$Q$12),"DC",AND(K28&gt;=$P$13,K28&lt;$Q$13),"DD",AND(K28&gt;=$P$14,K28&lt;$Q$14),"FD",AND(K28&gt;=$P$15,K28&lt;$Q$15),"FF")</f>
        <v>FF</v>
      </c>
      <c r="M28" s="1">
        <f t="shared" si="0"/>
        <v>2.1717567482042406E-2</v>
      </c>
      <c r="S28" s="140" t="s">
        <v>116</v>
      </c>
      <c r="T28" s="140"/>
      <c r="U28" s="140"/>
      <c r="V28" s="140"/>
      <c r="W28" s="140"/>
      <c r="X28" s="140"/>
      <c r="Y28" s="140"/>
    </row>
    <row r="29" spans="2:26" ht="15" x14ac:dyDescent="0.3">
      <c r="B29" s="64">
        <v>26</v>
      </c>
      <c r="C29" s="14">
        <v>28</v>
      </c>
      <c r="D29" s="61" t="s">
        <v>110</v>
      </c>
      <c r="E29" s="61" t="s">
        <v>111</v>
      </c>
      <c r="F29" s="1">
        <f>VLOOKUP(Tablo1[[#This Row],[Student No]],Tablo17[[STUDENT ID]:[TOTAL GRADE]],11,FALSE)</f>
        <v>22</v>
      </c>
      <c r="G29" s="1">
        <f>VLOOKUP(Tablo1[[#This Row],[Student No]],Tablo1744[[STUDENT ID]:[TOTAL GRADE]],11,FALSE)</f>
        <v>22</v>
      </c>
      <c r="H29" s="62">
        <f>VLOOKUP(Tablo1[[#This Row],[Student No]],Tablo3[[Student No]:[TOTAL]],9,FALSE)</f>
        <v>5</v>
      </c>
      <c r="I29" s="62">
        <f>VLOOKUP(Tablo1[[#This Row],[Student No]],Tablo314[[Student No]:[TOTAL]],18,FALSE)</f>
        <v>58</v>
      </c>
      <c r="J29" s="63">
        <v>0</v>
      </c>
      <c r="K29" s="32">
        <f>(F29*$P$22%*100/$Q$22+G29*$P$23%*100/$Q$23+H29*$P$20%*100/$Q$20+I29*$P$21%*100/$Q$21)+Tablo1[[#This Row],[BONUS]]</f>
        <v>28</v>
      </c>
      <c r="L29" s="1" t="str" cm="1">
        <f t="array" ref="L29">_xlfn.IFS(AND(K29&gt;=$P$7,K29&lt;$Q$7),"AA",AND(K29&gt;=$P$8,K29&lt;$Q$8),"AB",AND(K29&gt;=$P$9,K29&lt;$Q$9),"BB",AND(K29&gt;=$P$10,K29&lt;$Q$10),"CB",AND(K29&gt;=$P$11,K29&lt;$Q$11),"CC",AND(K29&gt;=$P$12,K29&lt;$Q$12),"DC",AND(K29&gt;=$P$13,K29&lt;$Q$13),"DD",AND(K29&gt;=$P$14,K29&lt;$Q$14),"FD",AND(K29&gt;=$P$15,K29&lt;$Q$15),"FF")</f>
        <v>FF</v>
      </c>
      <c r="M29" s="1">
        <f t="shared" si="0"/>
        <v>2.1184057075718871E-2</v>
      </c>
      <c r="S29" s="140"/>
      <c r="T29" s="140"/>
      <c r="U29" s="140"/>
      <c r="V29" s="140"/>
      <c r="W29" s="140"/>
      <c r="X29" s="140"/>
      <c r="Y29" s="140"/>
      <c r="Z29" s="65"/>
    </row>
    <row r="30" spans="2:26" ht="15" x14ac:dyDescent="0.3">
      <c r="B30" s="60">
        <v>27</v>
      </c>
      <c r="C30" s="14">
        <v>30</v>
      </c>
      <c r="D30" s="61" t="s">
        <v>110</v>
      </c>
      <c r="E30" s="61" t="s">
        <v>111</v>
      </c>
      <c r="F30" s="1">
        <f>VLOOKUP(Tablo1[[#This Row],[Student No]],Tablo17[[STUDENT ID]:[TOTAL GRADE]],11,FALSE)</f>
        <v>17</v>
      </c>
      <c r="G30" s="1">
        <f>VLOOKUP(Tablo1[[#This Row],[Student No]],Tablo1744[[STUDENT ID]:[TOTAL GRADE]],11,FALSE)</f>
        <v>17</v>
      </c>
      <c r="H30" s="62">
        <f>VLOOKUP(Tablo1[[#This Row],[Student No]],Tablo3[[Student No]:[TOTAL]],9,FALSE)</f>
        <v>5.8</v>
      </c>
      <c r="I30" s="62">
        <f>VLOOKUP(Tablo1[[#This Row],[Student No]],Tablo314[[Student No]:[TOTAL]],18,FALSE)</f>
        <v>45</v>
      </c>
      <c r="J30" s="63">
        <v>0</v>
      </c>
      <c r="K30" s="32">
        <f>(F30*$P$22%*100/$Q$22+G30*$P$23%*100/$Q$23+H30*$P$20%*100/$Q$20+I30*$P$21%*100/$Q$21)+Tablo1[[#This Row],[BONUS]]</f>
        <v>22.060000000000002</v>
      </c>
      <c r="L30" s="1" t="str" cm="1">
        <f t="array" ref="L30">_xlfn.IFS(AND(K30&gt;=$P$7,K30&lt;$Q$7),"AA",AND(K30&gt;=$P$8,K30&lt;$Q$8),"AB",AND(K30&gt;=$P$9,K30&lt;$Q$9),"BB",AND(K30&gt;=$P$10,K30&lt;$Q$10),"CB",AND(K30&gt;=$P$11,K30&lt;$Q$11),"CC",AND(K30&gt;=$P$12,K30&lt;$Q$12),"DC",AND(K30&gt;=$P$13,K30&lt;$Q$13),"DD",AND(K30&gt;=$P$14,K30&lt;$Q$14),"FD",AND(K30&gt;=$P$15,K30&lt;$Q$15),"FF")</f>
        <v>FF</v>
      </c>
      <c r="M30" s="1">
        <f t="shared" si="0"/>
        <v>1.3697740075440513E-2</v>
      </c>
    </row>
    <row r="31" spans="2:26" ht="15" x14ac:dyDescent="0.3">
      <c r="B31" s="64">
        <v>28</v>
      </c>
      <c r="C31" s="14">
        <v>1</v>
      </c>
      <c r="D31" s="61" t="s">
        <v>110</v>
      </c>
      <c r="E31" s="61" t="s">
        <v>111</v>
      </c>
      <c r="F31" s="1">
        <f>VLOOKUP(Tablo1[[#This Row],[Student No]],Tablo17[[STUDENT ID]:[TOTAL GRADE]],11,FALSE)</f>
        <v>5</v>
      </c>
      <c r="G31" s="1">
        <f>VLOOKUP(Tablo1[[#This Row],[Student No]],Tablo1744[[STUDENT ID]:[TOTAL GRADE]],11,FALSE)</f>
        <v>0</v>
      </c>
      <c r="H31" s="62">
        <f>VLOOKUP(Tablo1[[#This Row],[Student No]],Tablo3[[Student No]:[TOTAL]],9,FALSE)</f>
        <v>5.6</v>
      </c>
      <c r="I31" s="62">
        <f>VLOOKUP(Tablo1[[#This Row],[Student No]],Tablo314[[Student No]:[TOTAL]],18,FALSE)</f>
        <v>39</v>
      </c>
      <c r="J31" s="63">
        <v>0</v>
      </c>
      <c r="K31" s="32">
        <f>(F31*$P$22%*100/$Q$22+G31*$P$23%*100/$Q$23+H31*$P$20%*100/$Q$20+I31*$P$21%*100/$Q$21)+Tablo1[[#This Row],[BONUS]]</f>
        <v>10.420000000000002</v>
      </c>
      <c r="L31" s="1" t="str" cm="1">
        <f t="array" ref="L31">_xlfn.IFS(AND(K31&gt;=$P$7,K31&lt;=$Q$7),"AA",AND(K31&gt;=$P$8,K31&lt;$Q$8),"AB",AND(K31&gt;=$P$9,K31&lt;$Q$9),"BB",AND(K31&gt;=$P$10,K31&lt;$Q$10),"CB",AND(K31&gt;=$P$11,K31&lt;$Q$11),"CC",AND(K31&gt;=$P$12,K31&lt;$Q$12),"DC",AND(K31&gt;=$P$13,K31&lt;$Q$13),"DD",AND(K31&gt;=$P$14,K31&lt;$Q$14),"FD",AND(K31&gt;=$P$15,K31&lt;$Q$15),"FF")</f>
        <v>FF</v>
      </c>
      <c r="M31" s="1">
        <f t="shared" si="0"/>
        <v>3.3924916955293269E-3</v>
      </c>
      <c r="T31" s="29" t="s">
        <v>117</v>
      </c>
      <c r="U31" s="29" t="s">
        <v>118</v>
      </c>
    </row>
    <row r="32" spans="2:26" ht="15" x14ac:dyDescent="0.3">
      <c r="B32" s="60">
        <v>29</v>
      </c>
      <c r="C32" s="14">
        <v>3</v>
      </c>
      <c r="D32" s="66" t="s">
        <v>110</v>
      </c>
      <c r="E32" s="61" t="s">
        <v>111</v>
      </c>
      <c r="F32" s="1">
        <f>VLOOKUP(Tablo1[[#This Row],[Student No]],Tablo17[[STUDENT ID]:[TOTAL GRADE]],11,FALSE)</f>
        <v>0</v>
      </c>
      <c r="G32" s="1">
        <f>VLOOKUP(Tablo1[[#This Row],[Student No]],Tablo1744[[STUDENT ID]:[TOTAL GRADE]],11,FALSE)</f>
        <v>0</v>
      </c>
      <c r="H32" s="62">
        <f>VLOOKUP(Tablo1[[#This Row],[Student No]],Tablo3[[Student No]:[TOTAL]],9,FALSE)</f>
        <v>4.2</v>
      </c>
      <c r="I32" s="62">
        <f>VLOOKUP(Tablo1[[#This Row],[Student No]],Tablo314[[Student No]:[TOTAL]],18,FALSE)</f>
        <v>40</v>
      </c>
      <c r="J32" s="63">
        <v>0</v>
      </c>
      <c r="K32" s="32">
        <f>(F32*$P$22%*100/$Q$22+G32*$P$23%*100/$Q$23+H32*$P$20%*100/$Q$20+I32*$P$21%*100/$Q$21)+Tablo1[[#This Row],[BONUS]]</f>
        <v>8.84</v>
      </c>
      <c r="L32" s="1" t="str" cm="1">
        <f t="array" ref="L32">_xlfn.IFS(AND(K32&gt;=$P$7,K32&lt;$Q$7),"AA",AND(K32&gt;=$P$8,K32&lt;$Q$8),"AB",AND(K32&gt;=$P$9,K32&lt;$Q$9),"BB",AND(K32&gt;=$P$10,K32&lt;$Q$10),"CB",AND(K32&gt;=$P$11,K32&lt;$Q$11),"CC",AND(K32&gt;=$P$12,K32&lt;$Q$12),"DC",AND(K32&gt;=$P$13,K32&lt;$Q$13),"DD",AND(K32&gt;=$P$14,K32&lt;$Q$14),"FD",AND(K32&gt;=$P$15,K32&lt;$Q$15),"FF")</f>
        <v>FF</v>
      </c>
      <c r="M32" s="1">
        <f t="shared" si="0"/>
        <v>2.6561324949070458E-3</v>
      </c>
      <c r="T32" s="14">
        <f>AVERAGE(Tablo1[Total Points])</f>
        <v>38.905999999999999</v>
      </c>
      <c r="U32" s="14">
        <f>_xlfn.STDEV.P(Tablo1[Total Points])</f>
        <v>13.749064598485715</v>
      </c>
    </row>
    <row r="33" spans="1:23" ht="15" x14ac:dyDescent="0.3">
      <c r="B33" s="64">
        <v>30</v>
      </c>
      <c r="C33" s="14">
        <v>2</v>
      </c>
      <c r="D33" s="66" t="s">
        <v>110</v>
      </c>
      <c r="E33" s="61" t="s">
        <v>111</v>
      </c>
      <c r="F33" s="1">
        <f>VLOOKUP(Tablo1[[#This Row],[Student No]],Tablo17[[STUDENT ID]:[TOTAL GRADE]],11,FALSE)</f>
        <v>0</v>
      </c>
      <c r="G33" s="1">
        <f>VLOOKUP(Tablo1[[#This Row],[Student No]],Tablo1744[[STUDENT ID]:[TOTAL GRADE]],11,FALSE)</f>
        <v>0</v>
      </c>
      <c r="H33" s="62">
        <f>VLOOKUP(Tablo1[[#This Row],[Student No]],Tablo3[[Student No]:[TOTAL]],9,FALSE)</f>
        <v>6</v>
      </c>
      <c r="I33" s="62">
        <f>VLOOKUP(Tablo1[[#This Row],[Student No]],Tablo314[[Student No]:[TOTAL]],18,FALSE)</f>
        <v>35</v>
      </c>
      <c r="J33" s="63">
        <v>0</v>
      </c>
      <c r="K33" s="32">
        <f>(F33*$P$22%*100/$Q$22+G33*$P$23%*100/$Q$23+H33*$P$20%*100/$Q$20+I33*$P$21%*100/$Q$21)+Tablo1[[#This Row],[BONUS]]</f>
        <v>8.1999999999999993</v>
      </c>
      <c r="L33" s="1" t="str" cm="1">
        <f t="array" ref="L33">_xlfn.IFS(AND(K33&gt;=$P$7,K33&lt;$Q$7),"AA",AND(K33&gt;=$P$8,K33&lt;$Q$8),"AB",AND(K33&gt;=$P$9,K33&lt;$Q$9),"BB",AND(K33&gt;=$P$10,K33&lt;$Q$10),"CB",AND(K33&gt;=$P$11,K33&lt;$Q$11),"CC",AND(K33&gt;=$P$12,K33&lt;$Q$12),"DC",AND(K33&gt;=$P$13,K33&lt;$Q$13),"DD",AND(K33&gt;=$P$14,K33&lt;$Q$14),"FD",AND(K33&gt;=$P$15,K33&lt;$Q$15),"FF")</f>
        <v>FF</v>
      </c>
      <c r="M33" s="1">
        <f t="shared" si="0"/>
        <v>2.3964698104655298E-3</v>
      </c>
    </row>
    <row r="34" spans="1:23" ht="15" x14ac:dyDescent="0.3">
      <c r="A34" s="66"/>
      <c r="D34" s="1"/>
      <c r="E34" s="1"/>
      <c r="F34" s="62"/>
      <c r="G34" s="62"/>
    </row>
    <row r="35" spans="1:23" ht="25.8" x14ac:dyDescent="0.5">
      <c r="A35" s="66"/>
      <c r="B35" s="107" t="s">
        <v>92</v>
      </c>
      <c r="C35" s="107"/>
      <c r="D35" s="107"/>
      <c r="E35" s="107"/>
      <c r="F35" s="107"/>
      <c r="G35" s="107"/>
      <c r="H35" s="107"/>
      <c r="I35" s="107"/>
      <c r="J35" s="107"/>
      <c r="K35" s="107"/>
      <c r="L35" s="107"/>
      <c r="M35" s="107"/>
      <c r="N35" s="107"/>
      <c r="O35" s="107"/>
    </row>
    <row r="36" spans="1:23" x14ac:dyDescent="0.3">
      <c r="A36" s="66"/>
      <c r="B36" s="39" t="s">
        <v>94</v>
      </c>
      <c r="C36" s="6" t="s">
        <v>95</v>
      </c>
      <c r="D36" s="6" t="s">
        <v>96</v>
      </c>
      <c r="E36" s="46" t="s">
        <v>97</v>
      </c>
      <c r="F36" s="46" t="s">
        <v>98</v>
      </c>
      <c r="G36" s="46" t="s">
        <v>99</v>
      </c>
      <c r="H36" s="46" t="s">
        <v>100</v>
      </c>
      <c r="I36" s="46" t="s">
        <v>101</v>
      </c>
      <c r="J36" s="46" t="s">
        <v>119</v>
      </c>
      <c r="K36" s="46" t="s">
        <v>120</v>
      </c>
      <c r="L36" s="46" t="s">
        <v>121</v>
      </c>
      <c r="M36" s="46" t="s">
        <v>122</v>
      </c>
      <c r="N36" s="46" t="s">
        <v>123</v>
      </c>
      <c r="O36" s="46" t="s">
        <v>124</v>
      </c>
      <c r="Q36" s="116" t="s">
        <v>90</v>
      </c>
      <c r="R36" s="116"/>
      <c r="S36" s="116"/>
      <c r="T36" s="116"/>
      <c r="U36" s="116"/>
      <c r="V36" s="116"/>
      <c r="W36" s="116"/>
    </row>
    <row r="37" spans="1:23" x14ac:dyDescent="0.3">
      <c r="A37" s="66"/>
      <c r="B37" s="40">
        <v>1</v>
      </c>
      <c r="C37" s="1">
        <v>1</v>
      </c>
      <c r="D37" s="1" t="str">
        <f>VLOOKUP(Tablo2[[#This Row],[Student No]],Tablo1[[Student No]:[Surname]],2,FALSE)</f>
        <v>Name</v>
      </c>
      <c r="E37" s="46" t="str">
        <f>VLOOKUP(Tablo2[[#This Row],[Student No]],Tablo1[[Student No]:[Surname]],3,FALSE)</f>
        <v>Surname</v>
      </c>
      <c r="F37" s="1">
        <f>((IF(MIDTERM!$J$37=0,0,VLOOKUP(Tablo2[[#This Row],[Student No]],Tablo17[[STUDENT ID]:[DÇ10]],12,FALSE)/MIDTERM!$J$37))+(IF(FINAL!$J$37=0,0,VLOOKUP(Tablo2[[#This Row],[Student No]],Tablo1744[[STUDENT ID]:[DÇ10]],12,FALSE)/FINAL!$J$37))+(IF(HOMEWORK!$I$38=0,0,VLOOKUP(Tablo2[[#This Row],[Student No]],Tablo3[[Student No]:[DÇ10]],10,FALSE)/HOMEWORK!$I$38))+(IF(LAB!$Q$40=0,0,VLOOKUP(Tablo2[[#This Row],[Student No]],Tablo314[[Student No]:[DÇ10]],19,FALSE)/LAB!$Q$40)))/4</f>
        <v>0.33833333333333332</v>
      </c>
      <c r="G37" s="1">
        <f>((IF(MIDTERM!$J$38=0,0,VLOOKUP(Tablo2[[#This Row],[Student No]],Tablo17[[STUDENT ID]:[DÇ10]],13,FALSE)/MIDTERM!$J$38))+(IF(FINAL!$J$38=0,0,VLOOKUP(Tablo2[[#This Row],[Student No]],Tablo1744[[STUDENT ID]:[DÇ10]],13,FALSE)/FINAL!$J$38))+(IF(HOMEWORK!$I$39=0,0,VLOOKUP(Tablo2[[#This Row],[Student No]],Tablo3[[Student No]:[DÇ10]],11,FALSE)/HOMEWORK!$I$39))+(IF(LAB!$Q$41=0,0,VLOOKUP(Tablo2[[#This Row],[Student No]],Tablo314[[Student No]:[DÇ10]],20,FALSE)/LAB!$Q$41)))/4</f>
        <v>0.16562500000000002</v>
      </c>
      <c r="H37" s="1">
        <f>((IF(MIDTERM!$J$39=0,0,VLOOKUP(Tablo2[[#This Row],[Student No]],Tablo17[[STUDENT ID]:[DÇ10]],14,FALSE)/MIDTERM!$J$39))+(IF(FINAL!$J$39=0,0,VLOOKUP(Tablo2[[#This Row],[Student No]],Tablo1744[[STUDENT ID]:[DÇ10]],14,FALSE)/FINAL!$J$39))+(IF(HOMEWORK!$I$40=0,0,VLOOKUP(Tablo2[[#This Row],[Student No]],Tablo3[[Student No]:[DÇ10]],12,FALSE)/HOMEWORK!$I$40))+(IF(LAB!$Q$42=0,0,VLOOKUP(Tablo2[[#This Row],[Student No]],Tablo314[[Student No]:[DÇ10]],21,FALSE)/LAB!$Q$42)))/4</f>
        <v>0.22670454545454546</v>
      </c>
      <c r="I37" s="1">
        <f>((IF(MIDTERM!$J$40=0,0,VLOOKUP(Tablo2[[#This Row],[Student No]],Tablo17[[STUDENT ID]:[DÇ10]],15,FALSE)/MIDTERM!$J$40))+(IF(FINAL!$J$40=0,0,VLOOKUP(Tablo2[[#This Row],[Student No]],Tablo1744[[STUDENT ID]:[DÇ10]],15,FALSE)/FINAL!$J$40))+(IF(HOMEWORK!$I$41=0,0,VLOOKUP(Tablo2[[#This Row],[Student No]],Tablo3[[Student No]:[DÇ10]],13,FALSE)/HOMEWORK!$I$41))+(IF(LAB!$Q$43=0,0,VLOOKUP(Tablo2[[#This Row],[Student No]],Tablo314[[Student No]:[DÇ10]],22,FALSE)/LAB!$Q$43)))/4</f>
        <v>0.22954545454545455</v>
      </c>
      <c r="J37" s="1">
        <f>((IF(MIDTERM!$J$41=0,0,VLOOKUP(Tablo2[[#This Row],[Student No]],Tablo17[[STUDENT ID]:[DÇ10]],16,FALSE)/MIDTERM!$J$41))+(IF(FINAL!$J$41=0,0,VLOOKUP(Tablo2[[#This Row],[Student No]],Tablo1744[[STUDENT ID]:[DÇ10]],16,FALSE)/FINAL!$J$41))+(IF(HOMEWORK!$I$42=0,0,VLOOKUP(Tablo2[[#This Row],[Student No]],Tablo3[[Student No]:[DÇ10]],14,FALSE)/HOMEWORK!$I$42))+(IF(LAB!$Q$44=0,0,VLOOKUP(Tablo2[[#This Row],[Student No]],Tablo314[[Student No]:[DÇ10]],23,FALSE)/LAB!$Q$44)))/4</f>
        <v>0</v>
      </c>
      <c r="K37" s="1">
        <f>((IF(MIDTERM!$J$42=0,0,VLOOKUP(Tablo2[[#This Row],[Student No]],Tablo17[[STUDENT ID]:[DÇ10]],17,FALSE)/MIDTERM!$J$42))+(IF(FINAL!$J$42=0,0,VLOOKUP(Tablo2[[#This Row],[Student No]],Tablo1744[[STUDENT ID]:[DÇ10]],17,FALSE)/FINAL!$J$42))+(IF(HOMEWORK!$I$43=0,0,VLOOKUP(Tablo2[[#This Row],[Student No]],Tablo3[[Student No]:[DÇ10]],15,FALSE)/HOMEWORK!$I$43))+(IF(LAB!$Q$45=0,0,VLOOKUP(Tablo2[[#This Row],[Student No]],Tablo314[[Student No]:[DÇ10]],24,FALSE)/LAB!$Q$45)))/4</f>
        <v>0</v>
      </c>
      <c r="L37" s="1">
        <f>((IF(MIDTERM!$J$43=0,0,VLOOKUP(Tablo2[[#This Row],[Student No]],Tablo17[[STUDENT ID]:[DÇ10]],18,FALSE)/MIDTERM!$J$43))+(IF(FINAL!$J$43=0,0,VLOOKUP(Tablo2[[#This Row],[Student No]],Tablo1744[[STUDENT ID]:[DÇ10]],18,FALSE)/FINAL!$J$43))+(IF(HOMEWORK!$I$44=0,0,VLOOKUP(Tablo2[[#This Row],[Student No]],Tablo3[[Student No]:[DÇ10]],16,FALSE)/HOMEWORK!$I$44))+(IF(LAB!$Q$46=0,0,VLOOKUP(Tablo2[[#This Row],[Student No]],Tablo314[[Student No]:[DÇ10]],25,FALSE)/LAB!$Q$46)))/4</f>
        <v>0</v>
      </c>
      <c r="M37" s="1">
        <f>((IF(MIDTERM!$J$44=0,0,VLOOKUP(Tablo2[[#This Row],[Student No]],Tablo17[[STUDENT ID]:[DÇ10]],19,FALSE)/MIDTERM!$J$44))+(IF(FINAL!$J$44=0,0,VLOOKUP(Tablo2[[#This Row],[Student No]],Tablo1744[[STUDENT ID]:[DÇ10]],19,FALSE)/FINAL!$J$44))+(IF(HOMEWORK!$I$45=0,0,VLOOKUP(Tablo2[[#This Row],[Student No]],Tablo3[[Student No]:[DÇ10]],17,FALSE)/HOMEWORK!$I$45))+(IF(LAB!$Q$47=0,0,VLOOKUP(Tablo2[[#This Row],[Student No]],Tablo314[[Student No]:[DÇ10]],26,FALSE)/LAB!$Q$47)))/4</f>
        <v>0</v>
      </c>
      <c r="N37" s="1">
        <f>((IF(MIDTERM!$J$45=0,0,VLOOKUP(Tablo2[[#This Row],[Student No]],Tablo17[[STUDENT ID]:[DÇ10]],20,FALSE)/MIDTERM!$J$45))+(IF(FINAL!$J$45=0,0,VLOOKUP(Tablo2[[#This Row],[Student No]],Tablo1744[[STUDENT ID]:[DÇ10]],20,FALSE)/FINAL!$J$45))+(IF(HOMEWORK!$I$46=0,0,VLOOKUP(Tablo2[[#This Row],[Student No]],Tablo3[[Student No]:[DÇ10]],18,FALSE)/HOMEWORK!$I$46))+(IF(LAB!$Q$48=0,0,VLOOKUP(Tablo2[[#This Row],[Student No]],Tablo314[[Student No]:[DÇ10]],27,FALSE)/LAB!$Q$48)))/4</f>
        <v>0</v>
      </c>
      <c r="O37" s="1">
        <f>((IF(MIDTERM!$J$46=0,0,VLOOKUP(Tablo2[[#This Row],[Student No]],Tablo17[[STUDENT ID]:[DÇ10]],21,FALSE)/MIDTERM!$J$46))+(IF(FINAL!$J$46=0,0,VLOOKUP(Tablo2[[#This Row],[Student No]],Tablo1744[[STUDENT ID]:[DÇ10]],21,FALSE)/FINAL!$J$46))+(IF(HOMEWORK!$I$47=0,0,VLOOKUP(Tablo2[[#This Row],[Student No]],Tablo3[[Student No]:[DÇ10]],19,FALSE)/HOMEWORK!$I$47))+(IF(LAB!$Q$49=0,0,VLOOKUP(Tablo2[[#This Row],[Student No]],Tablo314[[Student No]:[DÇ10]],28,FALSE)/LAB!$Q$49)))/4</f>
        <v>0</v>
      </c>
      <c r="Q37" s="11" t="s">
        <v>77</v>
      </c>
      <c r="R37" s="11" t="s">
        <v>78</v>
      </c>
      <c r="S37" s="29" t="s">
        <v>125</v>
      </c>
      <c r="T37" s="2" t="s">
        <v>1</v>
      </c>
      <c r="U37" s="2" t="s">
        <v>2</v>
      </c>
      <c r="V37" s="2" t="s">
        <v>3</v>
      </c>
      <c r="W37" s="2" t="s">
        <v>4</v>
      </c>
    </row>
    <row r="38" spans="1:23" ht="15" x14ac:dyDescent="0.3">
      <c r="A38" s="66"/>
      <c r="B38" s="41">
        <v>2</v>
      </c>
      <c r="C38" s="1">
        <v>2</v>
      </c>
      <c r="D38" s="1" t="str">
        <f>VLOOKUP(Tablo2[[#This Row],[Student No]],Tablo1[[Student No]:[Surname]],2,FALSE)</f>
        <v>Name</v>
      </c>
      <c r="E38" s="1" t="str">
        <f>VLOOKUP(Tablo2[[#This Row],[Student No]],Tablo1[[Student No]:[Surname]],3,FALSE)</f>
        <v>Surname</v>
      </c>
      <c r="F38" s="1">
        <f>((IF(MIDTERM!$J$37=0,0,VLOOKUP(Tablo2[[#This Row],[Student No]],Tablo17[[STUDENT ID]:[DÇ10]],12,FALSE)/MIDTERM!$J$37))+(IF(FINAL!$J$37=0,0,VLOOKUP(Tablo2[[#This Row],[Student No]],Tablo1744[[STUDENT ID]:[DÇ10]],12,FALSE)/FINAL!$J$37))+(IF(HOMEWORK!$I$38=0,0,VLOOKUP(Tablo2[[#This Row],[Student No]],Tablo3[[Student No]:[DÇ10]],10,FALSE)/HOMEWORK!$I$38))+(IF(LAB!$Q$40=0,0,VLOOKUP(Tablo2[[#This Row],[Student No]],Tablo314[[Student No]:[DÇ10]],19,FALSE)/LAB!$Q$40)))/4</f>
        <v>0.37277777777777776</v>
      </c>
      <c r="G38" s="1">
        <f>((IF(MIDTERM!$J$38=0,0,VLOOKUP(Tablo2[[#This Row],[Student No]],Tablo17[[STUDENT ID]:[DÇ10]],13,FALSE)/MIDTERM!$J$38))+(IF(FINAL!$J$38=0,0,VLOOKUP(Tablo2[[#This Row],[Student No]],Tablo1744[[STUDENT ID]:[DÇ10]],13,FALSE)/FINAL!$J$38))+(IF(HOMEWORK!$I$39=0,0,VLOOKUP(Tablo2[[#This Row],[Student No]],Tablo3[[Student No]:[DÇ10]],11,FALSE)/HOMEWORK!$I$39))+(IF(LAB!$Q$41=0,0,VLOOKUP(Tablo2[[#This Row],[Student No]],Tablo314[[Student No]:[DÇ10]],20,FALSE)/LAB!$Q$41)))/4</f>
        <v>0.22812499999999999</v>
      </c>
      <c r="H38" s="62">
        <f>((IF(MIDTERM!$J$39=0,0,VLOOKUP(Tablo2[[#This Row],[Student No]],Tablo17[[STUDENT ID]:[DÇ10]],14,FALSE)/MIDTERM!$J$39))+(IF(FINAL!$J$39=0,0,VLOOKUP(Tablo2[[#This Row],[Student No]],Tablo1744[[STUDENT ID]:[DÇ10]],14,FALSE)/FINAL!$J$39))+(IF(HOMEWORK!$I$40=0,0,VLOOKUP(Tablo2[[#This Row],[Student No]],Tablo3[[Student No]:[DÇ10]],12,FALSE)/HOMEWORK!$I$40))+(IF(LAB!$Q$42=0,0,VLOOKUP(Tablo2[[#This Row],[Student No]],Tablo314[[Student No]:[DÇ10]],21,FALSE)/LAB!$Q$42)))/4</f>
        <v>0.22386363636363638</v>
      </c>
      <c r="I38" s="1">
        <f>((IF(MIDTERM!$J$40=0,0,VLOOKUP(Tablo2[[#This Row],[Student No]],Tablo17[[STUDENT ID]:[DÇ10]],15,FALSE)/MIDTERM!$J$40))+(IF(FINAL!$J$40=0,0,VLOOKUP(Tablo2[[#This Row],[Student No]],Tablo1744[[STUDENT ID]:[DÇ10]],15,FALSE)/FINAL!$J$40))+(IF(HOMEWORK!$I$41=0,0,VLOOKUP(Tablo2[[#This Row],[Student No]],Tablo3[[Student No]:[DÇ10]],13,FALSE)/HOMEWORK!$I$41))+(IF(LAB!$Q$43=0,0,VLOOKUP(Tablo2[[#This Row],[Student No]],Tablo314[[Student No]:[DÇ10]],22,FALSE)/LAB!$Q$43)))/4</f>
        <v>8.6363636363636365E-2</v>
      </c>
      <c r="J38" s="1">
        <f>((IF(MIDTERM!$J$41=0,0,VLOOKUP(Tablo2[[#This Row],[Student No]],Tablo17[[STUDENT ID]:[DÇ10]],16,FALSE)/MIDTERM!$J$41))+(IF(FINAL!$J$41=0,0,VLOOKUP(Tablo2[[#This Row],[Student No]],Tablo1744[[STUDENT ID]:[DÇ10]],16,FALSE)/FINAL!$J$41))+(IF(HOMEWORK!$I$42=0,0,VLOOKUP(Tablo2[[#This Row],[Student No]],Tablo3[[Student No]:[DÇ10]],14,FALSE)/HOMEWORK!$I$42))+(IF(LAB!$Q$44=0,0,VLOOKUP(Tablo2[[#This Row],[Student No]],Tablo314[[Student No]:[DÇ10]],23,FALSE)/LAB!$Q$44)))/4</f>
        <v>0</v>
      </c>
      <c r="K38" s="1">
        <f>((IF(MIDTERM!$J$42=0,0,VLOOKUP(Tablo2[[#This Row],[Student No]],Tablo17[[STUDENT ID]:[DÇ10]],17,FALSE)/MIDTERM!$J$42))+(IF(FINAL!$J$42=0,0,VLOOKUP(Tablo2[[#This Row],[Student No]],Tablo1744[[STUDENT ID]:[DÇ10]],17,FALSE)/FINAL!$J$42))+(IF(HOMEWORK!$I$43=0,0,VLOOKUP(Tablo2[[#This Row],[Student No]],Tablo3[[Student No]:[DÇ10]],15,FALSE)/HOMEWORK!$I$43))+(IF(LAB!$Q$45=0,0,VLOOKUP(Tablo2[[#This Row],[Student No]],Tablo314[[Student No]:[DÇ10]],24,FALSE)/LAB!$Q$45)))/4</f>
        <v>0</v>
      </c>
      <c r="L38" s="1">
        <f>((IF(MIDTERM!$J$43=0,0,VLOOKUP(Tablo2[[#This Row],[Student No]],Tablo17[[STUDENT ID]:[DÇ10]],18,FALSE)/MIDTERM!$J$43))+(IF(FINAL!$J$43=0,0,VLOOKUP(Tablo2[[#This Row],[Student No]],Tablo1744[[STUDENT ID]:[DÇ10]],18,FALSE)/FINAL!$J$43))+(IF(HOMEWORK!$I$44=0,0,VLOOKUP(Tablo2[[#This Row],[Student No]],Tablo3[[Student No]:[DÇ10]],16,FALSE)/HOMEWORK!$I$44))+(IF(LAB!$Q$46=0,0,VLOOKUP(Tablo2[[#This Row],[Student No]],Tablo314[[Student No]:[DÇ10]],25,FALSE)/LAB!$Q$46)))/4</f>
        <v>0</v>
      </c>
      <c r="M38" s="1">
        <f>((IF(MIDTERM!$J$44=0,0,VLOOKUP(Tablo2[[#This Row],[Student No]],Tablo17[[STUDENT ID]:[DÇ10]],19,FALSE)/MIDTERM!$J$44))+(IF(FINAL!$J$44=0,0,VLOOKUP(Tablo2[[#This Row],[Student No]],Tablo1744[[STUDENT ID]:[DÇ10]],19,FALSE)/FINAL!$J$44))+(IF(HOMEWORK!$I$45=0,0,VLOOKUP(Tablo2[[#This Row],[Student No]],Tablo3[[Student No]:[DÇ10]],17,FALSE)/HOMEWORK!$I$45))+(IF(LAB!$Q$47=0,0,VLOOKUP(Tablo2[[#This Row],[Student No]],Tablo314[[Student No]:[DÇ10]],26,FALSE)/LAB!$Q$47)))/4</f>
        <v>0</v>
      </c>
      <c r="N38" s="1">
        <f>((IF(MIDTERM!$J$45=0,0,VLOOKUP(Tablo2[[#This Row],[Student No]],Tablo17[[STUDENT ID]:[DÇ10]],20,FALSE)/MIDTERM!$J$45))+(IF(FINAL!$J$45=0,0,VLOOKUP(Tablo2[[#This Row],[Student No]],Tablo1744[[STUDENT ID]:[DÇ10]],20,FALSE)/FINAL!$J$45))+(IF(HOMEWORK!$I$46=0,0,VLOOKUP(Tablo2[[#This Row],[Student No]],Tablo3[[Student No]:[DÇ10]],18,FALSE)/HOMEWORK!$I$46))+(IF(LAB!$Q$48=0,0,VLOOKUP(Tablo2[[#This Row],[Student No]],Tablo314[[Student No]:[DÇ10]],27,FALSE)/LAB!$Q$48)))/4</f>
        <v>0</v>
      </c>
      <c r="O38" s="1">
        <f>((IF(MIDTERM!$J$46=0,0,VLOOKUP(Tablo2[[#This Row],[Student No]],Tablo17[[STUDENT ID]:[DÇ10]],21,FALSE)/MIDTERM!$J$46))+(IF(FINAL!$J$46=0,0,VLOOKUP(Tablo2[[#This Row],[Student No]],Tablo1744[[STUDENT ID]:[DÇ10]],21,FALSE)/FINAL!$J$46))+(IF(HOMEWORK!$I$47=0,0,VLOOKUP(Tablo2[[#This Row],[Student No]],Tablo3[[Student No]:[DÇ10]],19,FALSE)/HOMEWORK!$I$47))+(IF(LAB!$Q$49=0,0,VLOOKUP(Tablo2[[#This Row],[Student No]],Tablo314[[Student No]:[DÇ10]],28,FALSE)/LAB!$Q$49)))/4</f>
        <v>0</v>
      </c>
      <c r="Q38" s="30">
        <v>1</v>
      </c>
      <c r="R38" s="36" t="s">
        <v>79</v>
      </c>
      <c r="S38" s="14">
        <f>Tablo413[[#This Row],[Midterm]]+Tablo413[[#This Row],[FINAL]]+Tablo413[[#This Row],[HOMEWORK]]+Tablo413[[#This Row],[LAB]]</f>
        <v>135</v>
      </c>
      <c r="T38" s="35">
        <f>MIDTERM!J37</f>
        <v>30</v>
      </c>
      <c r="U38" s="35">
        <f>FINAL!J37</f>
        <v>35</v>
      </c>
      <c r="V38" s="35">
        <f>Tablo163719[[#This Row],[TOPLAM]]</f>
        <v>45</v>
      </c>
      <c r="W38" s="35">
        <f>LAB!Q40</f>
        <v>25</v>
      </c>
    </row>
    <row r="39" spans="1:23" ht="15" x14ac:dyDescent="0.3">
      <c r="A39" s="66"/>
      <c r="B39" s="40">
        <v>3</v>
      </c>
      <c r="C39" s="1">
        <v>3</v>
      </c>
      <c r="D39" s="1" t="str">
        <f>VLOOKUP(Tablo2[[#This Row],[Student No]],Tablo1[[Student No]:[Surname]],2,FALSE)</f>
        <v>Name</v>
      </c>
      <c r="E39" s="1" t="str">
        <f>VLOOKUP(Tablo2[[#This Row],[Student No]],Tablo1[[Student No]:[Surname]],3,FALSE)</f>
        <v>Surname</v>
      </c>
      <c r="F39" s="1">
        <f>((IF(MIDTERM!$J$37=0,0,VLOOKUP(Tablo2[[#This Row],[Student No]],Tablo17[[STUDENT ID]:[DÇ10]],12,FALSE)/MIDTERM!$J$37))+(IF(FINAL!$J$37=0,0,VLOOKUP(Tablo2[[#This Row],[Student No]],Tablo1744[[STUDENT ID]:[DÇ10]],12,FALSE)/FINAL!$J$37))+(IF(HOMEWORK!$I$38=0,0,VLOOKUP(Tablo2[[#This Row],[Student No]],Tablo3[[Student No]:[DÇ10]],10,FALSE)/HOMEWORK!$I$38))+(IF(LAB!$Q$40=0,0,VLOOKUP(Tablo2[[#This Row],[Student No]],Tablo314[[Student No]:[DÇ10]],19,FALSE)/LAB!$Q$40)))/4</f>
        <v>0.23055555555555557</v>
      </c>
      <c r="G39" s="1">
        <f>((IF(MIDTERM!$J$38=0,0,VLOOKUP(Tablo2[[#This Row],[Student No]],Tablo17[[STUDENT ID]:[DÇ10]],13,FALSE)/MIDTERM!$J$38))+(IF(FINAL!$J$38=0,0,VLOOKUP(Tablo2[[#This Row],[Student No]],Tablo1744[[STUDENT ID]:[DÇ10]],13,FALSE)/FINAL!$J$38))+(IF(HOMEWORK!$I$39=0,0,VLOOKUP(Tablo2[[#This Row],[Student No]],Tablo3[[Student No]:[DÇ10]],11,FALSE)/HOMEWORK!$I$39))+(IF(LAB!$Q$41=0,0,VLOOKUP(Tablo2[[#This Row],[Student No]],Tablo314[[Student No]:[DÇ10]],20,FALSE)/LAB!$Q$41)))/4</f>
        <v>0.15625</v>
      </c>
      <c r="H39" s="62">
        <f>((IF(MIDTERM!$J$39=0,0,VLOOKUP(Tablo2[[#This Row],[Student No]],Tablo17[[STUDENT ID]:[DÇ10]],14,FALSE)/MIDTERM!$J$39))+(IF(FINAL!$J$39=0,0,VLOOKUP(Tablo2[[#This Row],[Student No]],Tablo1744[[STUDENT ID]:[DÇ10]],14,FALSE)/FINAL!$J$39))+(IF(HOMEWORK!$I$40=0,0,VLOOKUP(Tablo2[[#This Row],[Student No]],Tablo3[[Student No]:[DÇ10]],12,FALSE)/HOMEWORK!$I$40))+(IF(LAB!$Q$42=0,0,VLOOKUP(Tablo2[[#This Row],[Student No]],Tablo314[[Student No]:[DÇ10]],21,FALSE)/LAB!$Q$42)))/4</f>
        <v>0.16079545454545455</v>
      </c>
      <c r="I39" s="1">
        <f>((IF(MIDTERM!$J$40=0,0,VLOOKUP(Tablo2[[#This Row],[Student No]],Tablo17[[STUDENT ID]:[DÇ10]],15,FALSE)/MIDTERM!$J$40))+(IF(FINAL!$J$40=0,0,VLOOKUP(Tablo2[[#This Row],[Student No]],Tablo1744[[STUDENT ID]:[DÇ10]],15,FALSE)/FINAL!$J$40))+(IF(HOMEWORK!$I$41=0,0,VLOOKUP(Tablo2[[#This Row],[Student No]],Tablo3[[Student No]:[DÇ10]],13,FALSE)/HOMEWORK!$I$41))+(IF(LAB!$Q$43=0,0,VLOOKUP(Tablo2[[#This Row],[Student No]],Tablo314[[Student No]:[DÇ10]],22,FALSE)/LAB!$Q$43)))/4</f>
        <v>0.29772727272727273</v>
      </c>
      <c r="J39" s="1">
        <f>((IF(MIDTERM!$J$41=0,0,VLOOKUP(Tablo2[[#This Row],[Student No]],Tablo17[[STUDENT ID]:[DÇ10]],16,FALSE)/MIDTERM!$J$41))+(IF(FINAL!$J$41=0,0,VLOOKUP(Tablo2[[#This Row],[Student No]],Tablo1744[[STUDENT ID]:[DÇ10]],16,FALSE)/FINAL!$J$41))+(IF(HOMEWORK!$I$42=0,0,VLOOKUP(Tablo2[[#This Row],[Student No]],Tablo3[[Student No]:[DÇ10]],14,FALSE)/HOMEWORK!$I$42))+(IF(LAB!$Q$44=0,0,VLOOKUP(Tablo2[[#This Row],[Student No]],Tablo314[[Student No]:[DÇ10]],23,FALSE)/LAB!$Q$44)))/4</f>
        <v>0</v>
      </c>
      <c r="K39" s="1">
        <f>((IF(MIDTERM!$J$42=0,0,VLOOKUP(Tablo2[[#This Row],[Student No]],Tablo17[[STUDENT ID]:[DÇ10]],17,FALSE)/MIDTERM!$J$42))+(IF(FINAL!$J$42=0,0,VLOOKUP(Tablo2[[#This Row],[Student No]],Tablo1744[[STUDENT ID]:[DÇ10]],17,FALSE)/FINAL!$J$42))+(IF(HOMEWORK!$I$43=0,0,VLOOKUP(Tablo2[[#This Row],[Student No]],Tablo3[[Student No]:[DÇ10]],15,FALSE)/HOMEWORK!$I$43))+(IF(LAB!$Q$45=0,0,VLOOKUP(Tablo2[[#This Row],[Student No]],Tablo314[[Student No]:[DÇ10]],24,FALSE)/LAB!$Q$45)))/4</f>
        <v>0</v>
      </c>
      <c r="L39" s="1">
        <f>((IF(MIDTERM!$J$43=0,0,VLOOKUP(Tablo2[[#This Row],[Student No]],Tablo17[[STUDENT ID]:[DÇ10]],18,FALSE)/MIDTERM!$J$43))+(IF(FINAL!$J$43=0,0,VLOOKUP(Tablo2[[#This Row],[Student No]],Tablo1744[[STUDENT ID]:[DÇ10]],18,FALSE)/FINAL!$J$43))+(IF(HOMEWORK!$I$44=0,0,VLOOKUP(Tablo2[[#This Row],[Student No]],Tablo3[[Student No]:[DÇ10]],16,FALSE)/HOMEWORK!$I$44))+(IF(LAB!$Q$46=0,0,VLOOKUP(Tablo2[[#This Row],[Student No]],Tablo314[[Student No]:[DÇ10]],25,FALSE)/LAB!$Q$46)))/4</f>
        <v>0</v>
      </c>
      <c r="M39" s="1">
        <f>((IF(MIDTERM!$J$44=0,0,VLOOKUP(Tablo2[[#This Row],[Student No]],Tablo17[[STUDENT ID]:[DÇ10]],19,FALSE)/MIDTERM!$J$44))+(IF(FINAL!$J$44=0,0,VLOOKUP(Tablo2[[#This Row],[Student No]],Tablo1744[[STUDENT ID]:[DÇ10]],19,FALSE)/FINAL!$J$44))+(IF(HOMEWORK!$I$45=0,0,VLOOKUP(Tablo2[[#This Row],[Student No]],Tablo3[[Student No]:[DÇ10]],17,FALSE)/HOMEWORK!$I$45))+(IF(LAB!$Q$47=0,0,VLOOKUP(Tablo2[[#This Row],[Student No]],Tablo314[[Student No]:[DÇ10]],26,FALSE)/LAB!$Q$47)))/4</f>
        <v>0</v>
      </c>
      <c r="N39" s="1">
        <f>((IF(MIDTERM!$J$45=0,0,VLOOKUP(Tablo2[[#This Row],[Student No]],Tablo17[[STUDENT ID]:[DÇ10]],20,FALSE)/MIDTERM!$J$45))+(IF(FINAL!$J$45=0,0,VLOOKUP(Tablo2[[#This Row],[Student No]],Tablo1744[[STUDENT ID]:[DÇ10]],20,FALSE)/FINAL!$J$45))+(IF(HOMEWORK!$I$46=0,0,VLOOKUP(Tablo2[[#This Row],[Student No]],Tablo3[[Student No]:[DÇ10]],18,FALSE)/HOMEWORK!$I$46))+(IF(LAB!$Q$48=0,0,VLOOKUP(Tablo2[[#This Row],[Student No]],Tablo314[[Student No]:[DÇ10]],27,FALSE)/LAB!$Q$48)))/4</f>
        <v>0</v>
      </c>
      <c r="O39" s="1">
        <f>((IF(MIDTERM!$J$46=0,0,VLOOKUP(Tablo2[[#This Row],[Student No]],Tablo17[[STUDENT ID]:[DÇ10]],21,FALSE)/MIDTERM!$J$46))+(IF(FINAL!$J$46=0,0,VLOOKUP(Tablo2[[#This Row],[Student No]],Tablo1744[[STUDENT ID]:[DÇ10]],21,FALSE)/FINAL!$J$46))+(IF(HOMEWORK!$I$47=0,0,VLOOKUP(Tablo2[[#This Row],[Student No]],Tablo3[[Student No]:[DÇ10]],19,FALSE)/HOMEWORK!$I$47))+(IF(LAB!$Q$49=0,0,VLOOKUP(Tablo2[[#This Row],[Student No]],Tablo314[[Student No]:[DÇ10]],28,FALSE)/LAB!$Q$49)))/4</f>
        <v>0</v>
      </c>
      <c r="Q39" s="30">
        <v>2</v>
      </c>
      <c r="R39" s="36" t="s">
        <v>81</v>
      </c>
      <c r="S39" s="14">
        <f>Tablo413[[#This Row],[Midterm]]+Tablo413[[#This Row],[FINAL]]+Tablo413[[#This Row],[HOMEWORK]]+Tablo413[[#This Row],[LAB]]</f>
        <v>85</v>
      </c>
      <c r="T39" s="35">
        <f>MIDTERM!J38</f>
        <v>10</v>
      </c>
      <c r="U39" s="35">
        <f>FINAL!J38</f>
        <v>25</v>
      </c>
      <c r="V39" s="35">
        <f>Tablo163719[[#This Row],[TOPLAM]]</f>
        <v>10</v>
      </c>
      <c r="W39" s="35">
        <f>LAB!Q41</f>
        <v>40</v>
      </c>
    </row>
    <row r="40" spans="1:23" ht="15" x14ac:dyDescent="0.3">
      <c r="A40" s="66"/>
      <c r="B40" s="41">
        <v>4</v>
      </c>
      <c r="C40" s="1">
        <v>4</v>
      </c>
      <c r="D40" s="1" t="str">
        <f>VLOOKUP(Tablo2[[#This Row],[Student No]],Tablo1[[Student No]:[Surname]],2,FALSE)</f>
        <v>Name</v>
      </c>
      <c r="E40" s="1" t="str">
        <f>VLOOKUP(Tablo2[[#This Row],[Student No]],Tablo1[[Student No]:[Surname]],3,FALSE)</f>
        <v>Surname</v>
      </c>
      <c r="F40" s="1">
        <f>((IF(MIDTERM!$J$37=0,0,VLOOKUP(Tablo2[[#This Row],[Student No]],Tablo17[[STUDENT ID]:[DÇ10]],12,FALSE)/MIDTERM!$J$37))+(IF(FINAL!$J$37=0,0,VLOOKUP(Tablo2[[#This Row],[Student No]],Tablo1744[[STUDENT ID]:[DÇ10]],12,FALSE)/FINAL!$J$37))+(IF(HOMEWORK!$I$38=0,0,VLOOKUP(Tablo2[[#This Row],[Student No]],Tablo3[[Student No]:[DÇ10]],10,FALSE)/HOMEWORK!$I$38))+(IF(LAB!$Q$40=0,0,VLOOKUP(Tablo2[[#This Row],[Student No]],Tablo314[[Student No]:[DÇ10]],19,FALSE)/LAB!$Q$40)))/4</f>
        <v>0.62884920634920627</v>
      </c>
      <c r="G40" s="1">
        <f>((IF(MIDTERM!$J$38=0,0,VLOOKUP(Tablo2[[#This Row],[Student No]],Tablo17[[STUDENT ID]:[DÇ10]],13,FALSE)/MIDTERM!$J$38))+(IF(FINAL!$J$38=0,0,VLOOKUP(Tablo2[[#This Row],[Student No]],Tablo1744[[STUDENT ID]:[DÇ10]],13,FALSE)/FINAL!$J$38))+(IF(HOMEWORK!$I$39=0,0,VLOOKUP(Tablo2[[#This Row],[Student No]],Tablo3[[Student No]:[DÇ10]],11,FALSE)/HOMEWORK!$I$39))+(IF(LAB!$Q$41=0,0,VLOOKUP(Tablo2[[#This Row],[Student No]],Tablo314[[Student No]:[DÇ10]],20,FALSE)/LAB!$Q$41)))/4</f>
        <v>0.53374999999999995</v>
      </c>
      <c r="H40" s="62">
        <f>((IF(MIDTERM!$J$39=0,0,VLOOKUP(Tablo2[[#This Row],[Student No]],Tablo17[[STUDENT ID]:[DÇ10]],14,FALSE)/MIDTERM!$J$39))+(IF(FINAL!$J$39=0,0,VLOOKUP(Tablo2[[#This Row],[Student No]],Tablo1744[[STUDENT ID]:[DÇ10]],14,FALSE)/FINAL!$J$39))+(IF(HOMEWORK!$I$40=0,0,VLOOKUP(Tablo2[[#This Row],[Student No]],Tablo3[[Student No]:[DÇ10]],12,FALSE)/HOMEWORK!$I$40))+(IF(LAB!$Q$42=0,0,VLOOKUP(Tablo2[[#This Row],[Student No]],Tablo314[[Student No]:[DÇ10]],21,FALSE)/LAB!$Q$42)))/4</f>
        <v>0.55625000000000002</v>
      </c>
      <c r="I40" s="1">
        <f>((IF(MIDTERM!$J$40=0,0,VLOOKUP(Tablo2[[#This Row],[Student No]],Tablo17[[STUDENT ID]:[DÇ10]],15,FALSE)/MIDTERM!$J$40))+(IF(FINAL!$J$40=0,0,VLOOKUP(Tablo2[[#This Row],[Student No]],Tablo1744[[STUDENT ID]:[DÇ10]],15,FALSE)/FINAL!$J$40))+(IF(HOMEWORK!$I$41=0,0,VLOOKUP(Tablo2[[#This Row],[Student No]],Tablo3[[Student No]:[DÇ10]],13,FALSE)/HOMEWORK!$I$41))+(IF(LAB!$Q$43=0,0,VLOOKUP(Tablo2[[#This Row],[Student No]],Tablo314[[Student No]:[DÇ10]],22,FALSE)/LAB!$Q$43)))/4</f>
        <v>0.60914772727272726</v>
      </c>
      <c r="J40" s="1">
        <f>((IF(MIDTERM!$J$41=0,0,VLOOKUP(Tablo2[[#This Row],[Student No]],Tablo17[[STUDENT ID]:[DÇ10]],16,FALSE)/MIDTERM!$J$41))+(IF(FINAL!$J$41=0,0,VLOOKUP(Tablo2[[#This Row],[Student No]],Tablo1744[[STUDENT ID]:[DÇ10]],16,FALSE)/FINAL!$J$41))+(IF(HOMEWORK!$I$42=0,0,VLOOKUP(Tablo2[[#This Row],[Student No]],Tablo3[[Student No]:[DÇ10]],14,FALSE)/HOMEWORK!$I$42))+(IF(LAB!$Q$44=0,0,VLOOKUP(Tablo2[[#This Row],[Student No]],Tablo314[[Student No]:[DÇ10]],23,FALSE)/LAB!$Q$44)))/4</f>
        <v>0</v>
      </c>
      <c r="K40" s="1">
        <f>((IF(MIDTERM!$J$42=0,0,VLOOKUP(Tablo2[[#This Row],[Student No]],Tablo17[[STUDENT ID]:[DÇ10]],17,FALSE)/MIDTERM!$J$42))+(IF(FINAL!$J$42=0,0,VLOOKUP(Tablo2[[#This Row],[Student No]],Tablo1744[[STUDENT ID]:[DÇ10]],17,FALSE)/FINAL!$J$42))+(IF(HOMEWORK!$I$43=0,0,VLOOKUP(Tablo2[[#This Row],[Student No]],Tablo3[[Student No]:[DÇ10]],15,FALSE)/HOMEWORK!$I$43))+(IF(LAB!$Q$45=0,0,VLOOKUP(Tablo2[[#This Row],[Student No]],Tablo314[[Student No]:[DÇ10]],24,FALSE)/LAB!$Q$45)))/4</f>
        <v>0</v>
      </c>
      <c r="L40" s="1">
        <f>((IF(MIDTERM!$J$43=0,0,VLOOKUP(Tablo2[[#This Row],[Student No]],Tablo17[[STUDENT ID]:[DÇ10]],18,FALSE)/MIDTERM!$J$43))+(IF(FINAL!$J$43=0,0,VLOOKUP(Tablo2[[#This Row],[Student No]],Tablo1744[[STUDENT ID]:[DÇ10]],18,FALSE)/FINAL!$J$43))+(IF(HOMEWORK!$I$44=0,0,VLOOKUP(Tablo2[[#This Row],[Student No]],Tablo3[[Student No]:[DÇ10]],16,FALSE)/HOMEWORK!$I$44))+(IF(LAB!$Q$46=0,0,VLOOKUP(Tablo2[[#This Row],[Student No]],Tablo314[[Student No]:[DÇ10]],25,FALSE)/LAB!$Q$46)))/4</f>
        <v>0</v>
      </c>
      <c r="M40" s="1">
        <f>((IF(MIDTERM!$J$44=0,0,VLOOKUP(Tablo2[[#This Row],[Student No]],Tablo17[[STUDENT ID]:[DÇ10]],19,FALSE)/MIDTERM!$J$44))+(IF(FINAL!$J$44=0,0,VLOOKUP(Tablo2[[#This Row],[Student No]],Tablo1744[[STUDENT ID]:[DÇ10]],19,FALSE)/FINAL!$J$44))+(IF(HOMEWORK!$I$45=0,0,VLOOKUP(Tablo2[[#This Row],[Student No]],Tablo3[[Student No]:[DÇ10]],17,FALSE)/HOMEWORK!$I$45))+(IF(LAB!$Q$47=0,0,VLOOKUP(Tablo2[[#This Row],[Student No]],Tablo314[[Student No]:[DÇ10]],26,FALSE)/LAB!$Q$47)))/4</f>
        <v>0</v>
      </c>
      <c r="N40" s="1">
        <f>((IF(MIDTERM!$J$45=0,0,VLOOKUP(Tablo2[[#This Row],[Student No]],Tablo17[[STUDENT ID]:[DÇ10]],20,FALSE)/MIDTERM!$J$45))+(IF(FINAL!$J$45=0,0,VLOOKUP(Tablo2[[#This Row],[Student No]],Tablo1744[[STUDENT ID]:[DÇ10]],20,FALSE)/FINAL!$J$45))+(IF(HOMEWORK!$I$46=0,0,VLOOKUP(Tablo2[[#This Row],[Student No]],Tablo3[[Student No]:[DÇ10]],18,FALSE)/HOMEWORK!$I$46))+(IF(LAB!$Q$48=0,0,VLOOKUP(Tablo2[[#This Row],[Student No]],Tablo314[[Student No]:[DÇ10]],27,FALSE)/LAB!$Q$48)))/4</f>
        <v>0</v>
      </c>
      <c r="O40" s="1">
        <f>((IF(MIDTERM!$J$46=0,0,VLOOKUP(Tablo2[[#This Row],[Student No]],Tablo17[[STUDENT ID]:[DÇ10]],21,FALSE)/MIDTERM!$J$46))+(IF(FINAL!$J$46=0,0,VLOOKUP(Tablo2[[#This Row],[Student No]],Tablo1744[[STUDENT ID]:[DÇ10]],21,FALSE)/FINAL!$J$46))+(IF(HOMEWORK!$I$47=0,0,VLOOKUP(Tablo2[[#This Row],[Student No]],Tablo3[[Student No]:[DÇ10]],19,FALSE)/HOMEWORK!$I$47))+(IF(LAB!$Q$49=0,0,VLOOKUP(Tablo2[[#This Row],[Student No]],Tablo314[[Student No]:[DÇ10]],28,FALSE)/LAB!$Q$49)))/4</f>
        <v>0</v>
      </c>
      <c r="Q40" s="30">
        <v>3</v>
      </c>
      <c r="R40" s="36" t="s">
        <v>82</v>
      </c>
      <c r="S40" s="14">
        <f>Tablo413[[#This Row],[Midterm]]+Tablo413[[#This Row],[FINAL]]+Tablo413[[#This Row],[HOMEWORK]]+Tablo413[[#This Row],[LAB]]</f>
        <v>105</v>
      </c>
      <c r="T40" s="35">
        <f>MIDTERM!J39</f>
        <v>5</v>
      </c>
      <c r="U40" s="35">
        <f>FINAL!J39</f>
        <v>25</v>
      </c>
      <c r="V40" s="35">
        <f>Tablo163719[[#This Row],[TOPLAM]]</f>
        <v>20</v>
      </c>
      <c r="W40" s="35">
        <f>LAB!Q42</f>
        <v>55</v>
      </c>
    </row>
    <row r="41" spans="1:23" ht="15" x14ac:dyDescent="0.3">
      <c r="A41" s="66"/>
      <c r="B41" s="40">
        <v>5</v>
      </c>
      <c r="C41" s="1">
        <v>5</v>
      </c>
      <c r="D41" s="1" t="str">
        <f>VLOOKUP(Tablo2[[#This Row],[Student No]],Tablo1[[Student No]:[Surname]],2,FALSE)</f>
        <v>Name</v>
      </c>
      <c r="E41" s="1" t="str">
        <f>VLOOKUP(Tablo2[[#This Row],[Student No]],Tablo1[[Student No]:[Surname]],3,FALSE)</f>
        <v>Surname</v>
      </c>
      <c r="F41" s="1">
        <f>((IF(MIDTERM!$J$37=0,0,VLOOKUP(Tablo2[[#This Row],[Student No]],Tablo17[[STUDENT ID]:[DÇ10]],12,FALSE)/MIDTERM!$J$37))+(IF(FINAL!$J$37=0,0,VLOOKUP(Tablo2[[#This Row],[Student No]],Tablo1744[[STUDENT ID]:[DÇ10]],12,FALSE)/FINAL!$J$37))+(IF(HOMEWORK!$I$38=0,0,VLOOKUP(Tablo2[[#This Row],[Student No]],Tablo3[[Student No]:[DÇ10]],10,FALSE)/HOMEWORK!$I$38))+(IF(LAB!$Q$40=0,0,VLOOKUP(Tablo2[[#This Row],[Student No]],Tablo314[[Student No]:[DÇ10]],19,FALSE)/LAB!$Q$40)))/4</f>
        <v>0.43255952380952384</v>
      </c>
      <c r="G41" s="1">
        <f>((IF(MIDTERM!$J$38=0,0,VLOOKUP(Tablo2[[#This Row],[Student No]],Tablo17[[STUDENT ID]:[DÇ10]],13,FALSE)/MIDTERM!$J$38))+(IF(FINAL!$J$38=0,0,VLOOKUP(Tablo2[[#This Row],[Student No]],Tablo1744[[STUDENT ID]:[DÇ10]],13,FALSE)/FINAL!$J$38))+(IF(HOMEWORK!$I$39=0,0,VLOOKUP(Tablo2[[#This Row],[Student No]],Tablo3[[Student No]:[DÇ10]],11,FALSE)/HOMEWORK!$I$39))+(IF(LAB!$Q$41=0,0,VLOOKUP(Tablo2[[#This Row],[Student No]],Tablo314[[Student No]:[DÇ10]],20,FALSE)/LAB!$Q$41)))/4</f>
        <v>0.47062499999999996</v>
      </c>
      <c r="H41" s="62">
        <f>((IF(MIDTERM!$J$39=0,0,VLOOKUP(Tablo2[[#This Row],[Student No]],Tablo17[[STUDENT ID]:[DÇ10]],14,FALSE)/MIDTERM!$J$39))+(IF(FINAL!$J$39=0,0,VLOOKUP(Tablo2[[#This Row],[Student No]],Tablo1744[[STUDENT ID]:[DÇ10]],14,FALSE)/FINAL!$J$39))+(IF(HOMEWORK!$I$40=0,0,VLOOKUP(Tablo2[[#This Row],[Student No]],Tablo3[[Student No]:[DÇ10]],12,FALSE)/HOMEWORK!$I$40))+(IF(LAB!$Q$42=0,0,VLOOKUP(Tablo2[[#This Row],[Student No]],Tablo314[[Student No]:[DÇ10]],21,FALSE)/LAB!$Q$42)))/4</f>
        <v>0.38045454545454549</v>
      </c>
      <c r="I41" s="1">
        <f>((IF(MIDTERM!$J$40=0,0,VLOOKUP(Tablo2[[#This Row],[Student No]],Tablo17[[STUDENT ID]:[DÇ10]],15,FALSE)/MIDTERM!$J$40))+(IF(FINAL!$J$40=0,0,VLOOKUP(Tablo2[[#This Row],[Student No]],Tablo1744[[STUDENT ID]:[DÇ10]],15,FALSE)/FINAL!$J$40))+(IF(HOMEWORK!$I$41=0,0,VLOOKUP(Tablo2[[#This Row],[Student No]],Tablo3[[Student No]:[DÇ10]],13,FALSE)/HOMEWORK!$I$41))+(IF(LAB!$Q$43=0,0,VLOOKUP(Tablo2[[#This Row],[Student No]],Tablo314[[Student No]:[DÇ10]],22,FALSE)/LAB!$Q$43)))/4</f>
        <v>0.49443181818181819</v>
      </c>
      <c r="J41" s="1">
        <f>((IF(MIDTERM!$J$41=0,0,VLOOKUP(Tablo2[[#This Row],[Student No]],Tablo17[[STUDENT ID]:[DÇ10]],16,FALSE)/MIDTERM!$J$41))+(IF(FINAL!$J$41=0,0,VLOOKUP(Tablo2[[#This Row],[Student No]],Tablo1744[[STUDENT ID]:[DÇ10]],16,FALSE)/FINAL!$J$41))+(IF(HOMEWORK!$I$42=0,0,VLOOKUP(Tablo2[[#This Row],[Student No]],Tablo3[[Student No]:[DÇ10]],14,FALSE)/HOMEWORK!$I$42))+(IF(LAB!$Q$44=0,0,VLOOKUP(Tablo2[[#This Row],[Student No]],Tablo314[[Student No]:[DÇ10]],23,FALSE)/LAB!$Q$44)))/4</f>
        <v>0</v>
      </c>
      <c r="K41" s="1">
        <f>((IF(MIDTERM!$J$42=0,0,VLOOKUP(Tablo2[[#This Row],[Student No]],Tablo17[[STUDENT ID]:[DÇ10]],17,FALSE)/MIDTERM!$J$42))+(IF(FINAL!$J$42=0,0,VLOOKUP(Tablo2[[#This Row],[Student No]],Tablo1744[[STUDENT ID]:[DÇ10]],17,FALSE)/FINAL!$J$42))+(IF(HOMEWORK!$I$43=0,0,VLOOKUP(Tablo2[[#This Row],[Student No]],Tablo3[[Student No]:[DÇ10]],15,FALSE)/HOMEWORK!$I$43))+(IF(LAB!$Q$45=0,0,VLOOKUP(Tablo2[[#This Row],[Student No]],Tablo314[[Student No]:[DÇ10]],24,FALSE)/LAB!$Q$45)))/4</f>
        <v>0</v>
      </c>
      <c r="L41" s="1">
        <f>((IF(MIDTERM!$J$43=0,0,VLOOKUP(Tablo2[[#This Row],[Student No]],Tablo17[[STUDENT ID]:[DÇ10]],18,FALSE)/MIDTERM!$J$43))+(IF(FINAL!$J$43=0,0,VLOOKUP(Tablo2[[#This Row],[Student No]],Tablo1744[[STUDENT ID]:[DÇ10]],18,FALSE)/FINAL!$J$43))+(IF(HOMEWORK!$I$44=0,0,VLOOKUP(Tablo2[[#This Row],[Student No]],Tablo3[[Student No]:[DÇ10]],16,FALSE)/HOMEWORK!$I$44))+(IF(LAB!$Q$46=0,0,VLOOKUP(Tablo2[[#This Row],[Student No]],Tablo314[[Student No]:[DÇ10]],25,FALSE)/LAB!$Q$46)))/4</f>
        <v>0</v>
      </c>
      <c r="M41" s="1">
        <f>((IF(MIDTERM!$J$44=0,0,VLOOKUP(Tablo2[[#This Row],[Student No]],Tablo17[[STUDENT ID]:[DÇ10]],19,FALSE)/MIDTERM!$J$44))+(IF(FINAL!$J$44=0,0,VLOOKUP(Tablo2[[#This Row],[Student No]],Tablo1744[[STUDENT ID]:[DÇ10]],19,FALSE)/FINAL!$J$44))+(IF(HOMEWORK!$I$45=0,0,VLOOKUP(Tablo2[[#This Row],[Student No]],Tablo3[[Student No]:[DÇ10]],17,FALSE)/HOMEWORK!$I$45))+(IF(LAB!$Q$47=0,0,VLOOKUP(Tablo2[[#This Row],[Student No]],Tablo314[[Student No]:[DÇ10]],26,FALSE)/LAB!$Q$47)))/4</f>
        <v>0</v>
      </c>
      <c r="N41" s="1">
        <f>((IF(MIDTERM!$J$45=0,0,VLOOKUP(Tablo2[[#This Row],[Student No]],Tablo17[[STUDENT ID]:[DÇ10]],20,FALSE)/MIDTERM!$J$45))+(IF(FINAL!$J$45=0,0,VLOOKUP(Tablo2[[#This Row],[Student No]],Tablo1744[[STUDENT ID]:[DÇ10]],20,FALSE)/FINAL!$J$45))+(IF(HOMEWORK!$I$46=0,0,VLOOKUP(Tablo2[[#This Row],[Student No]],Tablo3[[Student No]:[DÇ10]],18,FALSE)/HOMEWORK!$I$46))+(IF(LAB!$Q$48=0,0,VLOOKUP(Tablo2[[#This Row],[Student No]],Tablo314[[Student No]:[DÇ10]],27,FALSE)/LAB!$Q$48)))/4</f>
        <v>0</v>
      </c>
      <c r="O41" s="1">
        <f>((IF(MIDTERM!$J$46=0,0,VLOOKUP(Tablo2[[#This Row],[Student No]],Tablo17[[STUDENT ID]:[DÇ10]],21,FALSE)/MIDTERM!$J$46))+(IF(FINAL!$J$46=0,0,VLOOKUP(Tablo2[[#This Row],[Student No]],Tablo1744[[STUDENT ID]:[DÇ10]],21,FALSE)/FINAL!$J$46))+(IF(HOMEWORK!$I$47=0,0,VLOOKUP(Tablo2[[#This Row],[Student No]],Tablo3[[Student No]:[DÇ10]],19,FALSE)/HOMEWORK!$I$47))+(IF(LAB!$Q$49=0,0,VLOOKUP(Tablo2[[#This Row],[Student No]],Tablo314[[Student No]:[DÇ10]],28,FALSE)/LAB!$Q$49)))/4</f>
        <v>0</v>
      </c>
      <c r="Q41" s="1">
        <v>4</v>
      </c>
      <c r="R41" s="36" t="s">
        <v>83</v>
      </c>
      <c r="S41" s="14">
        <f>Tablo413[[#This Row],[Midterm]]+Tablo413[[#This Row],[FINAL]]+Tablo413[[#This Row],[HOMEWORK]]+Tablo413[[#This Row],[LAB]]</f>
        <v>155</v>
      </c>
      <c r="T41" s="35">
        <f>MIDTERM!J40</f>
        <v>40</v>
      </c>
      <c r="U41" s="35">
        <f>FINAL!J40</f>
        <v>50</v>
      </c>
      <c r="V41" s="35">
        <f>Tablo163719[[#This Row],[TOPLAM]]</f>
        <v>10</v>
      </c>
      <c r="W41" s="35">
        <f>LAB!Q43</f>
        <v>55</v>
      </c>
    </row>
    <row r="42" spans="1:23" ht="15" x14ac:dyDescent="0.3">
      <c r="A42" s="66"/>
      <c r="B42" s="41">
        <v>6</v>
      </c>
      <c r="C42" s="1">
        <v>6</v>
      </c>
      <c r="D42" s="1" t="str">
        <f>VLOOKUP(Tablo2[[#This Row],[Student No]],Tablo1[[Student No]:[Surname]],2,FALSE)</f>
        <v>Name</v>
      </c>
      <c r="E42" s="1" t="str">
        <f>VLOOKUP(Tablo2[[#This Row],[Student No]],Tablo1[[Student No]:[Surname]],3,FALSE)</f>
        <v>Surname</v>
      </c>
      <c r="F42" s="1">
        <f>((IF(MIDTERM!$J$37=0,0,VLOOKUP(Tablo2[[#This Row],[Student No]],Tablo17[[STUDENT ID]:[DÇ10]],12,FALSE)/MIDTERM!$J$37))+(IF(FINAL!$J$37=0,0,VLOOKUP(Tablo2[[#This Row],[Student No]],Tablo1744[[STUDENT ID]:[DÇ10]],12,FALSE)/FINAL!$J$37))+(IF(HOMEWORK!$I$38=0,0,VLOOKUP(Tablo2[[#This Row],[Student No]],Tablo3[[Student No]:[DÇ10]],10,FALSE)/HOMEWORK!$I$38))+(IF(LAB!$Q$40=0,0,VLOOKUP(Tablo2[[#This Row],[Student No]],Tablo314[[Student No]:[DÇ10]],19,FALSE)/LAB!$Q$40)))/4</f>
        <v>0.41876984126984129</v>
      </c>
      <c r="G42" s="1">
        <f>((IF(MIDTERM!$J$38=0,0,VLOOKUP(Tablo2[[#This Row],[Student No]],Tablo17[[STUDENT ID]:[DÇ10]],13,FALSE)/MIDTERM!$J$38))+(IF(FINAL!$J$38=0,0,VLOOKUP(Tablo2[[#This Row],[Student No]],Tablo1744[[STUDENT ID]:[DÇ10]],13,FALSE)/FINAL!$J$38))+(IF(HOMEWORK!$I$39=0,0,VLOOKUP(Tablo2[[#This Row],[Student No]],Tablo3[[Student No]:[DÇ10]],11,FALSE)/HOMEWORK!$I$39))+(IF(LAB!$Q$41=0,0,VLOOKUP(Tablo2[[#This Row],[Student No]],Tablo314[[Student No]:[DÇ10]],20,FALSE)/LAB!$Q$41)))/4</f>
        <v>0.34104166666666669</v>
      </c>
      <c r="H42" s="62">
        <f>((IF(MIDTERM!$J$39=0,0,VLOOKUP(Tablo2[[#This Row],[Student No]],Tablo17[[STUDENT ID]:[DÇ10]],14,FALSE)/MIDTERM!$J$39))+(IF(FINAL!$J$39=0,0,VLOOKUP(Tablo2[[#This Row],[Student No]],Tablo1744[[STUDENT ID]:[DÇ10]],14,FALSE)/FINAL!$J$39))+(IF(HOMEWORK!$I$40=0,0,VLOOKUP(Tablo2[[#This Row],[Student No]],Tablo3[[Student No]:[DÇ10]],12,FALSE)/HOMEWORK!$I$40))+(IF(LAB!$Q$42=0,0,VLOOKUP(Tablo2[[#This Row],[Student No]],Tablo314[[Student No]:[DÇ10]],21,FALSE)/LAB!$Q$42)))/4</f>
        <v>0.42499999999999999</v>
      </c>
      <c r="I42" s="1">
        <f>((IF(MIDTERM!$J$40=0,0,VLOOKUP(Tablo2[[#This Row],[Student No]],Tablo17[[STUDENT ID]:[DÇ10]],15,FALSE)/MIDTERM!$J$40))+(IF(FINAL!$J$40=0,0,VLOOKUP(Tablo2[[#This Row],[Student No]],Tablo1744[[STUDENT ID]:[DÇ10]],15,FALSE)/FINAL!$J$40))+(IF(HOMEWORK!$I$41=0,0,VLOOKUP(Tablo2[[#This Row],[Student No]],Tablo3[[Student No]:[DÇ10]],13,FALSE)/HOMEWORK!$I$41))+(IF(LAB!$Q$43=0,0,VLOOKUP(Tablo2[[#This Row],[Student No]],Tablo314[[Student No]:[DÇ10]],22,FALSE)/LAB!$Q$43)))/4</f>
        <v>0.50607954545454548</v>
      </c>
      <c r="J42" s="1">
        <f>((IF(MIDTERM!$J$41=0,0,VLOOKUP(Tablo2[[#This Row],[Student No]],Tablo17[[STUDENT ID]:[DÇ10]],16,FALSE)/MIDTERM!$J$41))+(IF(FINAL!$J$41=0,0,VLOOKUP(Tablo2[[#This Row],[Student No]],Tablo1744[[STUDENT ID]:[DÇ10]],16,FALSE)/FINAL!$J$41))+(IF(HOMEWORK!$I$42=0,0,VLOOKUP(Tablo2[[#This Row],[Student No]],Tablo3[[Student No]:[DÇ10]],14,FALSE)/HOMEWORK!$I$42))+(IF(LAB!$Q$44=0,0,VLOOKUP(Tablo2[[#This Row],[Student No]],Tablo314[[Student No]:[DÇ10]],23,FALSE)/LAB!$Q$44)))/4</f>
        <v>0</v>
      </c>
      <c r="K42" s="1">
        <f>((IF(MIDTERM!$J$42=0,0,VLOOKUP(Tablo2[[#This Row],[Student No]],Tablo17[[STUDENT ID]:[DÇ10]],17,FALSE)/MIDTERM!$J$42))+(IF(FINAL!$J$42=0,0,VLOOKUP(Tablo2[[#This Row],[Student No]],Tablo1744[[STUDENT ID]:[DÇ10]],17,FALSE)/FINAL!$J$42))+(IF(HOMEWORK!$I$43=0,0,VLOOKUP(Tablo2[[#This Row],[Student No]],Tablo3[[Student No]:[DÇ10]],15,FALSE)/HOMEWORK!$I$43))+(IF(LAB!$Q$45=0,0,VLOOKUP(Tablo2[[#This Row],[Student No]],Tablo314[[Student No]:[DÇ10]],24,FALSE)/LAB!$Q$45)))/4</f>
        <v>0</v>
      </c>
      <c r="L42" s="1">
        <f>((IF(MIDTERM!$J$43=0,0,VLOOKUP(Tablo2[[#This Row],[Student No]],Tablo17[[STUDENT ID]:[DÇ10]],18,FALSE)/MIDTERM!$J$43))+(IF(FINAL!$J$43=0,0,VLOOKUP(Tablo2[[#This Row],[Student No]],Tablo1744[[STUDENT ID]:[DÇ10]],18,FALSE)/FINAL!$J$43))+(IF(HOMEWORK!$I$44=0,0,VLOOKUP(Tablo2[[#This Row],[Student No]],Tablo3[[Student No]:[DÇ10]],16,FALSE)/HOMEWORK!$I$44))+(IF(LAB!$Q$46=0,0,VLOOKUP(Tablo2[[#This Row],[Student No]],Tablo314[[Student No]:[DÇ10]],25,FALSE)/LAB!$Q$46)))/4</f>
        <v>0</v>
      </c>
      <c r="M42" s="1">
        <f>((IF(MIDTERM!$J$44=0,0,VLOOKUP(Tablo2[[#This Row],[Student No]],Tablo17[[STUDENT ID]:[DÇ10]],19,FALSE)/MIDTERM!$J$44))+(IF(FINAL!$J$44=0,0,VLOOKUP(Tablo2[[#This Row],[Student No]],Tablo1744[[STUDENT ID]:[DÇ10]],19,FALSE)/FINAL!$J$44))+(IF(HOMEWORK!$I$45=0,0,VLOOKUP(Tablo2[[#This Row],[Student No]],Tablo3[[Student No]:[DÇ10]],17,FALSE)/HOMEWORK!$I$45))+(IF(LAB!$Q$47=0,0,VLOOKUP(Tablo2[[#This Row],[Student No]],Tablo314[[Student No]:[DÇ10]],26,FALSE)/LAB!$Q$47)))/4</f>
        <v>0</v>
      </c>
      <c r="N42" s="1">
        <f>((IF(MIDTERM!$J$45=0,0,VLOOKUP(Tablo2[[#This Row],[Student No]],Tablo17[[STUDENT ID]:[DÇ10]],20,FALSE)/MIDTERM!$J$45))+(IF(FINAL!$J$45=0,0,VLOOKUP(Tablo2[[#This Row],[Student No]],Tablo1744[[STUDENT ID]:[DÇ10]],20,FALSE)/FINAL!$J$45))+(IF(HOMEWORK!$I$46=0,0,VLOOKUP(Tablo2[[#This Row],[Student No]],Tablo3[[Student No]:[DÇ10]],18,FALSE)/HOMEWORK!$I$46))+(IF(LAB!$Q$48=0,0,VLOOKUP(Tablo2[[#This Row],[Student No]],Tablo314[[Student No]:[DÇ10]],27,FALSE)/LAB!$Q$48)))/4</f>
        <v>0</v>
      </c>
      <c r="O42" s="1">
        <f>((IF(MIDTERM!$J$46=0,0,VLOOKUP(Tablo2[[#This Row],[Student No]],Tablo17[[STUDENT ID]:[DÇ10]],21,FALSE)/MIDTERM!$J$46))+(IF(FINAL!$J$46=0,0,VLOOKUP(Tablo2[[#This Row],[Student No]],Tablo1744[[STUDENT ID]:[DÇ10]],21,FALSE)/FINAL!$J$46))+(IF(HOMEWORK!$I$47=0,0,VLOOKUP(Tablo2[[#This Row],[Student No]],Tablo3[[Student No]:[DÇ10]],19,FALSE)/HOMEWORK!$I$47))+(IF(LAB!$Q$49=0,0,VLOOKUP(Tablo2[[#This Row],[Student No]],Tablo314[[Student No]:[DÇ10]],28,FALSE)/LAB!$Q$49)))/4</f>
        <v>0</v>
      </c>
      <c r="Q42" s="30">
        <v>5</v>
      </c>
      <c r="R42" s="36" t="s">
        <v>126</v>
      </c>
      <c r="S42" s="14">
        <f>Tablo413[[#This Row],[Midterm]]+Tablo413[[#This Row],[FINAL]]+Tablo413[[#This Row],[HOMEWORK]]+Tablo413[[#This Row],[LAB]]</f>
        <v>0</v>
      </c>
      <c r="T42" s="35">
        <f>MIDTERM!J41</f>
        <v>0</v>
      </c>
      <c r="U42" s="35">
        <f>FINAL!J41</f>
        <v>0</v>
      </c>
      <c r="V42" s="35">
        <f>Tablo163719[[#This Row],[TOPLAM]]</f>
        <v>0</v>
      </c>
      <c r="W42" s="35">
        <f>LAB!Q44</f>
        <v>0</v>
      </c>
    </row>
    <row r="43" spans="1:23" ht="15" x14ac:dyDescent="0.3">
      <c r="A43" s="66"/>
      <c r="B43" s="40">
        <v>7</v>
      </c>
      <c r="C43" s="1">
        <v>7</v>
      </c>
      <c r="D43" s="1" t="str">
        <f>VLOOKUP(Tablo2[[#This Row],[Student No]],Tablo1[[Student No]:[Surname]],2,FALSE)</f>
        <v>Name</v>
      </c>
      <c r="E43" s="1" t="str">
        <f>VLOOKUP(Tablo2[[#This Row],[Student No]],Tablo1[[Student No]:[Surname]],3,FALSE)</f>
        <v>Surname</v>
      </c>
      <c r="F43" s="1">
        <f>((IF(MIDTERM!$J$37=0,0,VLOOKUP(Tablo2[[#This Row],[Student No]],Tablo17[[STUDENT ID]:[DÇ10]],12,FALSE)/MIDTERM!$J$37))+(IF(FINAL!$J$37=0,0,VLOOKUP(Tablo2[[#This Row],[Student No]],Tablo1744[[STUDENT ID]:[DÇ10]],12,FALSE)/FINAL!$J$37))+(IF(HOMEWORK!$I$38=0,0,VLOOKUP(Tablo2[[#This Row],[Student No]],Tablo3[[Student No]:[DÇ10]],10,FALSE)/HOMEWORK!$I$38))+(IF(LAB!$Q$40=0,0,VLOOKUP(Tablo2[[#This Row],[Student No]],Tablo314[[Student No]:[DÇ10]],19,FALSE)/LAB!$Q$40)))/4</f>
        <v>0.5593650793650794</v>
      </c>
      <c r="G43" s="1">
        <f>((IF(MIDTERM!$J$38=0,0,VLOOKUP(Tablo2[[#This Row],[Student No]],Tablo17[[STUDENT ID]:[DÇ10]],13,FALSE)/MIDTERM!$J$38))+(IF(FINAL!$J$38=0,0,VLOOKUP(Tablo2[[#This Row],[Student No]],Tablo1744[[STUDENT ID]:[DÇ10]],13,FALSE)/FINAL!$J$38))+(IF(HOMEWORK!$I$39=0,0,VLOOKUP(Tablo2[[#This Row],[Student No]],Tablo3[[Student No]:[DÇ10]],11,FALSE)/HOMEWORK!$I$39))+(IF(LAB!$Q$41=0,0,VLOOKUP(Tablo2[[#This Row],[Student No]],Tablo314[[Student No]:[DÇ10]],20,FALSE)/LAB!$Q$41)))/4</f>
        <v>0.36145833333333333</v>
      </c>
      <c r="H43" s="62">
        <f>((IF(MIDTERM!$J$39=0,0,VLOOKUP(Tablo2[[#This Row],[Student No]],Tablo17[[STUDENT ID]:[DÇ10]],14,FALSE)/MIDTERM!$J$39))+(IF(FINAL!$J$39=0,0,VLOOKUP(Tablo2[[#This Row],[Student No]],Tablo1744[[STUDENT ID]:[DÇ10]],14,FALSE)/FINAL!$J$39))+(IF(HOMEWORK!$I$40=0,0,VLOOKUP(Tablo2[[#This Row],[Student No]],Tablo3[[Student No]:[DÇ10]],12,FALSE)/HOMEWORK!$I$40))+(IF(LAB!$Q$42=0,0,VLOOKUP(Tablo2[[#This Row],[Student No]],Tablo314[[Student No]:[DÇ10]],21,FALSE)/LAB!$Q$42)))/4</f>
        <v>0.58522727272727271</v>
      </c>
      <c r="I43" s="1">
        <f>((IF(MIDTERM!$J$40=0,0,VLOOKUP(Tablo2[[#This Row],[Student No]],Tablo17[[STUDENT ID]:[DÇ10]],15,FALSE)/MIDTERM!$J$40))+(IF(FINAL!$J$40=0,0,VLOOKUP(Tablo2[[#This Row],[Student No]],Tablo1744[[STUDENT ID]:[DÇ10]],15,FALSE)/FINAL!$J$40))+(IF(HOMEWORK!$I$41=0,0,VLOOKUP(Tablo2[[#This Row],[Student No]],Tablo3[[Student No]:[DÇ10]],13,FALSE)/HOMEWORK!$I$41))+(IF(LAB!$Q$43=0,0,VLOOKUP(Tablo2[[#This Row],[Student No]],Tablo314[[Student No]:[DÇ10]],22,FALSE)/LAB!$Q$43)))/4</f>
        <v>0.56693181818181826</v>
      </c>
      <c r="J43" s="1">
        <f>((IF(MIDTERM!$J$41=0,0,VLOOKUP(Tablo2[[#This Row],[Student No]],Tablo17[[STUDENT ID]:[DÇ10]],16,FALSE)/MIDTERM!$J$41))+(IF(FINAL!$J$41=0,0,VLOOKUP(Tablo2[[#This Row],[Student No]],Tablo1744[[STUDENT ID]:[DÇ10]],16,FALSE)/FINAL!$J$41))+(IF(HOMEWORK!$I$42=0,0,VLOOKUP(Tablo2[[#This Row],[Student No]],Tablo3[[Student No]:[DÇ10]],14,FALSE)/HOMEWORK!$I$42))+(IF(LAB!$Q$44=0,0,VLOOKUP(Tablo2[[#This Row],[Student No]],Tablo314[[Student No]:[DÇ10]],23,FALSE)/LAB!$Q$44)))/4</f>
        <v>0</v>
      </c>
      <c r="K43" s="1">
        <f>((IF(MIDTERM!$J$42=0,0,VLOOKUP(Tablo2[[#This Row],[Student No]],Tablo17[[STUDENT ID]:[DÇ10]],17,FALSE)/MIDTERM!$J$42))+(IF(FINAL!$J$42=0,0,VLOOKUP(Tablo2[[#This Row],[Student No]],Tablo1744[[STUDENT ID]:[DÇ10]],17,FALSE)/FINAL!$J$42))+(IF(HOMEWORK!$I$43=0,0,VLOOKUP(Tablo2[[#This Row],[Student No]],Tablo3[[Student No]:[DÇ10]],15,FALSE)/HOMEWORK!$I$43))+(IF(LAB!$Q$45=0,0,VLOOKUP(Tablo2[[#This Row],[Student No]],Tablo314[[Student No]:[DÇ10]],24,FALSE)/LAB!$Q$45)))/4</f>
        <v>0</v>
      </c>
      <c r="L43" s="1">
        <f>((IF(MIDTERM!$J$43=0,0,VLOOKUP(Tablo2[[#This Row],[Student No]],Tablo17[[STUDENT ID]:[DÇ10]],18,FALSE)/MIDTERM!$J$43))+(IF(FINAL!$J$43=0,0,VLOOKUP(Tablo2[[#This Row],[Student No]],Tablo1744[[STUDENT ID]:[DÇ10]],18,FALSE)/FINAL!$J$43))+(IF(HOMEWORK!$I$44=0,0,VLOOKUP(Tablo2[[#This Row],[Student No]],Tablo3[[Student No]:[DÇ10]],16,FALSE)/HOMEWORK!$I$44))+(IF(LAB!$Q$46=0,0,VLOOKUP(Tablo2[[#This Row],[Student No]],Tablo314[[Student No]:[DÇ10]],25,FALSE)/LAB!$Q$46)))/4</f>
        <v>0</v>
      </c>
      <c r="M43" s="1">
        <f>((IF(MIDTERM!$J$44=0,0,VLOOKUP(Tablo2[[#This Row],[Student No]],Tablo17[[STUDENT ID]:[DÇ10]],19,FALSE)/MIDTERM!$J$44))+(IF(FINAL!$J$44=0,0,VLOOKUP(Tablo2[[#This Row],[Student No]],Tablo1744[[STUDENT ID]:[DÇ10]],19,FALSE)/FINAL!$J$44))+(IF(HOMEWORK!$I$45=0,0,VLOOKUP(Tablo2[[#This Row],[Student No]],Tablo3[[Student No]:[DÇ10]],17,FALSE)/HOMEWORK!$I$45))+(IF(LAB!$Q$47=0,0,VLOOKUP(Tablo2[[#This Row],[Student No]],Tablo314[[Student No]:[DÇ10]],26,FALSE)/LAB!$Q$47)))/4</f>
        <v>0</v>
      </c>
      <c r="N43" s="1">
        <f>((IF(MIDTERM!$J$45=0,0,VLOOKUP(Tablo2[[#This Row],[Student No]],Tablo17[[STUDENT ID]:[DÇ10]],20,FALSE)/MIDTERM!$J$45))+(IF(FINAL!$J$45=0,0,VLOOKUP(Tablo2[[#This Row],[Student No]],Tablo1744[[STUDENT ID]:[DÇ10]],20,FALSE)/FINAL!$J$45))+(IF(HOMEWORK!$I$46=0,0,VLOOKUP(Tablo2[[#This Row],[Student No]],Tablo3[[Student No]:[DÇ10]],18,FALSE)/HOMEWORK!$I$46))+(IF(LAB!$Q$48=0,0,VLOOKUP(Tablo2[[#This Row],[Student No]],Tablo314[[Student No]:[DÇ10]],27,FALSE)/LAB!$Q$48)))/4</f>
        <v>0</v>
      </c>
      <c r="O43" s="1">
        <f>((IF(MIDTERM!$J$46=0,0,VLOOKUP(Tablo2[[#This Row],[Student No]],Tablo17[[STUDENT ID]:[DÇ10]],21,FALSE)/MIDTERM!$J$46))+(IF(FINAL!$J$46=0,0,VLOOKUP(Tablo2[[#This Row],[Student No]],Tablo1744[[STUDENT ID]:[DÇ10]],21,FALSE)/FINAL!$J$46))+(IF(HOMEWORK!$I$47=0,0,VLOOKUP(Tablo2[[#This Row],[Student No]],Tablo3[[Student No]:[DÇ10]],19,FALSE)/HOMEWORK!$I$47))+(IF(LAB!$Q$49=0,0,VLOOKUP(Tablo2[[#This Row],[Student No]],Tablo314[[Student No]:[DÇ10]],28,FALSE)/LAB!$Q$49)))/4</f>
        <v>0</v>
      </c>
      <c r="Q43" s="30">
        <v>6</v>
      </c>
      <c r="R43" s="36" t="s">
        <v>127</v>
      </c>
      <c r="S43" s="14">
        <f>Tablo413[[#This Row],[Midterm]]+Tablo413[[#This Row],[FINAL]]+Tablo413[[#This Row],[HOMEWORK]]+Tablo413[[#This Row],[LAB]]</f>
        <v>0</v>
      </c>
      <c r="T43" s="35">
        <f>MIDTERM!J42</f>
        <v>0</v>
      </c>
      <c r="U43" s="35">
        <f>FINAL!J42</f>
        <v>0</v>
      </c>
      <c r="V43" s="35">
        <f>Tablo163719[[#This Row],[TOPLAM]]</f>
        <v>0</v>
      </c>
      <c r="W43" s="35">
        <f>LAB!Q45</f>
        <v>0</v>
      </c>
    </row>
    <row r="44" spans="1:23" ht="15" x14ac:dyDescent="0.3">
      <c r="A44" s="66"/>
      <c r="B44" s="41">
        <v>8</v>
      </c>
      <c r="C44" s="1">
        <v>8</v>
      </c>
      <c r="D44" s="1" t="str">
        <f>VLOOKUP(Tablo2[[#This Row],[Student No]],Tablo1[[Student No]:[Surname]],2,FALSE)</f>
        <v>Name</v>
      </c>
      <c r="E44" s="1" t="str">
        <f>VLOOKUP(Tablo2[[#This Row],[Student No]],Tablo1[[Student No]:[Surname]],3,FALSE)</f>
        <v>Surname</v>
      </c>
      <c r="F44" s="1">
        <f>((IF(MIDTERM!$J$37=0,0,VLOOKUP(Tablo2[[#This Row],[Student No]],Tablo17[[STUDENT ID]:[DÇ10]],12,FALSE)/MIDTERM!$J$37))+(IF(FINAL!$J$37=0,0,VLOOKUP(Tablo2[[#This Row],[Student No]],Tablo1744[[STUDENT ID]:[DÇ10]],12,FALSE)/FINAL!$J$37))+(IF(HOMEWORK!$I$38=0,0,VLOOKUP(Tablo2[[#This Row],[Student No]],Tablo3[[Student No]:[DÇ10]],10,FALSE)/HOMEWORK!$I$38))+(IF(LAB!$Q$40=0,0,VLOOKUP(Tablo2[[#This Row],[Student No]],Tablo314[[Student No]:[DÇ10]],19,FALSE)/LAB!$Q$40)))/4</f>
        <v>0.60126984126984129</v>
      </c>
      <c r="G44" s="1">
        <f>((IF(MIDTERM!$J$38=0,0,VLOOKUP(Tablo2[[#This Row],[Student No]],Tablo17[[STUDENT ID]:[DÇ10]],13,FALSE)/MIDTERM!$J$38))+(IF(FINAL!$J$38=0,0,VLOOKUP(Tablo2[[#This Row],[Student No]],Tablo1744[[STUDENT ID]:[DÇ10]],13,FALSE)/FINAL!$J$38))+(IF(HOMEWORK!$I$39=0,0,VLOOKUP(Tablo2[[#This Row],[Student No]],Tablo3[[Student No]:[DÇ10]],11,FALSE)/HOMEWORK!$I$39))+(IF(LAB!$Q$41=0,0,VLOOKUP(Tablo2[[#This Row],[Student No]],Tablo314[[Student No]:[DÇ10]],20,FALSE)/LAB!$Q$41)))/4</f>
        <v>0.5006250000000001</v>
      </c>
      <c r="H44" s="62">
        <f>((IF(MIDTERM!$J$39=0,0,VLOOKUP(Tablo2[[#This Row],[Student No]],Tablo17[[STUDENT ID]:[DÇ10]],14,FALSE)/MIDTERM!$J$39))+(IF(FINAL!$J$39=0,0,VLOOKUP(Tablo2[[#This Row],[Student No]],Tablo1744[[STUDENT ID]:[DÇ10]],14,FALSE)/FINAL!$J$39))+(IF(HOMEWORK!$I$40=0,0,VLOOKUP(Tablo2[[#This Row],[Student No]],Tablo3[[Student No]:[DÇ10]],12,FALSE)/HOMEWORK!$I$40))+(IF(LAB!$Q$42=0,0,VLOOKUP(Tablo2[[#This Row],[Student No]],Tablo314[[Student No]:[DÇ10]],21,FALSE)/LAB!$Q$42)))/4</f>
        <v>0.4565909090909091</v>
      </c>
      <c r="I44" s="1">
        <f>((IF(MIDTERM!$J$40=0,0,VLOOKUP(Tablo2[[#This Row],[Student No]],Tablo17[[STUDENT ID]:[DÇ10]],15,FALSE)/MIDTERM!$J$40))+(IF(FINAL!$J$40=0,0,VLOOKUP(Tablo2[[#This Row],[Student No]],Tablo1744[[STUDENT ID]:[DÇ10]],15,FALSE)/FINAL!$J$40))+(IF(HOMEWORK!$I$41=0,0,VLOOKUP(Tablo2[[#This Row],[Student No]],Tablo3[[Student No]:[DÇ10]],13,FALSE)/HOMEWORK!$I$41))+(IF(LAB!$Q$43=0,0,VLOOKUP(Tablo2[[#This Row],[Student No]],Tablo314[[Student No]:[DÇ10]],22,FALSE)/LAB!$Q$43)))/4</f>
        <v>0.50505681818181825</v>
      </c>
      <c r="J44" s="1">
        <f>((IF(MIDTERM!$J$41=0,0,VLOOKUP(Tablo2[[#This Row],[Student No]],Tablo17[[STUDENT ID]:[DÇ10]],16,FALSE)/MIDTERM!$J$41))+(IF(FINAL!$J$41=0,0,VLOOKUP(Tablo2[[#This Row],[Student No]],Tablo1744[[STUDENT ID]:[DÇ10]],16,FALSE)/FINAL!$J$41))+(IF(HOMEWORK!$I$42=0,0,VLOOKUP(Tablo2[[#This Row],[Student No]],Tablo3[[Student No]:[DÇ10]],14,FALSE)/HOMEWORK!$I$42))+(IF(LAB!$Q$44=0,0,VLOOKUP(Tablo2[[#This Row],[Student No]],Tablo314[[Student No]:[DÇ10]],23,FALSE)/LAB!$Q$44)))/4</f>
        <v>0</v>
      </c>
      <c r="K44" s="1">
        <f>((IF(MIDTERM!$J$42=0,0,VLOOKUP(Tablo2[[#This Row],[Student No]],Tablo17[[STUDENT ID]:[DÇ10]],17,FALSE)/MIDTERM!$J$42))+(IF(FINAL!$J$42=0,0,VLOOKUP(Tablo2[[#This Row],[Student No]],Tablo1744[[STUDENT ID]:[DÇ10]],17,FALSE)/FINAL!$J$42))+(IF(HOMEWORK!$I$43=0,0,VLOOKUP(Tablo2[[#This Row],[Student No]],Tablo3[[Student No]:[DÇ10]],15,FALSE)/HOMEWORK!$I$43))+(IF(LAB!$Q$45=0,0,VLOOKUP(Tablo2[[#This Row],[Student No]],Tablo314[[Student No]:[DÇ10]],24,FALSE)/LAB!$Q$45)))/4</f>
        <v>0</v>
      </c>
      <c r="L44" s="1">
        <f>((IF(MIDTERM!$J$43=0,0,VLOOKUP(Tablo2[[#This Row],[Student No]],Tablo17[[STUDENT ID]:[DÇ10]],18,FALSE)/MIDTERM!$J$43))+(IF(FINAL!$J$43=0,0,VLOOKUP(Tablo2[[#This Row],[Student No]],Tablo1744[[STUDENT ID]:[DÇ10]],18,FALSE)/FINAL!$J$43))+(IF(HOMEWORK!$I$44=0,0,VLOOKUP(Tablo2[[#This Row],[Student No]],Tablo3[[Student No]:[DÇ10]],16,FALSE)/HOMEWORK!$I$44))+(IF(LAB!$Q$46=0,0,VLOOKUP(Tablo2[[#This Row],[Student No]],Tablo314[[Student No]:[DÇ10]],25,FALSE)/LAB!$Q$46)))/4</f>
        <v>0</v>
      </c>
      <c r="M44" s="1">
        <f>((IF(MIDTERM!$J$44=0,0,VLOOKUP(Tablo2[[#This Row],[Student No]],Tablo17[[STUDENT ID]:[DÇ10]],19,FALSE)/MIDTERM!$J$44))+(IF(FINAL!$J$44=0,0,VLOOKUP(Tablo2[[#This Row],[Student No]],Tablo1744[[STUDENT ID]:[DÇ10]],19,FALSE)/FINAL!$J$44))+(IF(HOMEWORK!$I$45=0,0,VLOOKUP(Tablo2[[#This Row],[Student No]],Tablo3[[Student No]:[DÇ10]],17,FALSE)/HOMEWORK!$I$45))+(IF(LAB!$Q$47=0,0,VLOOKUP(Tablo2[[#This Row],[Student No]],Tablo314[[Student No]:[DÇ10]],26,FALSE)/LAB!$Q$47)))/4</f>
        <v>0</v>
      </c>
      <c r="N44" s="1">
        <f>((IF(MIDTERM!$J$45=0,0,VLOOKUP(Tablo2[[#This Row],[Student No]],Tablo17[[STUDENT ID]:[DÇ10]],20,FALSE)/MIDTERM!$J$45))+(IF(FINAL!$J$45=0,0,VLOOKUP(Tablo2[[#This Row],[Student No]],Tablo1744[[STUDENT ID]:[DÇ10]],20,FALSE)/FINAL!$J$45))+(IF(HOMEWORK!$I$46=0,0,VLOOKUP(Tablo2[[#This Row],[Student No]],Tablo3[[Student No]:[DÇ10]],18,FALSE)/HOMEWORK!$I$46))+(IF(LAB!$Q$48=0,0,VLOOKUP(Tablo2[[#This Row],[Student No]],Tablo314[[Student No]:[DÇ10]],27,FALSE)/LAB!$Q$48)))/4</f>
        <v>0</v>
      </c>
      <c r="O44" s="1">
        <f>((IF(MIDTERM!$J$46=0,0,VLOOKUP(Tablo2[[#This Row],[Student No]],Tablo17[[STUDENT ID]:[DÇ10]],21,FALSE)/MIDTERM!$J$46))+(IF(FINAL!$J$46=0,0,VLOOKUP(Tablo2[[#This Row],[Student No]],Tablo1744[[STUDENT ID]:[DÇ10]],21,FALSE)/FINAL!$J$46))+(IF(HOMEWORK!$I$47=0,0,VLOOKUP(Tablo2[[#This Row],[Student No]],Tablo3[[Student No]:[DÇ10]],19,FALSE)/HOMEWORK!$I$47))+(IF(LAB!$Q$49=0,0,VLOOKUP(Tablo2[[#This Row],[Student No]],Tablo314[[Student No]:[DÇ10]],28,FALSE)/LAB!$Q$49)))/4</f>
        <v>0</v>
      </c>
      <c r="Q44" s="30">
        <v>7</v>
      </c>
      <c r="R44" s="36" t="s">
        <v>128</v>
      </c>
      <c r="S44" s="14">
        <f>Tablo413[[#This Row],[Midterm]]+Tablo413[[#This Row],[FINAL]]+Tablo413[[#This Row],[HOMEWORK]]+Tablo413[[#This Row],[LAB]]</f>
        <v>0</v>
      </c>
      <c r="T44" s="35">
        <f>MIDTERM!J43</f>
        <v>0</v>
      </c>
      <c r="U44" s="35">
        <f>FINAL!J43</f>
        <v>0</v>
      </c>
      <c r="V44" s="35">
        <f>Tablo163719[[#This Row],[TOPLAM]]</f>
        <v>0</v>
      </c>
      <c r="W44" s="35">
        <f>LAB!Q46</f>
        <v>0</v>
      </c>
    </row>
    <row r="45" spans="1:23" ht="15" x14ac:dyDescent="0.3">
      <c r="A45" s="66"/>
      <c r="B45" s="40">
        <v>9</v>
      </c>
      <c r="C45" s="1">
        <v>9</v>
      </c>
      <c r="D45" s="1" t="str">
        <f>VLOOKUP(Tablo2[[#This Row],[Student No]],Tablo1[[Student No]:[Surname]],2,FALSE)</f>
        <v>Name</v>
      </c>
      <c r="E45" s="1" t="str">
        <f>VLOOKUP(Tablo2[[#This Row],[Student No]],Tablo1[[Student No]:[Surname]],3,FALSE)</f>
        <v>Surname</v>
      </c>
      <c r="F45" s="1">
        <f>((IF(MIDTERM!$J$37=0,0,VLOOKUP(Tablo2[[#This Row],[Student No]],Tablo17[[STUDENT ID]:[DÇ10]],12,FALSE)/MIDTERM!$J$37))+(IF(FINAL!$J$37=0,0,VLOOKUP(Tablo2[[#This Row],[Student No]],Tablo1744[[STUDENT ID]:[DÇ10]],12,FALSE)/FINAL!$J$37))+(IF(HOMEWORK!$I$38=0,0,VLOOKUP(Tablo2[[#This Row],[Student No]],Tablo3[[Student No]:[DÇ10]],10,FALSE)/HOMEWORK!$I$38))+(IF(LAB!$Q$40=0,0,VLOOKUP(Tablo2[[#This Row],[Student No]],Tablo314[[Student No]:[DÇ10]],19,FALSE)/LAB!$Q$40)))/4</f>
        <v>0.4566269841269841</v>
      </c>
      <c r="G45" s="1">
        <f>((IF(MIDTERM!$J$38=0,0,VLOOKUP(Tablo2[[#This Row],[Student No]],Tablo17[[STUDENT ID]:[DÇ10]],13,FALSE)/MIDTERM!$J$38))+(IF(FINAL!$J$38=0,0,VLOOKUP(Tablo2[[#This Row],[Student No]],Tablo1744[[STUDENT ID]:[DÇ10]],13,FALSE)/FINAL!$J$38))+(IF(HOMEWORK!$I$39=0,0,VLOOKUP(Tablo2[[#This Row],[Student No]],Tablo3[[Student No]:[DÇ10]],11,FALSE)/HOMEWORK!$I$39))+(IF(LAB!$Q$41=0,0,VLOOKUP(Tablo2[[#This Row],[Student No]],Tablo314[[Student No]:[DÇ10]],20,FALSE)/LAB!$Q$41)))/4</f>
        <v>0.46687499999999993</v>
      </c>
      <c r="H45" s="62">
        <f>((IF(MIDTERM!$J$39=0,0,VLOOKUP(Tablo2[[#This Row],[Student No]],Tablo17[[STUDENT ID]:[DÇ10]],14,FALSE)/MIDTERM!$J$39))+(IF(FINAL!$J$39=0,0,VLOOKUP(Tablo2[[#This Row],[Student No]],Tablo1744[[STUDENT ID]:[DÇ10]],14,FALSE)/FINAL!$J$39))+(IF(HOMEWORK!$I$40=0,0,VLOOKUP(Tablo2[[#This Row],[Student No]],Tablo3[[Student No]:[DÇ10]],12,FALSE)/HOMEWORK!$I$40))+(IF(LAB!$Q$42=0,0,VLOOKUP(Tablo2[[#This Row],[Student No]],Tablo314[[Student No]:[DÇ10]],21,FALSE)/LAB!$Q$42)))/4</f>
        <v>0.38409090909090909</v>
      </c>
      <c r="I45" s="1">
        <f>((IF(MIDTERM!$J$40=0,0,VLOOKUP(Tablo2[[#This Row],[Student No]],Tablo17[[STUDENT ID]:[DÇ10]],15,FALSE)/MIDTERM!$J$40))+(IF(FINAL!$J$40=0,0,VLOOKUP(Tablo2[[#This Row],[Student No]],Tablo1744[[STUDENT ID]:[DÇ10]],15,FALSE)/FINAL!$J$40))+(IF(HOMEWORK!$I$41=0,0,VLOOKUP(Tablo2[[#This Row],[Student No]],Tablo3[[Student No]:[DÇ10]],13,FALSE)/HOMEWORK!$I$41))+(IF(LAB!$Q$43=0,0,VLOOKUP(Tablo2[[#This Row],[Student No]],Tablo314[[Student No]:[DÇ10]],22,FALSE)/LAB!$Q$43)))/4</f>
        <v>0.39715909090909091</v>
      </c>
      <c r="J45" s="1">
        <f>((IF(MIDTERM!$J$41=0,0,VLOOKUP(Tablo2[[#This Row],[Student No]],Tablo17[[STUDENT ID]:[DÇ10]],16,FALSE)/MIDTERM!$J$41))+(IF(FINAL!$J$41=0,0,VLOOKUP(Tablo2[[#This Row],[Student No]],Tablo1744[[STUDENT ID]:[DÇ10]],16,FALSE)/FINAL!$J$41))+(IF(HOMEWORK!$I$42=0,0,VLOOKUP(Tablo2[[#This Row],[Student No]],Tablo3[[Student No]:[DÇ10]],14,FALSE)/HOMEWORK!$I$42))+(IF(LAB!$Q$44=0,0,VLOOKUP(Tablo2[[#This Row],[Student No]],Tablo314[[Student No]:[DÇ10]],23,FALSE)/LAB!$Q$44)))/4</f>
        <v>0</v>
      </c>
      <c r="K45" s="1">
        <f>((IF(MIDTERM!$J$42=0,0,VLOOKUP(Tablo2[[#This Row],[Student No]],Tablo17[[STUDENT ID]:[DÇ10]],17,FALSE)/MIDTERM!$J$42))+(IF(FINAL!$J$42=0,0,VLOOKUP(Tablo2[[#This Row],[Student No]],Tablo1744[[STUDENT ID]:[DÇ10]],17,FALSE)/FINAL!$J$42))+(IF(HOMEWORK!$I$43=0,0,VLOOKUP(Tablo2[[#This Row],[Student No]],Tablo3[[Student No]:[DÇ10]],15,FALSE)/HOMEWORK!$I$43))+(IF(LAB!$Q$45=0,0,VLOOKUP(Tablo2[[#This Row],[Student No]],Tablo314[[Student No]:[DÇ10]],24,FALSE)/LAB!$Q$45)))/4</f>
        <v>0</v>
      </c>
      <c r="L45" s="1">
        <f>((IF(MIDTERM!$J$43=0,0,VLOOKUP(Tablo2[[#This Row],[Student No]],Tablo17[[STUDENT ID]:[DÇ10]],18,FALSE)/MIDTERM!$J$43))+(IF(FINAL!$J$43=0,0,VLOOKUP(Tablo2[[#This Row],[Student No]],Tablo1744[[STUDENT ID]:[DÇ10]],18,FALSE)/FINAL!$J$43))+(IF(HOMEWORK!$I$44=0,0,VLOOKUP(Tablo2[[#This Row],[Student No]],Tablo3[[Student No]:[DÇ10]],16,FALSE)/HOMEWORK!$I$44))+(IF(LAB!$Q$46=0,0,VLOOKUP(Tablo2[[#This Row],[Student No]],Tablo314[[Student No]:[DÇ10]],25,FALSE)/LAB!$Q$46)))/4</f>
        <v>0</v>
      </c>
      <c r="M45" s="1">
        <f>((IF(MIDTERM!$J$44=0,0,VLOOKUP(Tablo2[[#This Row],[Student No]],Tablo17[[STUDENT ID]:[DÇ10]],19,FALSE)/MIDTERM!$J$44))+(IF(FINAL!$J$44=0,0,VLOOKUP(Tablo2[[#This Row],[Student No]],Tablo1744[[STUDENT ID]:[DÇ10]],19,FALSE)/FINAL!$J$44))+(IF(HOMEWORK!$I$45=0,0,VLOOKUP(Tablo2[[#This Row],[Student No]],Tablo3[[Student No]:[DÇ10]],17,FALSE)/HOMEWORK!$I$45))+(IF(LAB!$Q$47=0,0,VLOOKUP(Tablo2[[#This Row],[Student No]],Tablo314[[Student No]:[DÇ10]],26,FALSE)/LAB!$Q$47)))/4</f>
        <v>0</v>
      </c>
      <c r="N45" s="1">
        <f>((IF(MIDTERM!$J$45=0,0,VLOOKUP(Tablo2[[#This Row],[Student No]],Tablo17[[STUDENT ID]:[DÇ10]],20,FALSE)/MIDTERM!$J$45))+(IF(FINAL!$J$45=0,0,VLOOKUP(Tablo2[[#This Row],[Student No]],Tablo1744[[STUDENT ID]:[DÇ10]],20,FALSE)/FINAL!$J$45))+(IF(HOMEWORK!$I$46=0,0,VLOOKUP(Tablo2[[#This Row],[Student No]],Tablo3[[Student No]:[DÇ10]],18,FALSE)/HOMEWORK!$I$46))+(IF(LAB!$Q$48=0,0,VLOOKUP(Tablo2[[#This Row],[Student No]],Tablo314[[Student No]:[DÇ10]],27,FALSE)/LAB!$Q$48)))/4</f>
        <v>0</v>
      </c>
      <c r="O45" s="1">
        <f>((IF(MIDTERM!$J$46=0,0,VLOOKUP(Tablo2[[#This Row],[Student No]],Tablo17[[STUDENT ID]:[DÇ10]],21,FALSE)/MIDTERM!$J$46))+(IF(FINAL!$J$46=0,0,VLOOKUP(Tablo2[[#This Row],[Student No]],Tablo1744[[STUDENT ID]:[DÇ10]],21,FALSE)/FINAL!$J$46))+(IF(HOMEWORK!$I$47=0,0,VLOOKUP(Tablo2[[#This Row],[Student No]],Tablo3[[Student No]:[DÇ10]],19,FALSE)/HOMEWORK!$I$47))+(IF(LAB!$Q$49=0,0,VLOOKUP(Tablo2[[#This Row],[Student No]],Tablo314[[Student No]:[DÇ10]],28,FALSE)/LAB!$Q$49)))/4</f>
        <v>0</v>
      </c>
      <c r="Q45" s="30">
        <v>8</v>
      </c>
      <c r="R45" s="36" t="s">
        <v>129</v>
      </c>
      <c r="S45" s="14">
        <f>Tablo413[[#This Row],[Midterm]]+Tablo413[[#This Row],[FINAL]]+Tablo413[[#This Row],[HOMEWORK]]+Tablo413[[#This Row],[LAB]]</f>
        <v>0</v>
      </c>
      <c r="T45" s="35">
        <f>MIDTERM!J44</f>
        <v>0</v>
      </c>
      <c r="U45" s="35">
        <f>FINAL!J44</f>
        <v>0</v>
      </c>
      <c r="V45" s="35">
        <f>Tablo163719[[#This Row],[TOPLAM]]</f>
        <v>0</v>
      </c>
      <c r="W45" s="35">
        <f>LAB!Q47</f>
        <v>0</v>
      </c>
    </row>
    <row r="46" spans="1:23" ht="15" x14ac:dyDescent="0.3">
      <c r="A46" s="66"/>
      <c r="B46" s="41">
        <v>10</v>
      </c>
      <c r="C46" s="1">
        <v>10</v>
      </c>
      <c r="D46" s="1" t="str">
        <f>VLOOKUP(Tablo2[[#This Row],[Student No]],Tablo1[[Student No]:[Surname]],2,FALSE)</f>
        <v>Name</v>
      </c>
      <c r="E46" s="1" t="str">
        <f>VLOOKUP(Tablo2[[#This Row],[Student No]],Tablo1[[Student No]:[Surname]],3,FALSE)</f>
        <v>Surname</v>
      </c>
      <c r="F46" s="1">
        <f>((IF(MIDTERM!$J$37=0,0,VLOOKUP(Tablo2[[#This Row],[Student No]],Tablo17[[STUDENT ID]:[DÇ10]],12,FALSE)/MIDTERM!$J$37))+(IF(FINAL!$J$37=0,0,VLOOKUP(Tablo2[[#This Row],[Student No]],Tablo1744[[STUDENT ID]:[DÇ10]],12,FALSE)/FINAL!$J$37))+(IF(HOMEWORK!$I$38=0,0,VLOOKUP(Tablo2[[#This Row],[Student No]],Tablo3[[Student No]:[DÇ10]],10,FALSE)/HOMEWORK!$I$38))+(IF(LAB!$Q$40=0,0,VLOOKUP(Tablo2[[#This Row],[Student No]],Tablo314[[Student No]:[DÇ10]],19,FALSE)/LAB!$Q$40)))/4</f>
        <v>0.52142857142857135</v>
      </c>
      <c r="G46" s="1">
        <f>((IF(MIDTERM!$J$38=0,0,VLOOKUP(Tablo2[[#This Row],[Student No]],Tablo17[[STUDENT ID]:[DÇ10]],13,FALSE)/MIDTERM!$J$38))+(IF(FINAL!$J$38=0,0,VLOOKUP(Tablo2[[#This Row],[Student No]],Tablo1744[[STUDENT ID]:[DÇ10]],13,FALSE)/FINAL!$J$38))+(IF(HOMEWORK!$I$39=0,0,VLOOKUP(Tablo2[[#This Row],[Student No]],Tablo3[[Student No]:[DÇ10]],11,FALSE)/HOMEWORK!$I$39))+(IF(LAB!$Q$41=0,0,VLOOKUP(Tablo2[[#This Row],[Student No]],Tablo314[[Student No]:[DÇ10]],20,FALSE)/LAB!$Q$41)))/4</f>
        <v>0.34812500000000002</v>
      </c>
      <c r="H46" s="62">
        <f>((IF(MIDTERM!$J$39=0,0,VLOOKUP(Tablo2[[#This Row],[Student No]],Tablo17[[STUDENT ID]:[DÇ10]],14,FALSE)/MIDTERM!$J$39))+(IF(FINAL!$J$39=0,0,VLOOKUP(Tablo2[[#This Row],[Student No]],Tablo1744[[STUDENT ID]:[DÇ10]],14,FALSE)/FINAL!$J$39))+(IF(HOMEWORK!$I$40=0,0,VLOOKUP(Tablo2[[#This Row],[Student No]],Tablo3[[Student No]:[DÇ10]],12,FALSE)/HOMEWORK!$I$40))+(IF(LAB!$Q$42=0,0,VLOOKUP(Tablo2[[#This Row],[Student No]],Tablo314[[Student No]:[DÇ10]],21,FALSE)/LAB!$Q$42)))/4</f>
        <v>0.55897727272727271</v>
      </c>
      <c r="I46" s="1">
        <f>((IF(MIDTERM!$J$40=0,0,VLOOKUP(Tablo2[[#This Row],[Student No]],Tablo17[[STUDENT ID]:[DÇ10]],15,FALSE)/MIDTERM!$J$40))+(IF(FINAL!$J$40=0,0,VLOOKUP(Tablo2[[#This Row],[Student No]],Tablo1744[[STUDENT ID]:[DÇ10]],15,FALSE)/FINAL!$J$40))+(IF(HOMEWORK!$I$41=0,0,VLOOKUP(Tablo2[[#This Row],[Student No]],Tablo3[[Student No]:[DÇ10]],13,FALSE)/HOMEWORK!$I$41))+(IF(LAB!$Q$43=0,0,VLOOKUP(Tablo2[[#This Row],[Student No]],Tablo314[[Student No]:[DÇ10]],22,FALSE)/LAB!$Q$43)))/4</f>
        <v>0.43005681818181818</v>
      </c>
      <c r="J46" s="1">
        <f>((IF(MIDTERM!$J$41=0,0,VLOOKUP(Tablo2[[#This Row],[Student No]],Tablo17[[STUDENT ID]:[DÇ10]],16,FALSE)/MIDTERM!$J$41))+(IF(FINAL!$J$41=0,0,VLOOKUP(Tablo2[[#This Row],[Student No]],Tablo1744[[STUDENT ID]:[DÇ10]],16,FALSE)/FINAL!$J$41))+(IF(HOMEWORK!$I$42=0,0,VLOOKUP(Tablo2[[#This Row],[Student No]],Tablo3[[Student No]:[DÇ10]],14,FALSE)/HOMEWORK!$I$42))+(IF(LAB!$Q$44=0,0,VLOOKUP(Tablo2[[#This Row],[Student No]],Tablo314[[Student No]:[DÇ10]],23,FALSE)/LAB!$Q$44)))/4</f>
        <v>0</v>
      </c>
      <c r="K46" s="1">
        <f>((IF(MIDTERM!$J$42=0,0,VLOOKUP(Tablo2[[#This Row],[Student No]],Tablo17[[STUDENT ID]:[DÇ10]],17,FALSE)/MIDTERM!$J$42))+(IF(FINAL!$J$42=0,0,VLOOKUP(Tablo2[[#This Row],[Student No]],Tablo1744[[STUDENT ID]:[DÇ10]],17,FALSE)/FINAL!$J$42))+(IF(HOMEWORK!$I$43=0,0,VLOOKUP(Tablo2[[#This Row],[Student No]],Tablo3[[Student No]:[DÇ10]],15,FALSE)/HOMEWORK!$I$43))+(IF(LAB!$Q$45=0,0,VLOOKUP(Tablo2[[#This Row],[Student No]],Tablo314[[Student No]:[DÇ10]],24,FALSE)/LAB!$Q$45)))/4</f>
        <v>0</v>
      </c>
      <c r="L46" s="1">
        <f>((IF(MIDTERM!$J$43=0,0,VLOOKUP(Tablo2[[#This Row],[Student No]],Tablo17[[STUDENT ID]:[DÇ10]],18,FALSE)/MIDTERM!$J$43))+(IF(FINAL!$J$43=0,0,VLOOKUP(Tablo2[[#This Row],[Student No]],Tablo1744[[STUDENT ID]:[DÇ10]],18,FALSE)/FINAL!$J$43))+(IF(HOMEWORK!$I$44=0,0,VLOOKUP(Tablo2[[#This Row],[Student No]],Tablo3[[Student No]:[DÇ10]],16,FALSE)/HOMEWORK!$I$44))+(IF(LAB!$Q$46=0,0,VLOOKUP(Tablo2[[#This Row],[Student No]],Tablo314[[Student No]:[DÇ10]],25,FALSE)/LAB!$Q$46)))/4</f>
        <v>0</v>
      </c>
      <c r="M46" s="1">
        <f>((IF(MIDTERM!$J$44=0,0,VLOOKUP(Tablo2[[#This Row],[Student No]],Tablo17[[STUDENT ID]:[DÇ10]],19,FALSE)/MIDTERM!$J$44))+(IF(FINAL!$J$44=0,0,VLOOKUP(Tablo2[[#This Row],[Student No]],Tablo1744[[STUDENT ID]:[DÇ10]],19,FALSE)/FINAL!$J$44))+(IF(HOMEWORK!$I$45=0,0,VLOOKUP(Tablo2[[#This Row],[Student No]],Tablo3[[Student No]:[DÇ10]],17,FALSE)/HOMEWORK!$I$45))+(IF(LAB!$Q$47=0,0,VLOOKUP(Tablo2[[#This Row],[Student No]],Tablo314[[Student No]:[DÇ10]],26,FALSE)/LAB!$Q$47)))/4</f>
        <v>0</v>
      </c>
      <c r="N46" s="1">
        <f>((IF(MIDTERM!$J$45=0,0,VLOOKUP(Tablo2[[#This Row],[Student No]],Tablo17[[STUDENT ID]:[DÇ10]],20,FALSE)/MIDTERM!$J$45))+(IF(FINAL!$J$45=0,0,VLOOKUP(Tablo2[[#This Row],[Student No]],Tablo1744[[STUDENT ID]:[DÇ10]],20,FALSE)/FINAL!$J$45))+(IF(HOMEWORK!$I$46=0,0,VLOOKUP(Tablo2[[#This Row],[Student No]],Tablo3[[Student No]:[DÇ10]],18,FALSE)/HOMEWORK!$I$46))+(IF(LAB!$Q$48=0,0,VLOOKUP(Tablo2[[#This Row],[Student No]],Tablo314[[Student No]:[DÇ10]],27,FALSE)/LAB!$Q$48)))/4</f>
        <v>0</v>
      </c>
      <c r="O46" s="1">
        <f>((IF(MIDTERM!$J$46=0,0,VLOOKUP(Tablo2[[#This Row],[Student No]],Tablo17[[STUDENT ID]:[DÇ10]],21,FALSE)/MIDTERM!$J$46))+(IF(FINAL!$J$46=0,0,VLOOKUP(Tablo2[[#This Row],[Student No]],Tablo1744[[STUDENT ID]:[DÇ10]],21,FALSE)/FINAL!$J$46))+(IF(HOMEWORK!$I$47=0,0,VLOOKUP(Tablo2[[#This Row],[Student No]],Tablo3[[Student No]:[DÇ10]],19,FALSE)/HOMEWORK!$I$47))+(IF(LAB!$Q$49=0,0,VLOOKUP(Tablo2[[#This Row],[Student No]],Tablo314[[Student No]:[DÇ10]],28,FALSE)/LAB!$Q$49)))/4</f>
        <v>0</v>
      </c>
      <c r="Q46" s="30">
        <v>9</v>
      </c>
      <c r="R46" s="36" t="s">
        <v>130</v>
      </c>
      <c r="S46" s="14">
        <f>Tablo413[[#This Row],[Midterm]]+Tablo413[[#This Row],[FINAL]]+Tablo413[[#This Row],[HOMEWORK]]+Tablo413[[#This Row],[LAB]]</f>
        <v>0</v>
      </c>
      <c r="T46" s="35">
        <f>MIDTERM!J45</f>
        <v>0</v>
      </c>
      <c r="U46" s="35">
        <f>FINAL!J45</f>
        <v>0</v>
      </c>
      <c r="V46" s="35">
        <f>Tablo163719[[#This Row],[TOPLAM]]</f>
        <v>0</v>
      </c>
      <c r="W46" s="35">
        <f>LAB!Q48</f>
        <v>0</v>
      </c>
    </row>
    <row r="47" spans="1:23" ht="15" x14ac:dyDescent="0.3">
      <c r="A47" s="66"/>
      <c r="B47" s="40">
        <v>11</v>
      </c>
      <c r="C47" s="1">
        <v>11</v>
      </c>
      <c r="D47" s="1" t="str">
        <f>VLOOKUP(Tablo2[[#This Row],[Student No]],Tablo1[[Student No]:[Surname]],2,FALSE)</f>
        <v>Name</v>
      </c>
      <c r="E47" s="1" t="str">
        <f>VLOOKUP(Tablo2[[#This Row],[Student No]],Tablo1[[Student No]:[Surname]],3,FALSE)</f>
        <v>Surname</v>
      </c>
      <c r="F47" s="1">
        <f>((IF(MIDTERM!$J$37=0,0,VLOOKUP(Tablo2[[#This Row],[Student No]],Tablo17[[STUDENT ID]:[DÇ10]],12,FALSE)/MIDTERM!$J$37))+(IF(FINAL!$J$37=0,0,VLOOKUP(Tablo2[[#This Row],[Student No]],Tablo1744[[STUDENT ID]:[DÇ10]],12,FALSE)/FINAL!$J$37))+(IF(HOMEWORK!$I$38=0,0,VLOOKUP(Tablo2[[#This Row],[Student No]],Tablo3[[Student No]:[DÇ10]],10,FALSE)/HOMEWORK!$I$38))+(IF(LAB!$Q$40=0,0,VLOOKUP(Tablo2[[#This Row],[Student No]],Tablo314[[Student No]:[DÇ10]],19,FALSE)/LAB!$Q$40)))/4</f>
        <v>0.48551587301587307</v>
      </c>
      <c r="G47" s="1">
        <f>((IF(MIDTERM!$J$38=0,0,VLOOKUP(Tablo2[[#This Row],[Student No]],Tablo17[[STUDENT ID]:[DÇ10]],13,FALSE)/MIDTERM!$J$38))+(IF(FINAL!$J$38=0,0,VLOOKUP(Tablo2[[#This Row],[Student No]],Tablo1744[[STUDENT ID]:[DÇ10]],13,FALSE)/FINAL!$J$38))+(IF(HOMEWORK!$I$39=0,0,VLOOKUP(Tablo2[[#This Row],[Student No]],Tablo3[[Student No]:[DÇ10]],11,FALSE)/HOMEWORK!$I$39))+(IF(LAB!$Q$41=0,0,VLOOKUP(Tablo2[[#This Row],[Student No]],Tablo314[[Student No]:[DÇ10]],20,FALSE)/LAB!$Q$41)))/4</f>
        <v>0.33499999999999996</v>
      </c>
      <c r="H47" s="62">
        <f>((IF(MIDTERM!$J$39=0,0,VLOOKUP(Tablo2[[#This Row],[Student No]],Tablo17[[STUDENT ID]:[DÇ10]],14,FALSE)/MIDTERM!$J$39))+(IF(FINAL!$J$39=0,0,VLOOKUP(Tablo2[[#This Row],[Student No]],Tablo1744[[STUDENT ID]:[DÇ10]],14,FALSE)/FINAL!$J$39))+(IF(HOMEWORK!$I$40=0,0,VLOOKUP(Tablo2[[#This Row],[Student No]],Tablo3[[Student No]:[DÇ10]],12,FALSE)/HOMEWORK!$I$40))+(IF(LAB!$Q$42=0,0,VLOOKUP(Tablo2[[#This Row],[Student No]],Tablo314[[Student No]:[DÇ10]],21,FALSE)/LAB!$Q$42)))/4</f>
        <v>0.60090909090909095</v>
      </c>
      <c r="I47" s="1">
        <f>((IF(MIDTERM!$J$40=0,0,VLOOKUP(Tablo2[[#This Row],[Student No]],Tablo17[[STUDENT ID]:[DÇ10]],15,FALSE)/MIDTERM!$J$40))+(IF(FINAL!$J$40=0,0,VLOOKUP(Tablo2[[#This Row],[Student No]],Tablo1744[[STUDENT ID]:[DÇ10]],15,FALSE)/FINAL!$J$40))+(IF(HOMEWORK!$I$41=0,0,VLOOKUP(Tablo2[[#This Row],[Student No]],Tablo3[[Student No]:[DÇ10]],13,FALSE)/HOMEWORK!$I$41))+(IF(LAB!$Q$43=0,0,VLOOKUP(Tablo2[[#This Row],[Student No]],Tablo314[[Student No]:[DÇ10]],22,FALSE)/LAB!$Q$43)))/4</f>
        <v>0.54710227272727274</v>
      </c>
      <c r="J47" s="1">
        <f>((IF(MIDTERM!$J$41=0,0,VLOOKUP(Tablo2[[#This Row],[Student No]],Tablo17[[STUDENT ID]:[DÇ10]],16,FALSE)/MIDTERM!$J$41))+(IF(FINAL!$J$41=0,0,VLOOKUP(Tablo2[[#This Row],[Student No]],Tablo1744[[STUDENT ID]:[DÇ10]],16,FALSE)/FINAL!$J$41))+(IF(HOMEWORK!$I$42=0,0,VLOOKUP(Tablo2[[#This Row],[Student No]],Tablo3[[Student No]:[DÇ10]],14,FALSE)/HOMEWORK!$I$42))+(IF(LAB!$Q$44=0,0,VLOOKUP(Tablo2[[#This Row],[Student No]],Tablo314[[Student No]:[DÇ10]],23,FALSE)/LAB!$Q$44)))/4</f>
        <v>0</v>
      </c>
      <c r="K47" s="1">
        <f>((IF(MIDTERM!$J$42=0,0,VLOOKUP(Tablo2[[#This Row],[Student No]],Tablo17[[STUDENT ID]:[DÇ10]],17,FALSE)/MIDTERM!$J$42))+(IF(FINAL!$J$42=0,0,VLOOKUP(Tablo2[[#This Row],[Student No]],Tablo1744[[STUDENT ID]:[DÇ10]],17,FALSE)/FINAL!$J$42))+(IF(HOMEWORK!$I$43=0,0,VLOOKUP(Tablo2[[#This Row],[Student No]],Tablo3[[Student No]:[DÇ10]],15,FALSE)/HOMEWORK!$I$43))+(IF(LAB!$Q$45=0,0,VLOOKUP(Tablo2[[#This Row],[Student No]],Tablo314[[Student No]:[DÇ10]],24,FALSE)/LAB!$Q$45)))/4</f>
        <v>0</v>
      </c>
      <c r="L47" s="1">
        <f>((IF(MIDTERM!$J$43=0,0,VLOOKUP(Tablo2[[#This Row],[Student No]],Tablo17[[STUDENT ID]:[DÇ10]],18,FALSE)/MIDTERM!$J$43))+(IF(FINAL!$J$43=0,0,VLOOKUP(Tablo2[[#This Row],[Student No]],Tablo1744[[STUDENT ID]:[DÇ10]],18,FALSE)/FINAL!$J$43))+(IF(HOMEWORK!$I$44=0,0,VLOOKUP(Tablo2[[#This Row],[Student No]],Tablo3[[Student No]:[DÇ10]],16,FALSE)/HOMEWORK!$I$44))+(IF(LAB!$Q$46=0,0,VLOOKUP(Tablo2[[#This Row],[Student No]],Tablo314[[Student No]:[DÇ10]],25,FALSE)/LAB!$Q$46)))/4</f>
        <v>0</v>
      </c>
      <c r="M47" s="1">
        <f>((IF(MIDTERM!$J$44=0,0,VLOOKUP(Tablo2[[#This Row],[Student No]],Tablo17[[STUDENT ID]:[DÇ10]],19,FALSE)/MIDTERM!$J$44))+(IF(FINAL!$J$44=0,0,VLOOKUP(Tablo2[[#This Row],[Student No]],Tablo1744[[STUDENT ID]:[DÇ10]],19,FALSE)/FINAL!$J$44))+(IF(HOMEWORK!$I$45=0,0,VLOOKUP(Tablo2[[#This Row],[Student No]],Tablo3[[Student No]:[DÇ10]],17,FALSE)/HOMEWORK!$I$45))+(IF(LAB!$Q$47=0,0,VLOOKUP(Tablo2[[#This Row],[Student No]],Tablo314[[Student No]:[DÇ10]],26,FALSE)/LAB!$Q$47)))/4</f>
        <v>0</v>
      </c>
      <c r="N47" s="1">
        <f>((IF(MIDTERM!$J$45=0,0,VLOOKUP(Tablo2[[#This Row],[Student No]],Tablo17[[STUDENT ID]:[DÇ10]],20,FALSE)/MIDTERM!$J$45))+(IF(FINAL!$J$45=0,0,VLOOKUP(Tablo2[[#This Row],[Student No]],Tablo1744[[STUDENT ID]:[DÇ10]],20,FALSE)/FINAL!$J$45))+(IF(HOMEWORK!$I$46=0,0,VLOOKUP(Tablo2[[#This Row],[Student No]],Tablo3[[Student No]:[DÇ10]],18,FALSE)/HOMEWORK!$I$46))+(IF(LAB!$Q$48=0,0,VLOOKUP(Tablo2[[#This Row],[Student No]],Tablo314[[Student No]:[DÇ10]],27,FALSE)/LAB!$Q$48)))/4</f>
        <v>0</v>
      </c>
      <c r="O47" s="1">
        <f>((IF(MIDTERM!$J$46=0,0,VLOOKUP(Tablo2[[#This Row],[Student No]],Tablo17[[STUDENT ID]:[DÇ10]],21,FALSE)/MIDTERM!$J$46))+(IF(FINAL!$J$46=0,0,VLOOKUP(Tablo2[[#This Row],[Student No]],Tablo1744[[STUDENT ID]:[DÇ10]],21,FALSE)/FINAL!$J$46))+(IF(HOMEWORK!$I$47=0,0,VLOOKUP(Tablo2[[#This Row],[Student No]],Tablo3[[Student No]:[DÇ10]],19,FALSE)/HOMEWORK!$I$47))+(IF(LAB!$Q$49=0,0,VLOOKUP(Tablo2[[#This Row],[Student No]],Tablo314[[Student No]:[DÇ10]],28,FALSE)/LAB!$Q$49)))/4</f>
        <v>0</v>
      </c>
      <c r="Q47" s="30">
        <v>10</v>
      </c>
      <c r="R47" s="36" t="s">
        <v>131</v>
      </c>
      <c r="S47" s="14">
        <f>Tablo413[[#This Row],[Midterm]]+Tablo413[[#This Row],[FINAL]]+Tablo413[[#This Row],[HOMEWORK]]+Tablo413[[#This Row],[LAB]]</f>
        <v>0</v>
      </c>
      <c r="T47" s="35">
        <f>MIDTERM!J46</f>
        <v>0</v>
      </c>
      <c r="U47" s="35">
        <f>FINAL!J46</f>
        <v>0</v>
      </c>
      <c r="V47" s="35">
        <f>Tablo163719[[#This Row],[TOPLAM]]</f>
        <v>0</v>
      </c>
      <c r="W47" s="35">
        <f>LAB!Q49</f>
        <v>0</v>
      </c>
    </row>
    <row r="48" spans="1:23" ht="15" x14ac:dyDescent="0.3">
      <c r="A48" s="66"/>
      <c r="B48" s="41">
        <v>12</v>
      </c>
      <c r="C48" s="1">
        <v>12</v>
      </c>
      <c r="D48" s="1" t="str">
        <f>VLOOKUP(Tablo2[[#This Row],[Student No]],Tablo1[[Student No]:[Surname]],2,FALSE)</f>
        <v>Name</v>
      </c>
      <c r="E48" s="1" t="str">
        <f>VLOOKUP(Tablo2[[#This Row],[Student No]],Tablo1[[Student No]:[Surname]],3,FALSE)</f>
        <v>Surname</v>
      </c>
      <c r="F48" s="1">
        <f>((IF(MIDTERM!$J$37=0,0,VLOOKUP(Tablo2[[#This Row],[Student No]],Tablo17[[STUDENT ID]:[DÇ10]],12,FALSE)/MIDTERM!$J$37))+(IF(FINAL!$J$37=0,0,VLOOKUP(Tablo2[[#This Row],[Student No]],Tablo1744[[STUDENT ID]:[DÇ10]],12,FALSE)/FINAL!$J$37))+(IF(HOMEWORK!$I$38=0,0,VLOOKUP(Tablo2[[#This Row],[Student No]],Tablo3[[Student No]:[DÇ10]],10,FALSE)/HOMEWORK!$I$38))+(IF(LAB!$Q$40=0,0,VLOOKUP(Tablo2[[#This Row],[Student No]],Tablo314[[Student No]:[DÇ10]],19,FALSE)/LAB!$Q$40)))/4</f>
        <v>0.53361111111111115</v>
      </c>
      <c r="G48" s="1">
        <f>((IF(MIDTERM!$J$38=0,0,VLOOKUP(Tablo2[[#This Row],[Student No]],Tablo17[[STUDENT ID]:[DÇ10]],13,FALSE)/MIDTERM!$J$38))+(IF(FINAL!$J$38=0,0,VLOOKUP(Tablo2[[#This Row],[Student No]],Tablo1744[[STUDENT ID]:[DÇ10]],13,FALSE)/FINAL!$J$38))+(IF(HOMEWORK!$I$39=0,0,VLOOKUP(Tablo2[[#This Row],[Student No]],Tablo3[[Student No]:[DÇ10]],11,FALSE)/HOMEWORK!$I$39))+(IF(LAB!$Q$41=0,0,VLOOKUP(Tablo2[[#This Row],[Student No]],Tablo314[[Student No]:[DÇ10]],20,FALSE)/LAB!$Q$41)))/4</f>
        <v>0.31041666666666662</v>
      </c>
      <c r="H48" s="62">
        <f>((IF(MIDTERM!$J$39=0,0,VLOOKUP(Tablo2[[#This Row],[Student No]],Tablo17[[STUDENT ID]:[DÇ10]],14,FALSE)/MIDTERM!$J$39))+(IF(FINAL!$J$39=0,0,VLOOKUP(Tablo2[[#This Row],[Student No]],Tablo1744[[STUDENT ID]:[DÇ10]],14,FALSE)/FINAL!$J$39))+(IF(HOMEWORK!$I$40=0,0,VLOOKUP(Tablo2[[#This Row],[Student No]],Tablo3[[Student No]:[DÇ10]],12,FALSE)/HOMEWORK!$I$40))+(IF(LAB!$Q$42=0,0,VLOOKUP(Tablo2[[#This Row],[Student No]],Tablo314[[Student No]:[DÇ10]],21,FALSE)/LAB!$Q$42)))/4</f>
        <v>0.54886363636363633</v>
      </c>
      <c r="I48" s="1">
        <f>((IF(MIDTERM!$J$40=0,0,VLOOKUP(Tablo2[[#This Row],[Student No]],Tablo17[[STUDENT ID]:[DÇ10]],15,FALSE)/MIDTERM!$J$40))+(IF(FINAL!$J$40=0,0,VLOOKUP(Tablo2[[#This Row],[Student No]],Tablo1744[[STUDENT ID]:[DÇ10]],15,FALSE)/FINAL!$J$40))+(IF(HOMEWORK!$I$41=0,0,VLOOKUP(Tablo2[[#This Row],[Student No]],Tablo3[[Student No]:[DÇ10]],13,FALSE)/HOMEWORK!$I$41))+(IF(LAB!$Q$43=0,0,VLOOKUP(Tablo2[[#This Row],[Student No]],Tablo314[[Student No]:[DÇ10]],22,FALSE)/LAB!$Q$43)))/4</f>
        <v>0.39761363636363639</v>
      </c>
      <c r="J48" s="1">
        <f>((IF(MIDTERM!$J$41=0,0,VLOOKUP(Tablo2[[#This Row],[Student No]],Tablo17[[STUDENT ID]:[DÇ10]],16,FALSE)/MIDTERM!$J$41))+(IF(FINAL!$J$41=0,0,VLOOKUP(Tablo2[[#This Row],[Student No]],Tablo1744[[STUDENT ID]:[DÇ10]],16,FALSE)/FINAL!$J$41))+(IF(HOMEWORK!$I$42=0,0,VLOOKUP(Tablo2[[#This Row],[Student No]],Tablo3[[Student No]:[DÇ10]],14,FALSE)/HOMEWORK!$I$42))+(IF(LAB!$Q$44=0,0,VLOOKUP(Tablo2[[#This Row],[Student No]],Tablo314[[Student No]:[DÇ10]],23,FALSE)/LAB!$Q$44)))/4</f>
        <v>0</v>
      </c>
      <c r="K48" s="1">
        <f>((IF(MIDTERM!$J$42=0,0,VLOOKUP(Tablo2[[#This Row],[Student No]],Tablo17[[STUDENT ID]:[DÇ10]],17,FALSE)/MIDTERM!$J$42))+(IF(FINAL!$J$42=0,0,VLOOKUP(Tablo2[[#This Row],[Student No]],Tablo1744[[STUDENT ID]:[DÇ10]],17,FALSE)/FINAL!$J$42))+(IF(HOMEWORK!$I$43=0,0,VLOOKUP(Tablo2[[#This Row],[Student No]],Tablo3[[Student No]:[DÇ10]],15,FALSE)/HOMEWORK!$I$43))+(IF(LAB!$Q$45=0,0,VLOOKUP(Tablo2[[#This Row],[Student No]],Tablo314[[Student No]:[DÇ10]],24,FALSE)/LAB!$Q$45)))/4</f>
        <v>0</v>
      </c>
      <c r="L48" s="1">
        <f>((IF(MIDTERM!$J$43=0,0,VLOOKUP(Tablo2[[#This Row],[Student No]],Tablo17[[STUDENT ID]:[DÇ10]],18,FALSE)/MIDTERM!$J$43))+(IF(FINAL!$J$43=0,0,VLOOKUP(Tablo2[[#This Row],[Student No]],Tablo1744[[STUDENT ID]:[DÇ10]],18,FALSE)/FINAL!$J$43))+(IF(HOMEWORK!$I$44=0,0,VLOOKUP(Tablo2[[#This Row],[Student No]],Tablo3[[Student No]:[DÇ10]],16,FALSE)/HOMEWORK!$I$44))+(IF(LAB!$Q$46=0,0,VLOOKUP(Tablo2[[#This Row],[Student No]],Tablo314[[Student No]:[DÇ10]],25,FALSE)/LAB!$Q$46)))/4</f>
        <v>0</v>
      </c>
      <c r="M48" s="1">
        <f>((IF(MIDTERM!$J$44=0,0,VLOOKUP(Tablo2[[#This Row],[Student No]],Tablo17[[STUDENT ID]:[DÇ10]],19,FALSE)/MIDTERM!$J$44))+(IF(FINAL!$J$44=0,0,VLOOKUP(Tablo2[[#This Row],[Student No]],Tablo1744[[STUDENT ID]:[DÇ10]],19,FALSE)/FINAL!$J$44))+(IF(HOMEWORK!$I$45=0,0,VLOOKUP(Tablo2[[#This Row],[Student No]],Tablo3[[Student No]:[DÇ10]],17,FALSE)/HOMEWORK!$I$45))+(IF(LAB!$Q$47=0,0,VLOOKUP(Tablo2[[#This Row],[Student No]],Tablo314[[Student No]:[DÇ10]],26,FALSE)/LAB!$Q$47)))/4</f>
        <v>0</v>
      </c>
      <c r="N48" s="1">
        <f>((IF(MIDTERM!$J$45=0,0,VLOOKUP(Tablo2[[#This Row],[Student No]],Tablo17[[STUDENT ID]:[DÇ10]],20,FALSE)/MIDTERM!$J$45))+(IF(FINAL!$J$45=0,0,VLOOKUP(Tablo2[[#This Row],[Student No]],Tablo1744[[STUDENT ID]:[DÇ10]],20,FALSE)/FINAL!$J$45))+(IF(HOMEWORK!$I$46=0,0,VLOOKUP(Tablo2[[#This Row],[Student No]],Tablo3[[Student No]:[DÇ10]],18,FALSE)/HOMEWORK!$I$46))+(IF(LAB!$Q$48=0,0,VLOOKUP(Tablo2[[#This Row],[Student No]],Tablo314[[Student No]:[DÇ10]],27,FALSE)/LAB!$Q$48)))/4</f>
        <v>0</v>
      </c>
      <c r="O48" s="1">
        <f>((IF(MIDTERM!$J$46=0,0,VLOOKUP(Tablo2[[#This Row],[Student No]],Tablo17[[STUDENT ID]:[DÇ10]],21,FALSE)/MIDTERM!$J$46))+(IF(FINAL!$J$46=0,0,VLOOKUP(Tablo2[[#This Row],[Student No]],Tablo1744[[STUDENT ID]:[DÇ10]],21,FALSE)/FINAL!$J$46))+(IF(HOMEWORK!$I$47=0,0,VLOOKUP(Tablo2[[#This Row],[Student No]],Tablo3[[Student No]:[DÇ10]],19,FALSE)/HOMEWORK!$I$47))+(IF(LAB!$Q$49=0,0,VLOOKUP(Tablo2[[#This Row],[Student No]],Tablo314[[Student No]:[DÇ10]],28,FALSE)/LAB!$Q$49)))/4</f>
        <v>0</v>
      </c>
    </row>
    <row r="49" spans="1:23" ht="15" x14ac:dyDescent="0.3">
      <c r="A49" s="66"/>
      <c r="B49" s="40">
        <v>13</v>
      </c>
      <c r="C49" s="1">
        <v>13</v>
      </c>
      <c r="D49" s="1" t="str">
        <f>VLOOKUP(Tablo2[[#This Row],[Student No]],Tablo1[[Student No]:[Surname]],2,FALSE)</f>
        <v>Name</v>
      </c>
      <c r="E49" s="1" t="str">
        <f>VLOOKUP(Tablo2[[#This Row],[Student No]],Tablo1[[Student No]:[Surname]],3,FALSE)</f>
        <v>Surname</v>
      </c>
      <c r="F49" s="1">
        <f>((IF(MIDTERM!$J$37=0,0,VLOOKUP(Tablo2[[#This Row],[Student No]],Tablo17[[STUDENT ID]:[DÇ10]],12,FALSE)/MIDTERM!$J$37))+(IF(FINAL!$J$37=0,0,VLOOKUP(Tablo2[[#This Row],[Student No]],Tablo1744[[STUDENT ID]:[DÇ10]],12,FALSE)/FINAL!$J$37))+(IF(HOMEWORK!$I$38=0,0,VLOOKUP(Tablo2[[#This Row],[Student No]],Tablo3[[Student No]:[DÇ10]],10,FALSE)/HOMEWORK!$I$38))+(IF(LAB!$Q$40=0,0,VLOOKUP(Tablo2[[#This Row],[Student No]],Tablo314[[Student No]:[DÇ10]],19,FALSE)/LAB!$Q$40)))/4</f>
        <v>0.52575396825396825</v>
      </c>
      <c r="G49" s="1">
        <f>((IF(MIDTERM!$J$38=0,0,VLOOKUP(Tablo2[[#This Row],[Student No]],Tablo17[[STUDENT ID]:[DÇ10]],13,FALSE)/MIDTERM!$J$38))+(IF(FINAL!$J$38=0,0,VLOOKUP(Tablo2[[#This Row],[Student No]],Tablo1744[[STUDENT ID]:[DÇ10]],13,FALSE)/FINAL!$J$38))+(IF(HOMEWORK!$I$39=0,0,VLOOKUP(Tablo2[[#This Row],[Student No]],Tablo3[[Student No]:[DÇ10]],11,FALSE)/HOMEWORK!$I$39))+(IF(LAB!$Q$41=0,0,VLOOKUP(Tablo2[[#This Row],[Student No]],Tablo314[[Student No]:[DÇ10]],20,FALSE)/LAB!$Q$41)))/4</f>
        <v>0.42479166666666668</v>
      </c>
      <c r="H49" s="62">
        <f>((IF(MIDTERM!$J$39=0,0,VLOOKUP(Tablo2[[#This Row],[Student No]],Tablo17[[STUDENT ID]:[DÇ10]],14,FALSE)/MIDTERM!$J$39))+(IF(FINAL!$J$39=0,0,VLOOKUP(Tablo2[[#This Row],[Student No]],Tablo1744[[STUDENT ID]:[DÇ10]],14,FALSE)/FINAL!$J$39))+(IF(HOMEWORK!$I$40=0,0,VLOOKUP(Tablo2[[#This Row],[Student No]],Tablo3[[Student No]:[DÇ10]],12,FALSE)/HOMEWORK!$I$40))+(IF(LAB!$Q$42=0,0,VLOOKUP(Tablo2[[#This Row],[Student No]],Tablo314[[Student No]:[DÇ10]],21,FALSE)/LAB!$Q$42)))/4</f>
        <v>0.6960984848484848</v>
      </c>
      <c r="I49" s="1">
        <f>((IF(MIDTERM!$J$40=0,0,VLOOKUP(Tablo2[[#This Row],[Student No]],Tablo17[[STUDENT ID]:[DÇ10]],15,FALSE)/MIDTERM!$J$40))+(IF(FINAL!$J$40=0,0,VLOOKUP(Tablo2[[#This Row],[Student No]],Tablo1744[[STUDENT ID]:[DÇ10]],15,FALSE)/FINAL!$J$40))+(IF(HOMEWORK!$I$41=0,0,VLOOKUP(Tablo2[[#This Row],[Student No]],Tablo3[[Student No]:[DÇ10]],13,FALSE)/HOMEWORK!$I$41))+(IF(LAB!$Q$43=0,0,VLOOKUP(Tablo2[[#This Row],[Student No]],Tablo314[[Student No]:[DÇ10]],22,FALSE)/LAB!$Q$43)))/4</f>
        <v>0.53321969696969695</v>
      </c>
      <c r="J49" s="1">
        <f>((IF(MIDTERM!$J$41=0,0,VLOOKUP(Tablo2[[#This Row],[Student No]],Tablo17[[STUDENT ID]:[DÇ10]],16,FALSE)/MIDTERM!$J$41))+(IF(FINAL!$J$41=0,0,VLOOKUP(Tablo2[[#This Row],[Student No]],Tablo1744[[STUDENT ID]:[DÇ10]],16,FALSE)/FINAL!$J$41))+(IF(HOMEWORK!$I$42=0,0,VLOOKUP(Tablo2[[#This Row],[Student No]],Tablo3[[Student No]:[DÇ10]],14,FALSE)/HOMEWORK!$I$42))+(IF(LAB!$Q$44=0,0,VLOOKUP(Tablo2[[#This Row],[Student No]],Tablo314[[Student No]:[DÇ10]],23,FALSE)/LAB!$Q$44)))/4</f>
        <v>0</v>
      </c>
      <c r="K49" s="1">
        <f>((IF(MIDTERM!$J$42=0,0,VLOOKUP(Tablo2[[#This Row],[Student No]],Tablo17[[STUDENT ID]:[DÇ10]],17,FALSE)/MIDTERM!$J$42))+(IF(FINAL!$J$42=0,0,VLOOKUP(Tablo2[[#This Row],[Student No]],Tablo1744[[STUDENT ID]:[DÇ10]],17,FALSE)/FINAL!$J$42))+(IF(HOMEWORK!$I$43=0,0,VLOOKUP(Tablo2[[#This Row],[Student No]],Tablo3[[Student No]:[DÇ10]],15,FALSE)/HOMEWORK!$I$43))+(IF(LAB!$Q$45=0,0,VLOOKUP(Tablo2[[#This Row],[Student No]],Tablo314[[Student No]:[DÇ10]],24,FALSE)/LAB!$Q$45)))/4</f>
        <v>0</v>
      </c>
      <c r="L49" s="1">
        <f>((IF(MIDTERM!$J$43=0,0,VLOOKUP(Tablo2[[#This Row],[Student No]],Tablo17[[STUDENT ID]:[DÇ10]],18,FALSE)/MIDTERM!$J$43))+(IF(FINAL!$J$43=0,0,VLOOKUP(Tablo2[[#This Row],[Student No]],Tablo1744[[STUDENT ID]:[DÇ10]],18,FALSE)/FINAL!$J$43))+(IF(HOMEWORK!$I$44=0,0,VLOOKUP(Tablo2[[#This Row],[Student No]],Tablo3[[Student No]:[DÇ10]],16,FALSE)/HOMEWORK!$I$44))+(IF(LAB!$Q$46=0,0,VLOOKUP(Tablo2[[#This Row],[Student No]],Tablo314[[Student No]:[DÇ10]],25,FALSE)/LAB!$Q$46)))/4</f>
        <v>0</v>
      </c>
      <c r="M49" s="1">
        <f>((IF(MIDTERM!$J$44=0,0,VLOOKUP(Tablo2[[#This Row],[Student No]],Tablo17[[STUDENT ID]:[DÇ10]],19,FALSE)/MIDTERM!$J$44))+(IF(FINAL!$J$44=0,0,VLOOKUP(Tablo2[[#This Row],[Student No]],Tablo1744[[STUDENT ID]:[DÇ10]],19,FALSE)/FINAL!$J$44))+(IF(HOMEWORK!$I$45=0,0,VLOOKUP(Tablo2[[#This Row],[Student No]],Tablo3[[Student No]:[DÇ10]],17,FALSE)/HOMEWORK!$I$45))+(IF(LAB!$Q$47=0,0,VLOOKUP(Tablo2[[#This Row],[Student No]],Tablo314[[Student No]:[DÇ10]],26,FALSE)/LAB!$Q$47)))/4</f>
        <v>0</v>
      </c>
      <c r="N49" s="1">
        <f>((IF(MIDTERM!$J$45=0,0,VLOOKUP(Tablo2[[#This Row],[Student No]],Tablo17[[STUDENT ID]:[DÇ10]],20,FALSE)/MIDTERM!$J$45))+(IF(FINAL!$J$45=0,0,VLOOKUP(Tablo2[[#This Row],[Student No]],Tablo1744[[STUDENT ID]:[DÇ10]],20,FALSE)/FINAL!$J$45))+(IF(HOMEWORK!$I$46=0,0,VLOOKUP(Tablo2[[#This Row],[Student No]],Tablo3[[Student No]:[DÇ10]],18,FALSE)/HOMEWORK!$I$46))+(IF(LAB!$Q$48=0,0,VLOOKUP(Tablo2[[#This Row],[Student No]],Tablo314[[Student No]:[DÇ10]],27,FALSE)/LAB!$Q$48)))/4</f>
        <v>0</v>
      </c>
      <c r="O49" s="1">
        <f>((IF(MIDTERM!$J$46=0,0,VLOOKUP(Tablo2[[#This Row],[Student No]],Tablo17[[STUDENT ID]:[DÇ10]],21,FALSE)/MIDTERM!$J$46))+(IF(FINAL!$J$46=0,0,VLOOKUP(Tablo2[[#This Row],[Student No]],Tablo1744[[STUDENT ID]:[DÇ10]],21,FALSE)/FINAL!$J$46))+(IF(HOMEWORK!$I$47=0,0,VLOOKUP(Tablo2[[#This Row],[Student No]],Tablo3[[Student No]:[DÇ10]],19,FALSE)/HOMEWORK!$I$47))+(IF(LAB!$Q$49=0,0,VLOOKUP(Tablo2[[#This Row],[Student No]],Tablo314[[Student No]:[DÇ10]],28,FALSE)/LAB!$Q$49)))/4</f>
        <v>0</v>
      </c>
      <c r="Q49" s="116" t="s">
        <v>132</v>
      </c>
      <c r="R49" s="116"/>
      <c r="S49" s="116"/>
      <c r="T49" s="116"/>
      <c r="U49" s="116"/>
      <c r="V49" s="116"/>
      <c r="W49" s="116"/>
    </row>
    <row r="50" spans="1:23" ht="15.6" x14ac:dyDescent="0.3">
      <c r="A50" s="66"/>
      <c r="B50" s="41">
        <v>14</v>
      </c>
      <c r="C50" s="1">
        <v>14</v>
      </c>
      <c r="D50" s="1" t="str">
        <f>VLOOKUP(Tablo2[[#This Row],[Student No]],Tablo1[[Student No]:[Surname]],2,FALSE)</f>
        <v>Name</v>
      </c>
      <c r="E50" s="1" t="str">
        <f>VLOOKUP(Tablo2[[#This Row],[Student No]],Tablo1[[Student No]:[Surname]],3,FALSE)</f>
        <v>Surname</v>
      </c>
      <c r="F50" s="1">
        <f>((IF(MIDTERM!$J$37=0,0,VLOOKUP(Tablo2[[#This Row],[Student No]],Tablo17[[STUDENT ID]:[DÇ10]],12,FALSE)/MIDTERM!$J$37))+(IF(FINAL!$J$37=0,0,VLOOKUP(Tablo2[[#This Row],[Student No]],Tablo1744[[STUDENT ID]:[DÇ10]],12,FALSE)/FINAL!$J$37))+(IF(HOMEWORK!$I$38=0,0,VLOOKUP(Tablo2[[#This Row],[Student No]],Tablo3[[Student No]:[DÇ10]],10,FALSE)/HOMEWORK!$I$38))+(IF(LAB!$Q$40=0,0,VLOOKUP(Tablo2[[#This Row],[Student No]],Tablo314[[Student No]:[DÇ10]],19,FALSE)/LAB!$Q$40)))/4</f>
        <v>0.49880952380952387</v>
      </c>
      <c r="G50" s="1">
        <f>((IF(MIDTERM!$J$38=0,0,VLOOKUP(Tablo2[[#This Row],[Student No]],Tablo17[[STUDENT ID]:[DÇ10]],13,FALSE)/MIDTERM!$J$38))+(IF(FINAL!$J$38=0,0,VLOOKUP(Tablo2[[#This Row],[Student No]],Tablo1744[[STUDENT ID]:[DÇ10]],13,FALSE)/FINAL!$J$38))+(IF(HOMEWORK!$I$39=0,0,VLOOKUP(Tablo2[[#This Row],[Student No]],Tablo3[[Student No]:[DÇ10]],11,FALSE)/HOMEWORK!$I$39))+(IF(LAB!$Q$41=0,0,VLOOKUP(Tablo2[[#This Row],[Student No]],Tablo314[[Student No]:[DÇ10]],20,FALSE)/LAB!$Q$41)))/4</f>
        <v>0.45104166666666662</v>
      </c>
      <c r="H50" s="62">
        <f>((IF(MIDTERM!$J$39=0,0,VLOOKUP(Tablo2[[#This Row],[Student No]],Tablo17[[STUDENT ID]:[DÇ10]],14,FALSE)/MIDTERM!$J$39))+(IF(FINAL!$J$39=0,0,VLOOKUP(Tablo2[[#This Row],[Student No]],Tablo1744[[STUDENT ID]:[DÇ10]],14,FALSE)/FINAL!$J$39))+(IF(HOMEWORK!$I$40=0,0,VLOOKUP(Tablo2[[#This Row],[Student No]],Tablo3[[Student No]:[DÇ10]],12,FALSE)/HOMEWORK!$I$40))+(IF(LAB!$Q$42=0,0,VLOOKUP(Tablo2[[#This Row],[Student No]],Tablo314[[Student No]:[DÇ10]],21,FALSE)/LAB!$Q$42)))/4</f>
        <v>0.5560984848484849</v>
      </c>
      <c r="I50" s="1">
        <f>((IF(MIDTERM!$J$40=0,0,VLOOKUP(Tablo2[[#This Row],[Student No]],Tablo17[[STUDENT ID]:[DÇ10]],15,FALSE)/MIDTERM!$J$40))+(IF(FINAL!$J$40=0,0,VLOOKUP(Tablo2[[#This Row],[Student No]],Tablo1744[[STUDENT ID]:[DÇ10]],15,FALSE)/FINAL!$J$40))+(IF(HOMEWORK!$I$41=0,0,VLOOKUP(Tablo2[[#This Row],[Student No]],Tablo3[[Student No]:[DÇ10]],13,FALSE)/HOMEWORK!$I$41))+(IF(LAB!$Q$43=0,0,VLOOKUP(Tablo2[[#This Row],[Student No]],Tablo314[[Student No]:[DÇ10]],22,FALSE)/LAB!$Q$43)))/4</f>
        <v>0.45765151515151514</v>
      </c>
      <c r="J50" s="1">
        <f>((IF(MIDTERM!$J$41=0,0,VLOOKUP(Tablo2[[#This Row],[Student No]],Tablo17[[STUDENT ID]:[DÇ10]],16,FALSE)/MIDTERM!$J$41))+(IF(FINAL!$J$41=0,0,VLOOKUP(Tablo2[[#This Row],[Student No]],Tablo1744[[STUDENT ID]:[DÇ10]],16,FALSE)/FINAL!$J$41))+(IF(HOMEWORK!$I$42=0,0,VLOOKUP(Tablo2[[#This Row],[Student No]],Tablo3[[Student No]:[DÇ10]],14,FALSE)/HOMEWORK!$I$42))+(IF(LAB!$Q$44=0,0,VLOOKUP(Tablo2[[#This Row],[Student No]],Tablo314[[Student No]:[DÇ10]],23,FALSE)/LAB!$Q$44)))/4</f>
        <v>0</v>
      </c>
      <c r="K50" s="1">
        <f>((IF(MIDTERM!$J$42=0,0,VLOOKUP(Tablo2[[#This Row],[Student No]],Tablo17[[STUDENT ID]:[DÇ10]],17,FALSE)/MIDTERM!$J$42))+(IF(FINAL!$J$42=0,0,VLOOKUP(Tablo2[[#This Row],[Student No]],Tablo1744[[STUDENT ID]:[DÇ10]],17,FALSE)/FINAL!$J$42))+(IF(HOMEWORK!$I$43=0,0,VLOOKUP(Tablo2[[#This Row],[Student No]],Tablo3[[Student No]:[DÇ10]],15,FALSE)/HOMEWORK!$I$43))+(IF(LAB!$Q$45=0,0,VLOOKUP(Tablo2[[#This Row],[Student No]],Tablo314[[Student No]:[DÇ10]],24,FALSE)/LAB!$Q$45)))/4</f>
        <v>0</v>
      </c>
      <c r="L50" s="1">
        <f>((IF(MIDTERM!$J$43=0,0,VLOOKUP(Tablo2[[#This Row],[Student No]],Tablo17[[STUDENT ID]:[DÇ10]],18,FALSE)/MIDTERM!$J$43))+(IF(FINAL!$J$43=0,0,VLOOKUP(Tablo2[[#This Row],[Student No]],Tablo1744[[STUDENT ID]:[DÇ10]],18,FALSE)/FINAL!$J$43))+(IF(HOMEWORK!$I$44=0,0,VLOOKUP(Tablo2[[#This Row],[Student No]],Tablo3[[Student No]:[DÇ10]],16,FALSE)/HOMEWORK!$I$44))+(IF(LAB!$Q$46=0,0,VLOOKUP(Tablo2[[#This Row],[Student No]],Tablo314[[Student No]:[DÇ10]],25,FALSE)/LAB!$Q$46)))/4</f>
        <v>0</v>
      </c>
      <c r="M50" s="1">
        <f>((IF(MIDTERM!$J$44=0,0,VLOOKUP(Tablo2[[#This Row],[Student No]],Tablo17[[STUDENT ID]:[DÇ10]],19,FALSE)/MIDTERM!$J$44))+(IF(FINAL!$J$44=0,0,VLOOKUP(Tablo2[[#This Row],[Student No]],Tablo1744[[STUDENT ID]:[DÇ10]],19,FALSE)/FINAL!$J$44))+(IF(HOMEWORK!$I$45=0,0,VLOOKUP(Tablo2[[#This Row],[Student No]],Tablo3[[Student No]:[DÇ10]],17,FALSE)/HOMEWORK!$I$45))+(IF(LAB!$Q$47=0,0,VLOOKUP(Tablo2[[#This Row],[Student No]],Tablo314[[Student No]:[DÇ10]],26,FALSE)/LAB!$Q$47)))/4</f>
        <v>0</v>
      </c>
      <c r="N50" s="1">
        <f>((IF(MIDTERM!$J$45=0,0,VLOOKUP(Tablo2[[#This Row],[Student No]],Tablo17[[STUDENT ID]:[DÇ10]],20,FALSE)/MIDTERM!$J$45))+(IF(FINAL!$J$45=0,0,VLOOKUP(Tablo2[[#This Row],[Student No]],Tablo1744[[STUDENT ID]:[DÇ10]],20,FALSE)/FINAL!$J$45))+(IF(HOMEWORK!$I$46=0,0,VLOOKUP(Tablo2[[#This Row],[Student No]],Tablo3[[Student No]:[DÇ10]],18,FALSE)/HOMEWORK!$I$46))+(IF(LAB!$Q$48=0,0,VLOOKUP(Tablo2[[#This Row],[Student No]],Tablo314[[Student No]:[DÇ10]],27,FALSE)/LAB!$Q$48)))/4</f>
        <v>0</v>
      </c>
      <c r="O50" s="1">
        <f>((IF(MIDTERM!$J$46=0,0,VLOOKUP(Tablo2[[#This Row],[Student No]],Tablo17[[STUDENT ID]:[DÇ10]],21,FALSE)/MIDTERM!$J$46))+(IF(FINAL!$J$46=0,0,VLOOKUP(Tablo2[[#This Row],[Student No]],Tablo1744[[STUDENT ID]:[DÇ10]],21,FALSE)/FINAL!$J$46))+(IF(HOMEWORK!$I$47=0,0,VLOOKUP(Tablo2[[#This Row],[Student No]],Tablo3[[Student No]:[DÇ10]],19,FALSE)/HOMEWORK!$I$47))+(IF(LAB!$Q$49=0,0,VLOOKUP(Tablo2[[#This Row],[Student No]],Tablo314[[Student No]:[DÇ10]],28,FALSE)/LAB!$Q$49)))/4</f>
        <v>0</v>
      </c>
      <c r="Q50" s="11" t="s">
        <v>77</v>
      </c>
      <c r="R50" s="11" t="s">
        <v>78</v>
      </c>
      <c r="S50" s="2" t="s">
        <v>4</v>
      </c>
      <c r="T50" s="2" t="s">
        <v>1</v>
      </c>
      <c r="U50" s="2" t="s">
        <v>2</v>
      </c>
      <c r="V50" s="2" t="s">
        <v>3</v>
      </c>
      <c r="W50" s="68" t="s">
        <v>133</v>
      </c>
    </row>
    <row r="51" spans="1:23" ht="15" x14ac:dyDescent="0.3">
      <c r="A51" s="66"/>
      <c r="B51" s="40">
        <v>15</v>
      </c>
      <c r="C51" s="1">
        <v>15</v>
      </c>
      <c r="D51" s="1" t="str">
        <f>VLOOKUP(Tablo2[[#This Row],[Student No]],Tablo1[[Student No]:[Surname]],2,FALSE)</f>
        <v>Name</v>
      </c>
      <c r="E51" s="1" t="str">
        <f>VLOOKUP(Tablo2[[#This Row],[Student No]],Tablo1[[Student No]:[Surname]],3,FALSE)</f>
        <v>Surname</v>
      </c>
      <c r="F51" s="1">
        <f>((IF(MIDTERM!$J$37=0,0,VLOOKUP(Tablo2[[#This Row],[Student No]],Tablo17[[STUDENT ID]:[DÇ10]],12,FALSE)/MIDTERM!$J$37))+(IF(FINAL!$J$37=0,0,VLOOKUP(Tablo2[[#This Row],[Student No]],Tablo1744[[STUDENT ID]:[DÇ10]],12,FALSE)/FINAL!$J$37))+(IF(HOMEWORK!$I$38=0,0,VLOOKUP(Tablo2[[#This Row],[Student No]],Tablo3[[Student No]:[DÇ10]],10,FALSE)/HOMEWORK!$I$38))+(IF(LAB!$Q$40=0,0,VLOOKUP(Tablo2[[#This Row],[Student No]],Tablo314[[Student No]:[DÇ10]],19,FALSE)/LAB!$Q$40)))/4</f>
        <v>0.60718253968253966</v>
      </c>
      <c r="G51" s="1">
        <f>((IF(MIDTERM!$J$38=0,0,VLOOKUP(Tablo2[[#This Row],[Student No]],Tablo17[[STUDENT ID]:[DÇ10]],13,FALSE)/MIDTERM!$J$38))+(IF(FINAL!$J$38=0,0,VLOOKUP(Tablo2[[#This Row],[Student No]],Tablo1744[[STUDENT ID]:[DÇ10]],13,FALSE)/FINAL!$J$38))+(IF(HOMEWORK!$I$39=0,0,VLOOKUP(Tablo2[[#This Row],[Student No]],Tablo3[[Student No]:[DÇ10]],11,FALSE)/HOMEWORK!$I$39))+(IF(LAB!$Q$41=0,0,VLOOKUP(Tablo2[[#This Row],[Student No]],Tablo314[[Student No]:[DÇ10]],20,FALSE)/LAB!$Q$41)))/4</f>
        <v>0.39458333333333329</v>
      </c>
      <c r="H51" s="62">
        <f>((IF(MIDTERM!$J$39=0,0,VLOOKUP(Tablo2[[#This Row],[Student No]],Tablo17[[STUDENT ID]:[DÇ10]],14,FALSE)/MIDTERM!$J$39))+(IF(FINAL!$J$39=0,0,VLOOKUP(Tablo2[[#This Row],[Student No]],Tablo1744[[STUDENT ID]:[DÇ10]],14,FALSE)/FINAL!$J$39))+(IF(HOMEWORK!$I$40=0,0,VLOOKUP(Tablo2[[#This Row],[Student No]],Tablo3[[Student No]:[DÇ10]],12,FALSE)/HOMEWORK!$I$40))+(IF(LAB!$Q$42=0,0,VLOOKUP(Tablo2[[#This Row],[Student No]],Tablo314[[Student No]:[DÇ10]],21,FALSE)/LAB!$Q$42)))/4</f>
        <v>0.6525568181818181</v>
      </c>
      <c r="I51" s="1">
        <f>((IF(MIDTERM!$J$40=0,0,VLOOKUP(Tablo2[[#This Row],[Student No]],Tablo17[[STUDENT ID]:[DÇ10]],15,FALSE)/MIDTERM!$J$40))+(IF(FINAL!$J$40=0,0,VLOOKUP(Tablo2[[#This Row],[Student No]],Tablo1744[[STUDENT ID]:[DÇ10]],15,FALSE)/FINAL!$J$40))+(IF(HOMEWORK!$I$41=0,0,VLOOKUP(Tablo2[[#This Row],[Student No]],Tablo3[[Student No]:[DÇ10]],13,FALSE)/HOMEWORK!$I$41))+(IF(LAB!$Q$43=0,0,VLOOKUP(Tablo2[[#This Row],[Student No]],Tablo314[[Student No]:[DÇ10]],22,FALSE)/LAB!$Q$43)))/4</f>
        <v>0.49352272727272728</v>
      </c>
      <c r="J51" s="1">
        <f>((IF(MIDTERM!$J$41=0,0,VLOOKUP(Tablo2[[#This Row],[Student No]],Tablo17[[STUDENT ID]:[DÇ10]],16,FALSE)/MIDTERM!$J$41))+(IF(FINAL!$J$41=0,0,VLOOKUP(Tablo2[[#This Row],[Student No]],Tablo1744[[STUDENT ID]:[DÇ10]],16,FALSE)/FINAL!$J$41))+(IF(HOMEWORK!$I$42=0,0,VLOOKUP(Tablo2[[#This Row],[Student No]],Tablo3[[Student No]:[DÇ10]],14,FALSE)/HOMEWORK!$I$42))+(IF(LAB!$Q$44=0,0,VLOOKUP(Tablo2[[#This Row],[Student No]],Tablo314[[Student No]:[DÇ10]],23,FALSE)/LAB!$Q$44)))/4</f>
        <v>0</v>
      </c>
      <c r="K51" s="1">
        <f>((IF(MIDTERM!$J$42=0,0,VLOOKUP(Tablo2[[#This Row],[Student No]],Tablo17[[STUDENT ID]:[DÇ10]],17,FALSE)/MIDTERM!$J$42))+(IF(FINAL!$J$42=0,0,VLOOKUP(Tablo2[[#This Row],[Student No]],Tablo1744[[STUDENT ID]:[DÇ10]],17,FALSE)/FINAL!$J$42))+(IF(HOMEWORK!$I$43=0,0,VLOOKUP(Tablo2[[#This Row],[Student No]],Tablo3[[Student No]:[DÇ10]],15,FALSE)/HOMEWORK!$I$43))+(IF(LAB!$Q$45=0,0,VLOOKUP(Tablo2[[#This Row],[Student No]],Tablo314[[Student No]:[DÇ10]],24,FALSE)/LAB!$Q$45)))/4</f>
        <v>0</v>
      </c>
      <c r="L51" s="1">
        <f>((IF(MIDTERM!$J$43=0,0,VLOOKUP(Tablo2[[#This Row],[Student No]],Tablo17[[STUDENT ID]:[DÇ10]],18,FALSE)/MIDTERM!$J$43))+(IF(FINAL!$J$43=0,0,VLOOKUP(Tablo2[[#This Row],[Student No]],Tablo1744[[STUDENT ID]:[DÇ10]],18,FALSE)/FINAL!$J$43))+(IF(HOMEWORK!$I$44=0,0,VLOOKUP(Tablo2[[#This Row],[Student No]],Tablo3[[Student No]:[DÇ10]],16,FALSE)/HOMEWORK!$I$44))+(IF(LAB!$Q$46=0,0,VLOOKUP(Tablo2[[#This Row],[Student No]],Tablo314[[Student No]:[DÇ10]],25,FALSE)/LAB!$Q$46)))/4</f>
        <v>0</v>
      </c>
      <c r="M51" s="1">
        <f>((IF(MIDTERM!$J$44=0,0,VLOOKUP(Tablo2[[#This Row],[Student No]],Tablo17[[STUDENT ID]:[DÇ10]],19,FALSE)/MIDTERM!$J$44))+(IF(FINAL!$J$44=0,0,VLOOKUP(Tablo2[[#This Row],[Student No]],Tablo1744[[STUDENT ID]:[DÇ10]],19,FALSE)/FINAL!$J$44))+(IF(HOMEWORK!$I$45=0,0,VLOOKUP(Tablo2[[#This Row],[Student No]],Tablo3[[Student No]:[DÇ10]],17,FALSE)/HOMEWORK!$I$45))+(IF(LAB!$Q$47=0,0,VLOOKUP(Tablo2[[#This Row],[Student No]],Tablo314[[Student No]:[DÇ10]],26,FALSE)/LAB!$Q$47)))/4</f>
        <v>0</v>
      </c>
      <c r="N51" s="1">
        <f>((IF(MIDTERM!$J$45=0,0,VLOOKUP(Tablo2[[#This Row],[Student No]],Tablo17[[STUDENT ID]:[DÇ10]],20,FALSE)/MIDTERM!$J$45))+(IF(FINAL!$J$45=0,0,VLOOKUP(Tablo2[[#This Row],[Student No]],Tablo1744[[STUDENT ID]:[DÇ10]],20,FALSE)/FINAL!$J$45))+(IF(HOMEWORK!$I$46=0,0,VLOOKUP(Tablo2[[#This Row],[Student No]],Tablo3[[Student No]:[DÇ10]],18,FALSE)/HOMEWORK!$I$46))+(IF(LAB!$Q$48=0,0,VLOOKUP(Tablo2[[#This Row],[Student No]],Tablo314[[Student No]:[DÇ10]],27,FALSE)/LAB!$Q$48)))/4</f>
        <v>0</v>
      </c>
      <c r="O51" s="1">
        <f>((IF(MIDTERM!$J$46=0,0,VLOOKUP(Tablo2[[#This Row],[Student No]],Tablo17[[STUDENT ID]:[DÇ10]],21,FALSE)/MIDTERM!$J$46))+(IF(FINAL!$J$46=0,0,VLOOKUP(Tablo2[[#This Row],[Student No]],Tablo1744[[STUDENT ID]:[DÇ10]],21,FALSE)/FINAL!$J$46))+(IF(HOMEWORK!$I$47=0,0,VLOOKUP(Tablo2[[#This Row],[Student No]],Tablo3[[Student No]:[DÇ10]],19,FALSE)/HOMEWORK!$I$47))+(IF(LAB!$Q$49=0,0,VLOOKUP(Tablo2[[#This Row],[Student No]],Tablo314[[Student No]:[DÇ10]],28,FALSE)/LAB!$Q$49)))/4</f>
        <v>0</v>
      </c>
      <c r="Q51" s="30">
        <v>1</v>
      </c>
      <c r="R51" s="14" t="str">
        <f t="shared" ref="R51:R60" si="1">R38</f>
        <v>Çıktı-1</v>
      </c>
      <c r="S51" s="14">
        <f>LAB!S40</f>
        <v>15.516666666666667</v>
      </c>
      <c r="T51" s="35">
        <f>MIDTERM!L37</f>
        <v>9.6638888888888879</v>
      </c>
      <c r="U51" s="35">
        <f>FINAL!L37</f>
        <v>12.661111111111111</v>
      </c>
      <c r="V51" s="14">
        <f>HOMEWORK!K38</f>
        <v>27.525000000000002</v>
      </c>
      <c r="W51" s="14">
        <f>IF(S38=0,0,SUM(Tablo41342[[#This Row],[LAB]:[HOMEWORK]])/S38)</f>
        <v>0.48419753086419759</v>
      </c>
    </row>
    <row r="52" spans="1:23" ht="15" x14ac:dyDescent="0.3">
      <c r="A52" s="66"/>
      <c r="B52" s="41">
        <v>16</v>
      </c>
      <c r="C52" s="1">
        <v>16</v>
      </c>
      <c r="D52" s="1" t="str">
        <f>VLOOKUP(Tablo2[[#This Row],[Student No]],Tablo1[[Student No]:[Surname]],2,FALSE)</f>
        <v>Name</v>
      </c>
      <c r="E52" s="1" t="str">
        <f>VLOOKUP(Tablo2[[#This Row],[Student No]],Tablo1[[Student No]:[Surname]],3,FALSE)</f>
        <v>Surname</v>
      </c>
      <c r="F52" s="1">
        <f>((IF(MIDTERM!$J$37=0,0,VLOOKUP(Tablo2[[#This Row],[Student No]],Tablo17[[STUDENT ID]:[DÇ10]],12,FALSE)/MIDTERM!$J$37))+(IF(FINAL!$J$37=0,0,VLOOKUP(Tablo2[[#This Row],[Student No]],Tablo1744[[STUDENT ID]:[DÇ10]],12,FALSE)/FINAL!$J$37))+(IF(HOMEWORK!$I$38=0,0,VLOOKUP(Tablo2[[#This Row],[Student No]],Tablo3[[Student No]:[DÇ10]],10,FALSE)/HOMEWORK!$I$38))+(IF(LAB!$Q$40=0,0,VLOOKUP(Tablo2[[#This Row],[Student No]],Tablo314[[Student No]:[DÇ10]],19,FALSE)/LAB!$Q$40)))/4</f>
        <v>0.52412698412698411</v>
      </c>
      <c r="G52" s="1">
        <f>((IF(MIDTERM!$J$38=0,0,VLOOKUP(Tablo2[[#This Row],[Student No]],Tablo17[[STUDENT ID]:[DÇ10]],13,FALSE)/MIDTERM!$J$38))+(IF(FINAL!$J$38=0,0,VLOOKUP(Tablo2[[#This Row],[Student No]],Tablo1744[[STUDENT ID]:[DÇ10]],13,FALSE)/FINAL!$J$38))+(IF(HOMEWORK!$I$39=0,0,VLOOKUP(Tablo2[[#This Row],[Student No]],Tablo3[[Student No]:[DÇ10]],11,FALSE)/HOMEWORK!$I$39))+(IF(LAB!$Q$41=0,0,VLOOKUP(Tablo2[[#This Row],[Student No]],Tablo314[[Student No]:[DÇ10]],20,FALSE)/LAB!$Q$41)))/4</f>
        <v>0.54145833333333337</v>
      </c>
      <c r="H52" s="62">
        <f>((IF(MIDTERM!$J$39=0,0,VLOOKUP(Tablo2[[#This Row],[Student No]],Tablo17[[STUDENT ID]:[DÇ10]],14,FALSE)/MIDTERM!$J$39))+(IF(FINAL!$J$39=0,0,VLOOKUP(Tablo2[[#This Row],[Student No]],Tablo1744[[STUDENT ID]:[DÇ10]],14,FALSE)/FINAL!$J$39))+(IF(HOMEWORK!$I$40=0,0,VLOOKUP(Tablo2[[#This Row],[Student No]],Tablo3[[Student No]:[DÇ10]],12,FALSE)/HOMEWORK!$I$40))+(IF(LAB!$Q$42=0,0,VLOOKUP(Tablo2[[#This Row],[Student No]],Tablo314[[Student No]:[DÇ10]],21,FALSE)/LAB!$Q$42)))/4</f>
        <v>0.73106060606060597</v>
      </c>
      <c r="I52" s="1">
        <f>((IF(MIDTERM!$J$40=0,0,VLOOKUP(Tablo2[[#This Row],[Student No]],Tablo17[[STUDENT ID]:[DÇ10]],15,FALSE)/MIDTERM!$J$40))+(IF(FINAL!$J$40=0,0,VLOOKUP(Tablo2[[#This Row],[Student No]],Tablo1744[[STUDENT ID]:[DÇ10]],15,FALSE)/FINAL!$J$40))+(IF(HOMEWORK!$I$41=0,0,VLOOKUP(Tablo2[[#This Row],[Student No]],Tablo3[[Student No]:[DÇ10]],13,FALSE)/HOMEWORK!$I$41))+(IF(LAB!$Q$43=0,0,VLOOKUP(Tablo2[[#This Row],[Student No]],Tablo314[[Student No]:[DÇ10]],22,FALSE)/LAB!$Q$43)))/4</f>
        <v>0.67331439393939396</v>
      </c>
      <c r="J52" s="1">
        <f>((IF(MIDTERM!$J$41=0,0,VLOOKUP(Tablo2[[#This Row],[Student No]],Tablo17[[STUDENT ID]:[DÇ10]],16,FALSE)/MIDTERM!$J$41))+(IF(FINAL!$J$41=0,0,VLOOKUP(Tablo2[[#This Row],[Student No]],Tablo1744[[STUDENT ID]:[DÇ10]],16,FALSE)/FINAL!$J$41))+(IF(HOMEWORK!$I$42=0,0,VLOOKUP(Tablo2[[#This Row],[Student No]],Tablo3[[Student No]:[DÇ10]],14,FALSE)/HOMEWORK!$I$42))+(IF(LAB!$Q$44=0,0,VLOOKUP(Tablo2[[#This Row],[Student No]],Tablo314[[Student No]:[DÇ10]],23,FALSE)/LAB!$Q$44)))/4</f>
        <v>0</v>
      </c>
      <c r="K52" s="1">
        <f>((IF(MIDTERM!$J$42=0,0,VLOOKUP(Tablo2[[#This Row],[Student No]],Tablo17[[STUDENT ID]:[DÇ10]],17,FALSE)/MIDTERM!$J$42))+(IF(FINAL!$J$42=0,0,VLOOKUP(Tablo2[[#This Row],[Student No]],Tablo1744[[STUDENT ID]:[DÇ10]],17,FALSE)/FINAL!$J$42))+(IF(HOMEWORK!$I$43=0,0,VLOOKUP(Tablo2[[#This Row],[Student No]],Tablo3[[Student No]:[DÇ10]],15,FALSE)/HOMEWORK!$I$43))+(IF(LAB!$Q$45=0,0,VLOOKUP(Tablo2[[#This Row],[Student No]],Tablo314[[Student No]:[DÇ10]],24,FALSE)/LAB!$Q$45)))/4</f>
        <v>0</v>
      </c>
      <c r="L52" s="1">
        <f>((IF(MIDTERM!$J$43=0,0,VLOOKUP(Tablo2[[#This Row],[Student No]],Tablo17[[STUDENT ID]:[DÇ10]],18,FALSE)/MIDTERM!$J$43))+(IF(FINAL!$J$43=0,0,VLOOKUP(Tablo2[[#This Row],[Student No]],Tablo1744[[STUDENT ID]:[DÇ10]],18,FALSE)/FINAL!$J$43))+(IF(HOMEWORK!$I$44=0,0,VLOOKUP(Tablo2[[#This Row],[Student No]],Tablo3[[Student No]:[DÇ10]],16,FALSE)/HOMEWORK!$I$44))+(IF(LAB!$Q$46=0,0,VLOOKUP(Tablo2[[#This Row],[Student No]],Tablo314[[Student No]:[DÇ10]],25,FALSE)/LAB!$Q$46)))/4</f>
        <v>0</v>
      </c>
      <c r="M52" s="1">
        <f>((IF(MIDTERM!$J$44=0,0,VLOOKUP(Tablo2[[#This Row],[Student No]],Tablo17[[STUDENT ID]:[DÇ10]],19,FALSE)/MIDTERM!$J$44))+(IF(FINAL!$J$44=0,0,VLOOKUP(Tablo2[[#This Row],[Student No]],Tablo1744[[STUDENT ID]:[DÇ10]],19,FALSE)/FINAL!$J$44))+(IF(HOMEWORK!$I$45=0,0,VLOOKUP(Tablo2[[#This Row],[Student No]],Tablo3[[Student No]:[DÇ10]],17,FALSE)/HOMEWORK!$I$45))+(IF(LAB!$Q$47=0,0,VLOOKUP(Tablo2[[#This Row],[Student No]],Tablo314[[Student No]:[DÇ10]],26,FALSE)/LAB!$Q$47)))/4</f>
        <v>0</v>
      </c>
      <c r="N52" s="1">
        <f>((IF(MIDTERM!$J$45=0,0,VLOOKUP(Tablo2[[#This Row],[Student No]],Tablo17[[STUDENT ID]:[DÇ10]],20,FALSE)/MIDTERM!$J$45))+(IF(FINAL!$J$45=0,0,VLOOKUP(Tablo2[[#This Row],[Student No]],Tablo1744[[STUDENT ID]:[DÇ10]],20,FALSE)/FINAL!$J$45))+(IF(HOMEWORK!$I$46=0,0,VLOOKUP(Tablo2[[#This Row],[Student No]],Tablo3[[Student No]:[DÇ10]],18,FALSE)/HOMEWORK!$I$46))+(IF(LAB!$Q$48=0,0,VLOOKUP(Tablo2[[#This Row],[Student No]],Tablo314[[Student No]:[DÇ10]],27,FALSE)/LAB!$Q$48)))/4</f>
        <v>0</v>
      </c>
      <c r="O52" s="1">
        <f>((IF(MIDTERM!$J$46=0,0,VLOOKUP(Tablo2[[#This Row],[Student No]],Tablo17[[STUDENT ID]:[DÇ10]],21,FALSE)/MIDTERM!$J$46))+(IF(FINAL!$J$46=0,0,VLOOKUP(Tablo2[[#This Row],[Student No]],Tablo1744[[STUDENT ID]:[DÇ10]],21,FALSE)/FINAL!$J$46))+(IF(HOMEWORK!$I$47=0,0,VLOOKUP(Tablo2[[#This Row],[Student No]],Tablo3[[Student No]:[DÇ10]],19,FALSE)/HOMEWORK!$I$47))+(IF(LAB!$Q$49=0,0,VLOOKUP(Tablo2[[#This Row],[Student No]],Tablo314[[Student No]:[DÇ10]],28,FALSE)/LAB!$Q$49)))/4</f>
        <v>0</v>
      </c>
      <c r="Q52" s="30">
        <v>2</v>
      </c>
      <c r="R52" s="14" t="str">
        <f t="shared" si="1"/>
        <v>Çıktı-2</v>
      </c>
      <c r="S52" s="14">
        <f>LAB!S41</f>
        <v>23.266666666666666</v>
      </c>
      <c r="T52" s="35">
        <f>MIDTERM!L38</f>
        <v>2.8055555555555554</v>
      </c>
      <c r="U52" s="35">
        <f>FINAL!L38</f>
        <v>8.9305555555555571</v>
      </c>
      <c r="V52" s="14">
        <f>HOMEWORK!K39</f>
        <v>1.9166666666666667</v>
      </c>
      <c r="W52" s="14">
        <f>IF(S39=0,0,SUM(Tablo41342[[#This Row],[LAB]:[HOMEWORK]])/S39)</f>
        <v>0.43434640522875817</v>
      </c>
    </row>
    <row r="53" spans="1:23" ht="15" x14ac:dyDescent="0.3">
      <c r="A53" s="66"/>
      <c r="B53" s="40">
        <v>17</v>
      </c>
      <c r="C53" s="1">
        <v>17</v>
      </c>
      <c r="D53" s="1" t="str">
        <f>VLOOKUP(Tablo2[[#This Row],[Student No]],Tablo1[[Student No]:[Surname]],2,FALSE)</f>
        <v>Name</v>
      </c>
      <c r="E53" s="1" t="str">
        <f>VLOOKUP(Tablo2[[#This Row],[Student No]],Tablo1[[Student No]:[Surname]],3,FALSE)</f>
        <v>Surname</v>
      </c>
      <c r="F53" s="1">
        <f>((IF(MIDTERM!$J$37=0,0,VLOOKUP(Tablo2[[#This Row],[Student No]],Tablo17[[STUDENT ID]:[DÇ10]],12,FALSE)/MIDTERM!$J$37))+(IF(FINAL!$J$37=0,0,VLOOKUP(Tablo2[[#This Row],[Student No]],Tablo1744[[STUDENT ID]:[DÇ10]],12,FALSE)/FINAL!$J$37))+(IF(HOMEWORK!$I$38=0,0,VLOOKUP(Tablo2[[#This Row],[Student No]],Tablo3[[Student No]:[DÇ10]],10,FALSE)/HOMEWORK!$I$38))+(IF(LAB!$Q$40=0,0,VLOOKUP(Tablo2[[#This Row],[Student No]],Tablo314[[Student No]:[DÇ10]],19,FALSE)/LAB!$Q$40)))/4</f>
        <v>0.58059523809523805</v>
      </c>
      <c r="G53" s="1">
        <f>((IF(MIDTERM!$J$38=0,0,VLOOKUP(Tablo2[[#This Row],[Student No]],Tablo17[[STUDENT ID]:[DÇ10]],13,FALSE)/MIDTERM!$J$38))+(IF(FINAL!$J$38=0,0,VLOOKUP(Tablo2[[#This Row],[Student No]],Tablo1744[[STUDENT ID]:[DÇ10]],13,FALSE)/FINAL!$J$38))+(IF(HOMEWORK!$I$39=0,0,VLOOKUP(Tablo2[[#This Row],[Student No]],Tablo3[[Student No]:[DÇ10]],11,FALSE)/HOMEWORK!$I$39))+(IF(LAB!$Q$41=0,0,VLOOKUP(Tablo2[[#This Row],[Student No]],Tablo314[[Student No]:[DÇ10]],20,FALSE)/LAB!$Q$41)))/4</f>
        <v>0.29145833333333332</v>
      </c>
      <c r="H53" s="62">
        <f>((IF(MIDTERM!$J$39=0,0,VLOOKUP(Tablo2[[#This Row],[Student No]],Tablo17[[STUDENT ID]:[DÇ10]],14,FALSE)/MIDTERM!$J$39))+(IF(FINAL!$J$39=0,0,VLOOKUP(Tablo2[[#This Row],[Student No]],Tablo1744[[STUDENT ID]:[DÇ10]],14,FALSE)/FINAL!$J$39))+(IF(HOMEWORK!$I$40=0,0,VLOOKUP(Tablo2[[#This Row],[Student No]],Tablo3[[Student No]:[DÇ10]],12,FALSE)/HOMEWORK!$I$40))+(IF(LAB!$Q$42=0,0,VLOOKUP(Tablo2[[#This Row],[Student No]],Tablo314[[Student No]:[DÇ10]],21,FALSE)/LAB!$Q$42)))/4</f>
        <v>0.45897727272727273</v>
      </c>
      <c r="I53" s="1">
        <f>((IF(MIDTERM!$J$40=0,0,VLOOKUP(Tablo2[[#This Row],[Student No]],Tablo17[[STUDENT ID]:[DÇ10]],15,FALSE)/MIDTERM!$J$40))+(IF(FINAL!$J$40=0,0,VLOOKUP(Tablo2[[#This Row],[Student No]],Tablo1744[[STUDENT ID]:[DÇ10]],15,FALSE)/FINAL!$J$40))+(IF(HOMEWORK!$I$41=0,0,VLOOKUP(Tablo2[[#This Row],[Student No]],Tablo3[[Student No]:[DÇ10]],13,FALSE)/HOMEWORK!$I$41))+(IF(LAB!$Q$43=0,0,VLOOKUP(Tablo2[[#This Row],[Student No]],Tablo314[[Student No]:[DÇ10]],22,FALSE)/LAB!$Q$43)))/4</f>
        <v>0.29465909090909093</v>
      </c>
      <c r="J53" s="1">
        <f>((IF(MIDTERM!$J$41=0,0,VLOOKUP(Tablo2[[#This Row],[Student No]],Tablo17[[STUDENT ID]:[DÇ10]],16,FALSE)/MIDTERM!$J$41))+(IF(FINAL!$J$41=0,0,VLOOKUP(Tablo2[[#This Row],[Student No]],Tablo1744[[STUDENT ID]:[DÇ10]],16,FALSE)/FINAL!$J$41))+(IF(HOMEWORK!$I$42=0,0,VLOOKUP(Tablo2[[#This Row],[Student No]],Tablo3[[Student No]:[DÇ10]],14,FALSE)/HOMEWORK!$I$42))+(IF(LAB!$Q$44=0,0,VLOOKUP(Tablo2[[#This Row],[Student No]],Tablo314[[Student No]:[DÇ10]],23,FALSE)/LAB!$Q$44)))/4</f>
        <v>0</v>
      </c>
      <c r="K53" s="1">
        <f>((IF(MIDTERM!$J$42=0,0,VLOOKUP(Tablo2[[#This Row],[Student No]],Tablo17[[STUDENT ID]:[DÇ10]],17,FALSE)/MIDTERM!$J$42))+(IF(FINAL!$J$42=0,0,VLOOKUP(Tablo2[[#This Row],[Student No]],Tablo1744[[STUDENT ID]:[DÇ10]],17,FALSE)/FINAL!$J$42))+(IF(HOMEWORK!$I$43=0,0,VLOOKUP(Tablo2[[#This Row],[Student No]],Tablo3[[Student No]:[DÇ10]],15,FALSE)/HOMEWORK!$I$43))+(IF(LAB!$Q$45=0,0,VLOOKUP(Tablo2[[#This Row],[Student No]],Tablo314[[Student No]:[DÇ10]],24,FALSE)/LAB!$Q$45)))/4</f>
        <v>0</v>
      </c>
      <c r="L53" s="1">
        <f>((IF(MIDTERM!$J$43=0,0,VLOOKUP(Tablo2[[#This Row],[Student No]],Tablo17[[STUDENT ID]:[DÇ10]],18,FALSE)/MIDTERM!$J$43))+(IF(FINAL!$J$43=0,0,VLOOKUP(Tablo2[[#This Row],[Student No]],Tablo1744[[STUDENT ID]:[DÇ10]],18,FALSE)/FINAL!$J$43))+(IF(HOMEWORK!$I$44=0,0,VLOOKUP(Tablo2[[#This Row],[Student No]],Tablo3[[Student No]:[DÇ10]],16,FALSE)/HOMEWORK!$I$44))+(IF(LAB!$Q$46=0,0,VLOOKUP(Tablo2[[#This Row],[Student No]],Tablo314[[Student No]:[DÇ10]],25,FALSE)/LAB!$Q$46)))/4</f>
        <v>0</v>
      </c>
      <c r="M53" s="1">
        <f>((IF(MIDTERM!$J$44=0,0,VLOOKUP(Tablo2[[#This Row],[Student No]],Tablo17[[STUDENT ID]:[DÇ10]],19,FALSE)/MIDTERM!$J$44))+(IF(FINAL!$J$44=0,0,VLOOKUP(Tablo2[[#This Row],[Student No]],Tablo1744[[STUDENT ID]:[DÇ10]],19,FALSE)/FINAL!$J$44))+(IF(HOMEWORK!$I$45=0,0,VLOOKUP(Tablo2[[#This Row],[Student No]],Tablo3[[Student No]:[DÇ10]],17,FALSE)/HOMEWORK!$I$45))+(IF(LAB!$Q$47=0,0,VLOOKUP(Tablo2[[#This Row],[Student No]],Tablo314[[Student No]:[DÇ10]],26,FALSE)/LAB!$Q$47)))/4</f>
        <v>0</v>
      </c>
      <c r="N53" s="1">
        <f>((IF(MIDTERM!$J$45=0,0,VLOOKUP(Tablo2[[#This Row],[Student No]],Tablo17[[STUDENT ID]:[DÇ10]],20,FALSE)/MIDTERM!$J$45))+(IF(FINAL!$J$45=0,0,VLOOKUP(Tablo2[[#This Row],[Student No]],Tablo1744[[STUDENT ID]:[DÇ10]],20,FALSE)/FINAL!$J$45))+(IF(HOMEWORK!$I$46=0,0,VLOOKUP(Tablo2[[#This Row],[Student No]],Tablo3[[Student No]:[DÇ10]],18,FALSE)/HOMEWORK!$I$46))+(IF(LAB!$Q$48=0,0,VLOOKUP(Tablo2[[#This Row],[Student No]],Tablo314[[Student No]:[DÇ10]],27,FALSE)/LAB!$Q$48)))/4</f>
        <v>0</v>
      </c>
      <c r="O53" s="1">
        <f>((IF(MIDTERM!$J$46=0,0,VLOOKUP(Tablo2[[#This Row],[Student No]],Tablo17[[STUDENT ID]:[DÇ10]],21,FALSE)/MIDTERM!$J$46))+(IF(FINAL!$J$46=0,0,VLOOKUP(Tablo2[[#This Row],[Student No]],Tablo1744[[STUDENT ID]:[DÇ10]],21,FALSE)/FINAL!$J$46))+(IF(HOMEWORK!$I$47=0,0,VLOOKUP(Tablo2[[#This Row],[Student No]],Tablo3[[Student No]:[DÇ10]],19,FALSE)/HOMEWORK!$I$47))+(IF(LAB!$Q$49=0,0,VLOOKUP(Tablo2[[#This Row],[Student No]],Tablo314[[Student No]:[DÇ10]],28,FALSE)/LAB!$Q$49)))/4</f>
        <v>0</v>
      </c>
      <c r="Q53" s="30">
        <v>3</v>
      </c>
      <c r="R53" s="14" t="str">
        <f t="shared" si="1"/>
        <v>Çıktı-3</v>
      </c>
      <c r="S53" s="14">
        <f>LAB!S42</f>
        <v>28.700000000000003</v>
      </c>
      <c r="T53" s="35">
        <f>MIDTERM!L39</f>
        <v>2.0222222222222217</v>
      </c>
      <c r="U53" s="35">
        <f>FINAL!L39</f>
        <v>11.177777777777779</v>
      </c>
      <c r="V53" s="14">
        <f>HOMEWORK!K40</f>
        <v>8.4083333333333332</v>
      </c>
      <c r="W53" s="14">
        <f>IF(S40=0,0,SUM(Tablo41342[[#This Row],[LAB]:[HOMEWORK]])/S40)</f>
        <v>0.47912698412698418</v>
      </c>
    </row>
    <row r="54" spans="1:23" ht="15" x14ac:dyDescent="0.3">
      <c r="A54" s="66"/>
      <c r="B54" s="41">
        <v>18</v>
      </c>
      <c r="C54" s="1">
        <v>18</v>
      </c>
      <c r="D54" s="1" t="str">
        <f>VLOOKUP(Tablo2[[#This Row],[Student No]],Tablo1[[Student No]:[Surname]],2,FALSE)</f>
        <v>Name</v>
      </c>
      <c r="E54" s="1" t="str">
        <f>VLOOKUP(Tablo2[[#This Row],[Student No]],Tablo1[[Student No]:[Surname]],3,FALSE)</f>
        <v>Surname</v>
      </c>
      <c r="F54" s="1">
        <f>((IF(MIDTERM!$J$37=0,0,VLOOKUP(Tablo2[[#This Row],[Student No]],Tablo17[[STUDENT ID]:[DÇ10]],12,FALSE)/MIDTERM!$J$37))+(IF(FINAL!$J$37=0,0,VLOOKUP(Tablo2[[#This Row],[Student No]],Tablo1744[[STUDENT ID]:[DÇ10]],12,FALSE)/FINAL!$J$37))+(IF(HOMEWORK!$I$38=0,0,VLOOKUP(Tablo2[[#This Row],[Student No]],Tablo3[[Student No]:[DÇ10]],10,FALSE)/HOMEWORK!$I$38))+(IF(LAB!$Q$40=0,0,VLOOKUP(Tablo2[[#This Row],[Student No]],Tablo314[[Student No]:[DÇ10]],19,FALSE)/LAB!$Q$40)))/4</f>
        <v>0.37801587301587303</v>
      </c>
      <c r="G54" s="1">
        <f>((IF(MIDTERM!$J$38=0,0,VLOOKUP(Tablo2[[#This Row],[Student No]],Tablo17[[STUDENT ID]:[DÇ10]],13,FALSE)/MIDTERM!$J$38))+(IF(FINAL!$J$38=0,0,VLOOKUP(Tablo2[[#This Row],[Student No]],Tablo1744[[STUDENT ID]:[DÇ10]],13,FALSE)/FINAL!$J$38))+(IF(HOMEWORK!$I$39=0,0,VLOOKUP(Tablo2[[#This Row],[Student No]],Tablo3[[Student No]:[DÇ10]],11,FALSE)/HOMEWORK!$I$39))+(IF(LAB!$Q$41=0,0,VLOOKUP(Tablo2[[#This Row],[Student No]],Tablo314[[Student No]:[DÇ10]],20,FALSE)/LAB!$Q$41)))/4</f>
        <v>0.37916666666666665</v>
      </c>
      <c r="H54" s="62">
        <f>((IF(MIDTERM!$J$39=0,0,VLOOKUP(Tablo2[[#This Row],[Student No]],Tablo17[[STUDENT ID]:[DÇ10]],14,FALSE)/MIDTERM!$J$39))+(IF(FINAL!$J$39=0,0,VLOOKUP(Tablo2[[#This Row],[Student No]],Tablo1744[[STUDENT ID]:[DÇ10]],14,FALSE)/FINAL!$J$39))+(IF(HOMEWORK!$I$40=0,0,VLOOKUP(Tablo2[[#This Row],[Student No]],Tablo3[[Student No]:[DÇ10]],12,FALSE)/HOMEWORK!$I$40))+(IF(LAB!$Q$42=0,0,VLOOKUP(Tablo2[[#This Row],[Student No]],Tablo314[[Student No]:[DÇ10]],21,FALSE)/LAB!$Q$42)))/4</f>
        <v>0.28363636363636363</v>
      </c>
      <c r="I54" s="1">
        <f>((IF(MIDTERM!$J$40=0,0,VLOOKUP(Tablo2[[#This Row],[Student No]],Tablo17[[STUDENT ID]:[DÇ10]],15,FALSE)/MIDTERM!$J$40))+(IF(FINAL!$J$40=0,0,VLOOKUP(Tablo2[[#This Row],[Student No]],Tablo1744[[STUDENT ID]:[DÇ10]],15,FALSE)/FINAL!$J$40))+(IF(HOMEWORK!$I$41=0,0,VLOOKUP(Tablo2[[#This Row],[Student No]],Tablo3[[Student No]:[DÇ10]],13,FALSE)/HOMEWORK!$I$41))+(IF(LAB!$Q$43=0,0,VLOOKUP(Tablo2[[#This Row],[Student No]],Tablo314[[Student No]:[DÇ10]],22,FALSE)/LAB!$Q$43)))/4</f>
        <v>0.35369318181818177</v>
      </c>
      <c r="J54" s="1">
        <f>((IF(MIDTERM!$J$41=0,0,VLOOKUP(Tablo2[[#This Row],[Student No]],Tablo17[[STUDENT ID]:[DÇ10]],16,FALSE)/MIDTERM!$J$41))+(IF(FINAL!$J$41=0,0,VLOOKUP(Tablo2[[#This Row],[Student No]],Tablo1744[[STUDENT ID]:[DÇ10]],16,FALSE)/FINAL!$J$41))+(IF(HOMEWORK!$I$42=0,0,VLOOKUP(Tablo2[[#This Row],[Student No]],Tablo3[[Student No]:[DÇ10]],14,FALSE)/HOMEWORK!$I$42))+(IF(LAB!$Q$44=0,0,VLOOKUP(Tablo2[[#This Row],[Student No]],Tablo314[[Student No]:[DÇ10]],23,FALSE)/LAB!$Q$44)))/4</f>
        <v>0</v>
      </c>
      <c r="K54" s="1">
        <f>((IF(MIDTERM!$J$42=0,0,VLOOKUP(Tablo2[[#This Row],[Student No]],Tablo17[[STUDENT ID]:[DÇ10]],17,FALSE)/MIDTERM!$J$42))+(IF(FINAL!$J$42=0,0,VLOOKUP(Tablo2[[#This Row],[Student No]],Tablo1744[[STUDENT ID]:[DÇ10]],17,FALSE)/FINAL!$J$42))+(IF(HOMEWORK!$I$43=0,0,VLOOKUP(Tablo2[[#This Row],[Student No]],Tablo3[[Student No]:[DÇ10]],15,FALSE)/HOMEWORK!$I$43))+(IF(LAB!$Q$45=0,0,VLOOKUP(Tablo2[[#This Row],[Student No]],Tablo314[[Student No]:[DÇ10]],24,FALSE)/LAB!$Q$45)))/4</f>
        <v>0</v>
      </c>
      <c r="L54" s="1">
        <f>((IF(MIDTERM!$J$43=0,0,VLOOKUP(Tablo2[[#This Row],[Student No]],Tablo17[[STUDENT ID]:[DÇ10]],18,FALSE)/MIDTERM!$J$43))+(IF(FINAL!$J$43=0,0,VLOOKUP(Tablo2[[#This Row],[Student No]],Tablo1744[[STUDENT ID]:[DÇ10]],18,FALSE)/FINAL!$J$43))+(IF(HOMEWORK!$I$44=0,0,VLOOKUP(Tablo2[[#This Row],[Student No]],Tablo3[[Student No]:[DÇ10]],16,FALSE)/HOMEWORK!$I$44))+(IF(LAB!$Q$46=0,0,VLOOKUP(Tablo2[[#This Row],[Student No]],Tablo314[[Student No]:[DÇ10]],25,FALSE)/LAB!$Q$46)))/4</f>
        <v>0</v>
      </c>
      <c r="M54" s="1">
        <f>((IF(MIDTERM!$J$44=0,0,VLOOKUP(Tablo2[[#This Row],[Student No]],Tablo17[[STUDENT ID]:[DÇ10]],19,FALSE)/MIDTERM!$J$44))+(IF(FINAL!$J$44=0,0,VLOOKUP(Tablo2[[#This Row],[Student No]],Tablo1744[[STUDENT ID]:[DÇ10]],19,FALSE)/FINAL!$J$44))+(IF(HOMEWORK!$I$45=0,0,VLOOKUP(Tablo2[[#This Row],[Student No]],Tablo3[[Student No]:[DÇ10]],17,FALSE)/HOMEWORK!$I$45))+(IF(LAB!$Q$47=0,0,VLOOKUP(Tablo2[[#This Row],[Student No]],Tablo314[[Student No]:[DÇ10]],26,FALSE)/LAB!$Q$47)))/4</f>
        <v>0</v>
      </c>
      <c r="N54" s="1">
        <f>((IF(MIDTERM!$J$45=0,0,VLOOKUP(Tablo2[[#This Row],[Student No]],Tablo17[[STUDENT ID]:[DÇ10]],20,FALSE)/MIDTERM!$J$45))+(IF(FINAL!$J$45=0,0,VLOOKUP(Tablo2[[#This Row],[Student No]],Tablo1744[[STUDENT ID]:[DÇ10]],20,FALSE)/FINAL!$J$45))+(IF(HOMEWORK!$I$46=0,0,VLOOKUP(Tablo2[[#This Row],[Student No]],Tablo3[[Student No]:[DÇ10]],18,FALSE)/HOMEWORK!$I$46))+(IF(LAB!$Q$48=0,0,VLOOKUP(Tablo2[[#This Row],[Student No]],Tablo314[[Student No]:[DÇ10]],27,FALSE)/LAB!$Q$48)))/4</f>
        <v>0</v>
      </c>
      <c r="O54" s="1">
        <f>((IF(MIDTERM!$J$46=0,0,VLOOKUP(Tablo2[[#This Row],[Student No]],Tablo17[[STUDENT ID]:[DÇ10]],21,FALSE)/MIDTERM!$J$46))+(IF(FINAL!$J$46=0,0,VLOOKUP(Tablo2[[#This Row],[Student No]],Tablo1744[[STUDENT ID]:[DÇ10]],21,FALSE)/FINAL!$J$46))+(IF(HOMEWORK!$I$47=0,0,VLOOKUP(Tablo2[[#This Row],[Student No]],Tablo3[[Student No]:[DÇ10]],19,FALSE)/HOMEWORK!$I$47))+(IF(LAB!$Q$49=0,0,VLOOKUP(Tablo2[[#This Row],[Student No]],Tablo314[[Student No]:[DÇ10]],28,FALSE)/LAB!$Q$49)))/4</f>
        <v>0</v>
      </c>
      <c r="Q54" s="1">
        <v>4</v>
      </c>
      <c r="R54" s="14" t="str">
        <f t="shared" si="1"/>
        <v>Çıktı-4</v>
      </c>
      <c r="S54" s="14">
        <f>LAB!S43</f>
        <v>29.533333333333335</v>
      </c>
      <c r="T54" s="35">
        <f>MIDTERM!L40</f>
        <v>16.522222222222226</v>
      </c>
      <c r="U54" s="35">
        <f>FINAL!L40</f>
        <v>20.919444444444444</v>
      </c>
      <c r="V54" s="14">
        <f>HOMEWORK!K41</f>
        <v>2.1</v>
      </c>
      <c r="W54" s="14">
        <f>IF(S41=0,0,SUM(Tablo41342[[#This Row],[LAB]:[HOMEWORK]])/S41)</f>
        <v>0.4456451612903225</v>
      </c>
    </row>
    <row r="55" spans="1:23" ht="15" x14ac:dyDescent="0.3">
      <c r="A55" s="66"/>
      <c r="B55" s="40">
        <v>19</v>
      </c>
      <c r="C55" s="1">
        <v>19</v>
      </c>
      <c r="D55" s="1" t="str">
        <f>VLOOKUP(Tablo2[[#This Row],[Student No]],Tablo1[[Student No]:[Surname]],2,FALSE)</f>
        <v>Name</v>
      </c>
      <c r="E55" s="1" t="str">
        <f>VLOOKUP(Tablo2[[#This Row],[Student No]],Tablo1[[Student No]:[Surname]],3,FALSE)</f>
        <v>Surname</v>
      </c>
      <c r="F55" s="1">
        <f>((IF(MIDTERM!$J$37=0,0,VLOOKUP(Tablo2[[#This Row],[Student No]],Tablo17[[STUDENT ID]:[DÇ10]],12,FALSE)/MIDTERM!$J$37))+(IF(FINAL!$J$37=0,0,VLOOKUP(Tablo2[[#This Row],[Student No]],Tablo1744[[STUDENT ID]:[DÇ10]],12,FALSE)/FINAL!$J$37))+(IF(HOMEWORK!$I$38=0,0,VLOOKUP(Tablo2[[#This Row],[Student No]],Tablo3[[Student No]:[DÇ10]],10,FALSE)/HOMEWORK!$I$38))+(IF(LAB!$Q$40=0,0,VLOOKUP(Tablo2[[#This Row],[Student No]],Tablo314[[Student No]:[DÇ10]],19,FALSE)/LAB!$Q$40)))/4</f>
        <v>0.57333333333333325</v>
      </c>
      <c r="G55" s="1">
        <f>((IF(MIDTERM!$J$38=0,0,VLOOKUP(Tablo2[[#This Row],[Student No]],Tablo17[[STUDENT ID]:[DÇ10]],13,FALSE)/MIDTERM!$J$38))+(IF(FINAL!$J$38=0,0,VLOOKUP(Tablo2[[#This Row],[Student No]],Tablo1744[[STUDENT ID]:[DÇ10]],13,FALSE)/FINAL!$J$38))+(IF(HOMEWORK!$I$39=0,0,VLOOKUP(Tablo2[[#This Row],[Student No]],Tablo3[[Student No]:[DÇ10]],11,FALSE)/HOMEWORK!$I$39))+(IF(LAB!$Q$41=0,0,VLOOKUP(Tablo2[[#This Row],[Student No]],Tablo314[[Student No]:[DÇ10]],20,FALSE)/LAB!$Q$41)))/4</f>
        <v>0.36958333333333332</v>
      </c>
      <c r="H55" s="62">
        <f>((IF(MIDTERM!$J$39=0,0,VLOOKUP(Tablo2[[#This Row],[Student No]],Tablo17[[STUDENT ID]:[DÇ10]],14,FALSE)/MIDTERM!$J$39))+(IF(FINAL!$J$39=0,0,VLOOKUP(Tablo2[[#This Row],[Student No]],Tablo1744[[STUDENT ID]:[DÇ10]],14,FALSE)/FINAL!$J$39))+(IF(HOMEWORK!$I$40=0,0,VLOOKUP(Tablo2[[#This Row],[Student No]],Tablo3[[Student No]:[DÇ10]],12,FALSE)/HOMEWORK!$I$40))+(IF(LAB!$Q$42=0,0,VLOOKUP(Tablo2[[#This Row],[Student No]],Tablo314[[Student No]:[DÇ10]],21,FALSE)/LAB!$Q$42)))/4</f>
        <v>0.53170454545454549</v>
      </c>
      <c r="I55" s="1">
        <f>((IF(MIDTERM!$J$40=0,0,VLOOKUP(Tablo2[[#This Row],[Student No]],Tablo17[[STUDENT ID]:[DÇ10]],15,FALSE)/MIDTERM!$J$40))+(IF(FINAL!$J$40=0,0,VLOOKUP(Tablo2[[#This Row],[Student No]],Tablo1744[[STUDENT ID]:[DÇ10]],15,FALSE)/FINAL!$J$40))+(IF(HOMEWORK!$I$41=0,0,VLOOKUP(Tablo2[[#This Row],[Student No]],Tablo3[[Student No]:[DÇ10]],13,FALSE)/HOMEWORK!$I$41))+(IF(LAB!$Q$43=0,0,VLOOKUP(Tablo2[[#This Row],[Student No]],Tablo314[[Student No]:[DÇ10]],22,FALSE)/LAB!$Q$43)))/4</f>
        <v>0.35909090909090902</v>
      </c>
      <c r="J55" s="1">
        <f>((IF(MIDTERM!$J$41=0,0,VLOOKUP(Tablo2[[#This Row],[Student No]],Tablo17[[STUDENT ID]:[DÇ10]],16,FALSE)/MIDTERM!$J$41))+(IF(FINAL!$J$41=0,0,VLOOKUP(Tablo2[[#This Row],[Student No]],Tablo1744[[STUDENT ID]:[DÇ10]],16,FALSE)/FINAL!$J$41))+(IF(HOMEWORK!$I$42=0,0,VLOOKUP(Tablo2[[#This Row],[Student No]],Tablo3[[Student No]:[DÇ10]],14,FALSE)/HOMEWORK!$I$42))+(IF(LAB!$Q$44=0,0,VLOOKUP(Tablo2[[#This Row],[Student No]],Tablo314[[Student No]:[DÇ10]],23,FALSE)/LAB!$Q$44)))/4</f>
        <v>0</v>
      </c>
      <c r="K55" s="1">
        <f>((IF(MIDTERM!$J$42=0,0,VLOOKUP(Tablo2[[#This Row],[Student No]],Tablo17[[STUDENT ID]:[DÇ10]],17,FALSE)/MIDTERM!$J$42))+(IF(FINAL!$J$42=0,0,VLOOKUP(Tablo2[[#This Row],[Student No]],Tablo1744[[STUDENT ID]:[DÇ10]],17,FALSE)/FINAL!$J$42))+(IF(HOMEWORK!$I$43=0,0,VLOOKUP(Tablo2[[#This Row],[Student No]],Tablo3[[Student No]:[DÇ10]],15,FALSE)/HOMEWORK!$I$43))+(IF(LAB!$Q$45=0,0,VLOOKUP(Tablo2[[#This Row],[Student No]],Tablo314[[Student No]:[DÇ10]],24,FALSE)/LAB!$Q$45)))/4</f>
        <v>0</v>
      </c>
      <c r="L55" s="1">
        <f>((IF(MIDTERM!$J$43=0,0,VLOOKUP(Tablo2[[#This Row],[Student No]],Tablo17[[STUDENT ID]:[DÇ10]],18,FALSE)/MIDTERM!$J$43))+(IF(FINAL!$J$43=0,0,VLOOKUP(Tablo2[[#This Row],[Student No]],Tablo1744[[STUDENT ID]:[DÇ10]],18,FALSE)/FINAL!$J$43))+(IF(HOMEWORK!$I$44=0,0,VLOOKUP(Tablo2[[#This Row],[Student No]],Tablo3[[Student No]:[DÇ10]],16,FALSE)/HOMEWORK!$I$44))+(IF(LAB!$Q$46=0,0,VLOOKUP(Tablo2[[#This Row],[Student No]],Tablo314[[Student No]:[DÇ10]],25,FALSE)/LAB!$Q$46)))/4</f>
        <v>0</v>
      </c>
      <c r="M55" s="1">
        <f>((IF(MIDTERM!$J$44=0,0,VLOOKUP(Tablo2[[#This Row],[Student No]],Tablo17[[STUDENT ID]:[DÇ10]],19,FALSE)/MIDTERM!$J$44))+(IF(FINAL!$J$44=0,0,VLOOKUP(Tablo2[[#This Row],[Student No]],Tablo1744[[STUDENT ID]:[DÇ10]],19,FALSE)/FINAL!$J$44))+(IF(HOMEWORK!$I$45=0,0,VLOOKUP(Tablo2[[#This Row],[Student No]],Tablo3[[Student No]:[DÇ10]],17,FALSE)/HOMEWORK!$I$45))+(IF(LAB!$Q$47=0,0,VLOOKUP(Tablo2[[#This Row],[Student No]],Tablo314[[Student No]:[DÇ10]],26,FALSE)/LAB!$Q$47)))/4</f>
        <v>0</v>
      </c>
      <c r="N55" s="1">
        <f>((IF(MIDTERM!$J$45=0,0,VLOOKUP(Tablo2[[#This Row],[Student No]],Tablo17[[STUDENT ID]:[DÇ10]],20,FALSE)/MIDTERM!$J$45))+(IF(FINAL!$J$45=0,0,VLOOKUP(Tablo2[[#This Row],[Student No]],Tablo1744[[STUDENT ID]:[DÇ10]],20,FALSE)/FINAL!$J$45))+(IF(HOMEWORK!$I$46=0,0,VLOOKUP(Tablo2[[#This Row],[Student No]],Tablo3[[Student No]:[DÇ10]],18,FALSE)/HOMEWORK!$I$46))+(IF(LAB!$Q$48=0,0,VLOOKUP(Tablo2[[#This Row],[Student No]],Tablo314[[Student No]:[DÇ10]],27,FALSE)/LAB!$Q$48)))/4</f>
        <v>0</v>
      </c>
      <c r="O55" s="1">
        <f>((IF(MIDTERM!$J$46=0,0,VLOOKUP(Tablo2[[#This Row],[Student No]],Tablo17[[STUDENT ID]:[DÇ10]],21,FALSE)/MIDTERM!$J$46))+(IF(FINAL!$J$46=0,0,VLOOKUP(Tablo2[[#This Row],[Student No]],Tablo1744[[STUDENT ID]:[DÇ10]],21,FALSE)/FINAL!$J$46))+(IF(HOMEWORK!$I$47=0,0,VLOOKUP(Tablo2[[#This Row],[Student No]],Tablo3[[Student No]:[DÇ10]],19,FALSE)/HOMEWORK!$I$47))+(IF(LAB!$Q$49=0,0,VLOOKUP(Tablo2[[#This Row],[Student No]],Tablo314[[Student No]:[DÇ10]],28,FALSE)/LAB!$Q$49)))/4</f>
        <v>0</v>
      </c>
      <c r="Q55" s="30">
        <v>5</v>
      </c>
      <c r="R55" s="14" t="str">
        <f t="shared" si="1"/>
        <v>Çıktı-5</v>
      </c>
      <c r="S55" s="14">
        <f>LAB!S44</f>
        <v>0</v>
      </c>
      <c r="T55" s="35">
        <f>MIDTERM!L41</f>
        <v>0</v>
      </c>
      <c r="U55" s="35">
        <f>FINAL!L41</f>
        <v>0</v>
      </c>
      <c r="V55" s="14">
        <f>HOMEWORK!K42</f>
        <v>0</v>
      </c>
      <c r="W55" s="14">
        <f>IF(S42=0,0,SUM(Tablo41342[[#This Row],[LAB]:[HOMEWORK]])/S42)</f>
        <v>0</v>
      </c>
    </row>
    <row r="56" spans="1:23" ht="15" x14ac:dyDescent="0.3">
      <c r="A56" s="66"/>
      <c r="B56" s="41">
        <v>20</v>
      </c>
      <c r="C56" s="1">
        <v>20</v>
      </c>
      <c r="D56" s="1" t="str">
        <f>VLOOKUP(Tablo2[[#This Row],[Student No]],Tablo1[[Student No]:[Surname]],2,FALSE)</f>
        <v>Name</v>
      </c>
      <c r="E56" s="1" t="str">
        <f>VLOOKUP(Tablo2[[#This Row],[Student No]],Tablo1[[Student No]:[Surname]],3,FALSE)</f>
        <v>Surname</v>
      </c>
      <c r="F56" s="1">
        <f>((IF(MIDTERM!$J$37=0,0,VLOOKUP(Tablo2[[#This Row],[Student No]],Tablo17[[STUDENT ID]:[DÇ10]],12,FALSE)/MIDTERM!$J$37))+(IF(FINAL!$J$37=0,0,VLOOKUP(Tablo2[[#This Row],[Student No]],Tablo1744[[STUDENT ID]:[DÇ10]],12,FALSE)/FINAL!$J$37))+(IF(HOMEWORK!$I$38=0,0,VLOOKUP(Tablo2[[#This Row],[Student No]],Tablo3[[Student No]:[DÇ10]],10,FALSE)/HOMEWORK!$I$38))+(IF(LAB!$Q$40=0,0,VLOOKUP(Tablo2[[#This Row],[Student No]],Tablo314[[Student No]:[DÇ10]],19,FALSE)/LAB!$Q$40)))/4</f>
        <v>0.39817460317460318</v>
      </c>
      <c r="G56" s="1">
        <f>((IF(MIDTERM!$J$38=0,0,VLOOKUP(Tablo2[[#This Row],[Student No]],Tablo17[[STUDENT ID]:[DÇ10]],13,FALSE)/MIDTERM!$J$38))+(IF(FINAL!$J$38=0,0,VLOOKUP(Tablo2[[#This Row],[Student No]],Tablo1744[[STUDENT ID]:[DÇ10]],13,FALSE)/FINAL!$J$38))+(IF(HOMEWORK!$I$39=0,0,VLOOKUP(Tablo2[[#This Row],[Student No]],Tablo3[[Student No]:[DÇ10]],11,FALSE)/HOMEWORK!$I$39))+(IF(LAB!$Q$41=0,0,VLOOKUP(Tablo2[[#This Row],[Student No]],Tablo314[[Student No]:[DÇ10]],20,FALSE)/LAB!$Q$41)))/4</f>
        <v>0.45479166666666665</v>
      </c>
      <c r="H56" s="62">
        <f>((IF(MIDTERM!$J$39=0,0,VLOOKUP(Tablo2[[#This Row],[Student No]],Tablo17[[STUDENT ID]:[DÇ10]],14,FALSE)/MIDTERM!$J$39))+(IF(FINAL!$J$39=0,0,VLOOKUP(Tablo2[[#This Row],[Student No]],Tablo1744[[STUDENT ID]:[DÇ10]],14,FALSE)/FINAL!$J$39))+(IF(HOMEWORK!$I$40=0,0,VLOOKUP(Tablo2[[#This Row],[Student No]],Tablo3[[Student No]:[DÇ10]],12,FALSE)/HOMEWORK!$I$40))+(IF(LAB!$Q$42=0,0,VLOOKUP(Tablo2[[#This Row],[Student No]],Tablo314[[Student No]:[DÇ10]],21,FALSE)/LAB!$Q$42)))/4</f>
        <v>0.34659090909090906</v>
      </c>
      <c r="I56" s="1">
        <f>((IF(MIDTERM!$J$40=0,0,VLOOKUP(Tablo2[[#This Row],[Student No]],Tablo17[[STUDENT ID]:[DÇ10]],15,FALSE)/MIDTERM!$J$40))+(IF(FINAL!$J$40=0,0,VLOOKUP(Tablo2[[#This Row],[Student No]],Tablo1744[[STUDENT ID]:[DÇ10]],15,FALSE)/FINAL!$J$40))+(IF(HOMEWORK!$I$41=0,0,VLOOKUP(Tablo2[[#This Row],[Student No]],Tablo3[[Student No]:[DÇ10]],13,FALSE)/HOMEWORK!$I$41))+(IF(LAB!$Q$43=0,0,VLOOKUP(Tablo2[[#This Row],[Student No]],Tablo314[[Student No]:[DÇ10]],22,FALSE)/LAB!$Q$43)))/4</f>
        <v>0.40869318181818182</v>
      </c>
      <c r="J56" s="1">
        <f>((IF(MIDTERM!$J$41=0,0,VLOOKUP(Tablo2[[#This Row],[Student No]],Tablo17[[STUDENT ID]:[DÇ10]],16,FALSE)/MIDTERM!$J$41))+(IF(FINAL!$J$41=0,0,VLOOKUP(Tablo2[[#This Row],[Student No]],Tablo1744[[STUDENT ID]:[DÇ10]],16,FALSE)/FINAL!$J$41))+(IF(HOMEWORK!$I$42=0,0,VLOOKUP(Tablo2[[#This Row],[Student No]],Tablo3[[Student No]:[DÇ10]],14,FALSE)/HOMEWORK!$I$42))+(IF(LAB!$Q$44=0,0,VLOOKUP(Tablo2[[#This Row],[Student No]],Tablo314[[Student No]:[DÇ10]],23,FALSE)/LAB!$Q$44)))/4</f>
        <v>0</v>
      </c>
      <c r="K56" s="1">
        <f>((IF(MIDTERM!$J$42=0,0,VLOOKUP(Tablo2[[#This Row],[Student No]],Tablo17[[STUDENT ID]:[DÇ10]],17,FALSE)/MIDTERM!$J$42))+(IF(FINAL!$J$42=0,0,VLOOKUP(Tablo2[[#This Row],[Student No]],Tablo1744[[STUDENT ID]:[DÇ10]],17,FALSE)/FINAL!$J$42))+(IF(HOMEWORK!$I$43=0,0,VLOOKUP(Tablo2[[#This Row],[Student No]],Tablo3[[Student No]:[DÇ10]],15,FALSE)/HOMEWORK!$I$43))+(IF(LAB!$Q$45=0,0,VLOOKUP(Tablo2[[#This Row],[Student No]],Tablo314[[Student No]:[DÇ10]],24,FALSE)/LAB!$Q$45)))/4</f>
        <v>0</v>
      </c>
      <c r="L56" s="1">
        <f>((IF(MIDTERM!$J$43=0,0,VLOOKUP(Tablo2[[#This Row],[Student No]],Tablo17[[STUDENT ID]:[DÇ10]],18,FALSE)/MIDTERM!$J$43))+(IF(FINAL!$J$43=0,0,VLOOKUP(Tablo2[[#This Row],[Student No]],Tablo1744[[STUDENT ID]:[DÇ10]],18,FALSE)/FINAL!$J$43))+(IF(HOMEWORK!$I$44=0,0,VLOOKUP(Tablo2[[#This Row],[Student No]],Tablo3[[Student No]:[DÇ10]],16,FALSE)/HOMEWORK!$I$44))+(IF(LAB!$Q$46=0,0,VLOOKUP(Tablo2[[#This Row],[Student No]],Tablo314[[Student No]:[DÇ10]],25,FALSE)/LAB!$Q$46)))/4</f>
        <v>0</v>
      </c>
      <c r="M56" s="1">
        <f>((IF(MIDTERM!$J$44=0,0,VLOOKUP(Tablo2[[#This Row],[Student No]],Tablo17[[STUDENT ID]:[DÇ10]],19,FALSE)/MIDTERM!$J$44))+(IF(FINAL!$J$44=0,0,VLOOKUP(Tablo2[[#This Row],[Student No]],Tablo1744[[STUDENT ID]:[DÇ10]],19,FALSE)/FINAL!$J$44))+(IF(HOMEWORK!$I$45=0,0,VLOOKUP(Tablo2[[#This Row],[Student No]],Tablo3[[Student No]:[DÇ10]],17,FALSE)/HOMEWORK!$I$45))+(IF(LAB!$Q$47=0,0,VLOOKUP(Tablo2[[#This Row],[Student No]],Tablo314[[Student No]:[DÇ10]],26,FALSE)/LAB!$Q$47)))/4</f>
        <v>0</v>
      </c>
      <c r="N56" s="1">
        <f>((IF(MIDTERM!$J$45=0,0,VLOOKUP(Tablo2[[#This Row],[Student No]],Tablo17[[STUDENT ID]:[DÇ10]],20,FALSE)/MIDTERM!$J$45))+(IF(FINAL!$J$45=0,0,VLOOKUP(Tablo2[[#This Row],[Student No]],Tablo1744[[STUDENT ID]:[DÇ10]],20,FALSE)/FINAL!$J$45))+(IF(HOMEWORK!$I$46=0,0,VLOOKUP(Tablo2[[#This Row],[Student No]],Tablo3[[Student No]:[DÇ10]],18,FALSE)/HOMEWORK!$I$46))+(IF(LAB!$Q$48=0,0,VLOOKUP(Tablo2[[#This Row],[Student No]],Tablo314[[Student No]:[DÇ10]],27,FALSE)/LAB!$Q$48)))/4</f>
        <v>0</v>
      </c>
      <c r="O56" s="1">
        <f>((IF(MIDTERM!$J$46=0,0,VLOOKUP(Tablo2[[#This Row],[Student No]],Tablo17[[STUDENT ID]:[DÇ10]],21,FALSE)/MIDTERM!$J$46))+(IF(FINAL!$J$46=0,0,VLOOKUP(Tablo2[[#This Row],[Student No]],Tablo1744[[STUDENT ID]:[DÇ10]],21,FALSE)/FINAL!$J$46))+(IF(HOMEWORK!$I$47=0,0,VLOOKUP(Tablo2[[#This Row],[Student No]],Tablo3[[Student No]:[DÇ10]],19,FALSE)/HOMEWORK!$I$47))+(IF(LAB!$Q$49=0,0,VLOOKUP(Tablo2[[#This Row],[Student No]],Tablo314[[Student No]:[DÇ10]],28,FALSE)/LAB!$Q$49)))/4</f>
        <v>0</v>
      </c>
      <c r="Q56" s="30">
        <v>6</v>
      </c>
      <c r="R56" s="14" t="str">
        <f t="shared" si="1"/>
        <v>Çıktı-6</v>
      </c>
      <c r="S56" s="14">
        <f>LAB!S45</f>
        <v>0</v>
      </c>
      <c r="T56" s="35">
        <f>MIDTERM!L42</f>
        <v>0</v>
      </c>
      <c r="U56" s="35">
        <f>FINAL!L42</f>
        <v>0</v>
      </c>
      <c r="V56" s="14">
        <f>HOMEWORK!K43</f>
        <v>0</v>
      </c>
      <c r="W56" s="14">
        <f>IF(S43=0,0,SUM(Tablo41342[[#This Row],[LAB]:[HOMEWORK]])/S43)</f>
        <v>0</v>
      </c>
    </row>
    <row r="57" spans="1:23" ht="15" x14ac:dyDescent="0.3">
      <c r="A57" s="66"/>
      <c r="B57" s="40">
        <v>21</v>
      </c>
      <c r="C57" s="1">
        <v>21</v>
      </c>
      <c r="D57" s="1" t="str">
        <f>VLOOKUP(Tablo2[[#This Row],[Student No]],Tablo1[[Student No]:[Surname]],2,FALSE)</f>
        <v>Name</v>
      </c>
      <c r="E57" s="1" t="str">
        <f>VLOOKUP(Tablo2[[#This Row],[Student No]],Tablo1[[Student No]:[Surname]],3,FALSE)</f>
        <v>Surname</v>
      </c>
      <c r="F57" s="1">
        <f>((IF(MIDTERM!$J$37=0,0,VLOOKUP(Tablo2[[#This Row],[Student No]],Tablo17[[STUDENT ID]:[DÇ10]],12,FALSE)/MIDTERM!$J$37))+(IF(FINAL!$J$37=0,0,VLOOKUP(Tablo2[[#This Row],[Student No]],Tablo1744[[STUDENT ID]:[DÇ10]],12,FALSE)/FINAL!$J$37))+(IF(HOMEWORK!$I$38=0,0,VLOOKUP(Tablo2[[#This Row],[Student No]],Tablo3[[Student No]:[DÇ10]],10,FALSE)/HOMEWORK!$I$38))+(IF(LAB!$Q$40=0,0,VLOOKUP(Tablo2[[#This Row],[Student No]],Tablo314[[Student No]:[DÇ10]],19,FALSE)/LAB!$Q$40)))/4</f>
        <v>0.53626984126984134</v>
      </c>
      <c r="G57" s="1">
        <f>((IF(MIDTERM!$J$38=0,0,VLOOKUP(Tablo2[[#This Row],[Student No]],Tablo17[[STUDENT ID]:[DÇ10]],13,FALSE)/MIDTERM!$J$38))+(IF(FINAL!$J$38=0,0,VLOOKUP(Tablo2[[#This Row],[Student No]],Tablo1744[[STUDENT ID]:[DÇ10]],13,FALSE)/FINAL!$J$38))+(IF(HOMEWORK!$I$39=0,0,VLOOKUP(Tablo2[[#This Row],[Student No]],Tablo3[[Student No]:[DÇ10]],11,FALSE)/HOMEWORK!$I$39))+(IF(LAB!$Q$41=0,0,VLOOKUP(Tablo2[[#This Row],[Student No]],Tablo314[[Student No]:[DÇ10]],20,FALSE)/LAB!$Q$41)))/4</f>
        <v>0.33562500000000001</v>
      </c>
      <c r="H57" s="62">
        <f>((IF(MIDTERM!$J$39=0,0,VLOOKUP(Tablo2[[#This Row],[Student No]],Tablo17[[STUDENT ID]:[DÇ10]],14,FALSE)/MIDTERM!$J$39))+(IF(FINAL!$J$39=0,0,VLOOKUP(Tablo2[[#This Row],[Student No]],Tablo1744[[STUDENT ID]:[DÇ10]],14,FALSE)/FINAL!$J$39))+(IF(HOMEWORK!$I$40=0,0,VLOOKUP(Tablo2[[#This Row],[Student No]],Tablo3[[Student No]:[DÇ10]],12,FALSE)/HOMEWORK!$I$40))+(IF(LAB!$Q$42=0,0,VLOOKUP(Tablo2[[#This Row],[Student No]],Tablo314[[Student No]:[DÇ10]],21,FALSE)/LAB!$Q$42)))/4</f>
        <v>0.41159090909090906</v>
      </c>
      <c r="I57" s="1">
        <f>((IF(MIDTERM!$J$40=0,0,VLOOKUP(Tablo2[[#This Row],[Student No]],Tablo17[[STUDENT ID]:[DÇ10]],15,FALSE)/MIDTERM!$J$40))+(IF(FINAL!$J$40=0,0,VLOOKUP(Tablo2[[#This Row],[Student No]],Tablo1744[[STUDENT ID]:[DÇ10]],15,FALSE)/FINAL!$J$40))+(IF(HOMEWORK!$I$41=0,0,VLOOKUP(Tablo2[[#This Row],[Student No]],Tablo3[[Student No]:[DÇ10]],13,FALSE)/HOMEWORK!$I$41))+(IF(LAB!$Q$43=0,0,VLOOKUP(Tablo2[[#This Row],[Student No]],Tablo314[[Student No]:[DÇ10]],22,FALSE)/LAB!$Q$43)))/4</f>
        <v>0.42823863636363635</v>
      </c>
      <c r="J57" s="30">
        <f>((IF(MIDTERM!$J$41=0,0,VLOOKUP(Tablo2[[#This Row],[Student No]],Tablo17[[STUDENT ID]:[DÇ10]],16,FALSE)/MIDTERM!$J$41))+(IF(FINAL!$J$41=0,0,VLOOKUP(Tablo2[[#This Row],[Student No]],Tablo1744[[STUDENT ID]:[DÇ10]],16,FALSE)/FINAL!$J$41))+(IF(HOMEWORK!$I$42=0,0,VLOOKUP(Tablo2[[#This Row],[Student No]],Tablo3[[Student No]:[DÇ10]],14,FALSE)/HOMEWORK!$I$42))+(IF(LAB!$Q$44=0,0,VLOOKUP(Tablo2[[#This Row],[Student No]],Tablo314[[Student No]:[DÇ10]],23,FALSE)/LAB!$Q$44)))/4</f>
        <v>0</v>
      </c>
      <c r="K57" s="1">
        <f>((IF(MIDTERM!$J$42=0,0,VLOOKUP(Tablo2[[#This Row],[Student No]],Tablo17[[STUDENT ID]:[DÇ10]],17,FALSE)/MIDTERM!$J$42))+(IF(FINAL!$J$42=0,0,VLOOKUP(Tablo2[[#This Row],[Student No]],Tablo1744[[STUDENT ID]:[DÇ10]],17,FALSE)/FINAL!$J$42))+(IF(HOMEWORK!$I$43=0,0,VLOOKUP(Tablo2[[#This Row],[Student No]],Tablo3[[Student No]:[DÇ10]],15,FALSE)/HOMEWORK!$I$43))+(IF(LAB!$Q$45=0,0,VLOOKUP(Tablo2[[#This Row],[Student No]],Tablo314[[Student No]:[DÇ10]],24,FALSE)/LAB!$Q$45)))/4</f>
        <v>0</v>
      </c>
      <c r="L57" s="1">
        <f>((IF(MIDTERM!$J$43=0,0,VLOOKUP(Tablo2[[#This Row],[Student No]],Tablo17[[STUDENT ID]:[DÇ10]],18,FALSE)/MIDTERM!$J$43))+(IF(FINAL!$J$43=0,0,VLOOKUP(Tablo2[[#This Row],[Student No]],Tablo1744[[STUDENT ID]:[DÇ10]],18,FALSE)/FINAL!$J$43))+(IF(HOMEWORK!$I$44=0,0,VLOOKUP(Tablo2[[#This Row],[Student No]],Tablo3[[Student No]:[DÇ10]],16,FALSE)/HOMEWORK!$I$44))+(IF(LAB!$Q$46=0,0,VLOOKUP(Tablo2[[#This Row],[Student No]],Tablo314[[Student No]:[DÇ10]],25,FALSE)/LAB!$Q$46)))/4</f>
        <v>0</v>
      </c>
      <c r="M57" s="1">
        <f>((IF(MIDTERM!$J$44=0,0,VLOOKUP(Tablo2[[#This Row],[Student No]],Tablo17[[STUDENT ID]:[DÇ10]],19,FALSE)/MIDTERM!$J$44))+(IF(FINAL!$J$44=0,0,VLOOKUP(Tablo2[[#This Row],[Student No]],Tablo1744[[STUDENT ID]:[DÇ10]],19,FALSE)/FINAL!$J$44))+(IF(HOMEWORK!$I$45=0,0,VLOOKUP(Tablo2[[#This Row],[Student No]],Tablo3[[Student No]:[DÇ10]],17,FALSE)/HOMEWORK!$I$45))+(IF(LAB!$Q$47=0,0,VLOOKUP(Tablo2[[#This Row],[Student No]],Tablo314[[Student No]:[DÇ10]],26,FALSE)/LAB!$Q$47)))/4</f>
        <v>0</v>
      </c>
      <c r="N57" s="1">
        <f>((IF(MIDTERM!$J$45=0,0,VLOOKUP(Tablo2[[#This Row],[Student No]],Tablo17[[STUDENT ID]:[DÇ10]],20,FALSE)/MIDTERM!$J$45))+(IF(FINAL!$J$45=0,0,VLOOKUP(Tablo2[[#This Row],[Student No]],Tablo1744[[STUDENT ID]:[DÇ10]],20,FALSE)/FINAL!$J$45))+(IF(HOMEWORK!$I$46=0,0,VLOOKUP(Tablo2[[#This Row],[Student No]],Tablo3[[Student No]:[DÇ10]],18,FALSE)/HOMEWORK!$I$46))+(IF(LAB!$Q$48=0,0,VLOOKUP(Tablo2[[#This Row],[Student No]],Tablo314[[Student No]:[DÇ10]],27,FALSE)/LAB!$Q$48)))/4</f>
        <v>0</v>
      </c>
      <c r="O57" s="1">
        <f>((IF(MIDTERM!$J$46=0,0,VLOOKUP(Tablo2[[#This Row],[Student No]],Tablo17[[STUDENT ID]:[DÇ10]],21,FALSE)/MIDTERM!$J$46))+(IF(FINAL!$J$46=0,0,VLOOKUP(Tablo2[[#This Row],[Student No]],Tablo1744[[STUDENT ID]:[DÇ10]],21,FALSE)/FINAL!$J$46))+(IF(HOMEWORK!$I$47=0,0,VLOOKUP(Tablo2[[#This Row],[Student No]],Tablo3[[Student No]:[DÇ10]],19,FALSE)/HOMEWORK!$I$47))+(IF(LAB!$Q$49=0,0,VLOOKUP(Tablo2[[#This Row],[Student No]],Tablo314[[Student No]:[DÇ10]],28,FALSE)/LAB!$Q$49)))/4</f>
        <v>0</v>
      </c>
      <c r="Q57" s="30">
        <v>7</v>
      </c>
      <c r="R57" s="14" t="str">
        <f t="shared" si="1"/>
        <v>Çıktı-7</v>
      </c>
      <c r="S57" s="14">
        <f>LAB!S46</f>
        <v>0</v>
      </c>
      <c r="T57" s="35">
        <f>MIDTERM!L43</f>
        <v>0</v>
      </c>
      <c r="U57" s="35">
        <f>FINAL!L43</f>
        <v>0</v>
      </c>
      <c r="V57" s="14">
        <f>HOMEWORK!K44</f>
        <v>0</v>
      </c>
      <c r="W57" s="14">
        <f>IF(S44=0,0,SUM(Tablo41342[[#This Row],[LAB]:[HOMEWORK]])/S44)</f>
        <v>0</v>
      </c>
    </row>
    <row r="58" spans="1:23" ht="15" x14ac:dyDescent="0.3">
      <c r="A58" s="66"/>
      <c r="B58" s="41">
        <v>22</v>
      </c>
      <c r="C58" s="1">
        <v>22</v>
      </c>
      <c r="D58" s="1" t="str">
        <f>VLOOKUP(Tablo2[[#This Row],[Student No]],Tablo1[[Student No]:[Surname]],2,FALSE)</f>
        <v>Name</v>
      </c>
      <c r="E58" s="1" t="str">
        <f>VLOOKUP(Tablo2[[#This Row],[Student No]],Tablo1[[Student No]:[Surname]],3,FALSE)</f>
        <v>Surname</v>
      </c>
      <c r="F58" s="1">
        <f>((IF(MIDTERM!$J$37=0,0,VLOOKUP(Tablo2[[#This Row],[Student No]],Tablo17[[STUDENT ID]:[DÇ10]],12,FALSE)/MIDTERM!$J$37))+(IF(FINAL!$J$37=0,0,VLOOKUP(Tablo2[[#This Row],[Student No]],Tablo1744[[STUDENT ID]:[DÇ10]],12,FALSE)/FINAL!$J$37))+(IF(HOMEWORK!$I$38=0,0,VLOOKUP(Tablo2[[#This Row],[Student No]],Tablo3[[Student No]:[DÇ10]],10,FALSE)/HOMEWORK!$I$38))+(IF(LAB!$Q$40=0,0,VLOOKUP(Tablo2[[#This Row],[Student No]],Tablo314[[Student No]:[DÇ10]],19,FALSE)/LAB!$Q$40)))/4</f>
        <v>0.52019841269841272</v>
      </c>
      <c r="G58" s="1">
        <f>((IF(MIDTERM!$J$38=0,0,VLOOKUP(Tablo2[[#This Row],[Student No]],Tablo17[[STUDENT ID]:[DÇ10]],13,FALSE)/MIDTERM!$J$38))+(IF(FINAL!$J$38=0,0,VLOOKUP(Tablo2[[#This Row],[Student No]],Tablo1744[[STUDENT ID]:[DÇ10]],13,FALSE)/FINAL!$J$38))+(IF(HOMEWORK!$I$39=0,0,VLOOKUP(Tablo2[[#This Row],[Student No]],Tablo3[[Student No]:[DÇ10]],11,FALSE)/HOMEWORK!$I$39))+(IF(LAB!$Q$41=0,0,VLOOKUP(Tablo2[[#This Row],[Student No]],Tablo314[[Student No]:[DÇ10]],20,FALSE)/LAB!$Q$41)))/4</f>
        <v>0.23624999999999999</v>
      </c>
      <c r="H58" s="62">
        <f>((IF(MIDTERM!$J$39=0,0,VLOOKUP(Tablo2[[#This Row],[Student No]],Tablo17[[STUDENT ID]:[DÇ10]],14,FALSE)/MIDTERM!$J$39))+(IF(FINAL!$J$39=0,0,VLOOKUP(Tablo2[[#This Row],[Student No]],Tablo1744[[STUDENT ID]:[DÇ10]],14,FALSE)/FINAL!$J$39))+(IF(HOMEWORK!$I$40=0,0,VLOOKUP(Tablo2[[#This Row],[Student No]],Tablo3[[Student No]:[DÇ10]],12,FALSE)/HOMEWORK!$I$40))+(IF(LAB!$Q$42=0,0,VLOOKUP(Tablo2[[#This Row],[Student No]],Tablo314[[Student No]:[DÇ10]],21,FALSE)/LAB!$Q$42)))/4</f>
        <v>0.39659090909090905</v>
      </c>
      <c r="I58" s="1">
        <f>((IF(MIDTERM!$J$40=0,0,VLOOKUP(Tablo2[[#This Row],[Student No]],Tablo17[[STUDENT ID]:[DÇ10]],15,FALSE)/MIDTERM!$J$40))+(IF(FINAL!$J$40=0,0,VLOOKUP(Tablo2[[#This Row],[Student No]],Tablo1744[[STUDENT ID]:[DÇ10]],15,FALSE)/FINAL!$J$40))+(IF(HOMEWORK!$I$41=0,0,VLOOKUP(Tablo2[[#This Row],[Student No]],Tablo3[[Student No]:[DÇ10]],13,FALSE)/HOMEWORK!$I$41))+(IF(LAB!$Q$43=0,0,VLOOKUP(Tablo2[[#This Row],[Student No]],Tablo314[[Student No]:[DÇ10]],22,FALSE)/LAB!$Q$43)))/4</f>
        <v>0.31039772727272724</v>
      </c>
      <c r="J58" s="1">
        <f>((IF(MIDTERM!$J$41=0,0,VLOOKUP(Tablo2[[#This Row],[Student No]],Tablo17[[STUDENT ID]:[DÇ10]],16,FALSE)/MIDTERM!$J$41))+(IF(FINAL!$J$41=0,0,VLOOKUP(Tablo2[[#This Row],[Student No]],Tablo1744[[STUDENT ID]:[DÇ10]],16,FALSE)/FINAL!$J$41))+(IF(HOMEWORK!$I$42=0,0,VLOOKUP(Tablo2[[#This Row],[Student No]],Tablo3[[Student No]:[DÇ10]],14,FALSE)/HOMEWORK!$I$42))+(IF(LAB!$Q$44=0,0,VLOOKUP(Tablo2[[#This Row],[Student No]],Tablo314[[Student No]:[DÇ10]],23,FALSE)/LAB!$Q$44)))/4</f>
        <v>0</v>
      </c>
      <c r="K58" s="1">
        <f>((IF(MIDTERM!$J$42=0,0,VLOOKUP(Tablo2[[#This Row],[Student No]],Tablo17[[STUDENT ID]:[DÇ10]],17,FALSE)/MIDTERM!$J$42))+(IF(FINAL!$J$42=0,0,VLOOKUP(Tablo2[[#This Row],[Student No]],Tablo1744[[STUDENT ID]:[DÇ10]],17,FALSE)/FINAL!$J$42))+(IF(HOMEWORK!$I$43=0,0,VLOOKUP(Tablo2[[#This Row],[Student No]],Tablo3[[Student No]:[DÇ10]],15,FALSE)/HOMEWORK!$I$43))+(IF(LAB!$Q$45=0,0,VLOOKUP(Tablo2[[#This Row],[Student No]],Tablo314[[Student No]:[DÇ10]],24,FALSE)/LAB!$Q$45)))/4</f>
        <v>0</v>
      </c>
      <c r="L58" s="1">
        <f>((IF(MIDTERM!$J$43=0,0,VLOOKUP(Tablo2[[#This Row],[Student No]],Tablo17[[STUDENT ID]:[DÇ10]],18,FALSE)/MIDTERM!$J$43))+(IF(FINAL!$J$43=0,0,VLOOKUP(Tablo2[[#This Row],[Student No]],Tablo1744[[STUDENT ID]:[DÇ10]],18,FALSE)/FINAL!$J$43))+(IF(HOMEWORK!$I$44=0,0,VLOOKUP(Tablo2[[#This Row],[Student No]],Tablo3[[Student No]:[DÇ10]],16,FALSE)/HOMEWORK!$I$44))+(IF(LAB!$Q$46=0,0,VLOOKUP(Tablo2[[#This Row],[Student No]],Tablo314[[Student No]:[DÇ10]],25,FALSE)/LAB!$Q$46)))/4</f>
        <v>0</v>
      </c>
      <c r="M58" s="1">
        <f>((IF(MIDTERM!$J$44=0,0,VLOOKUP(Tablo2[[#This Row],[Student No]],Tablo17[[STUDENT ID]:[DÇ10]],19,FALSE)/MIDTERM!$J$44))+(IF(FINAL!$J$44=0,0,VLOOKUP(Tablo2[[#This Row],[Student No]],Tablo1744[[STUDENT ID]:[DÇ10]],19,FALSE)/FINAL!$J$44))+(IF(HOMEWORK!$I$45=0,0,VLOOKUP(Tablo2[[#This Row],[Student No]],Tablo3[[Student No]:[DÇ10]],17,FALSE)/HOMEWORK!$I$45))+(IF(LAB!$Q$47=0,0,VLOOKUP(Tablo2[[#This Row],[Student No]],Tablo314[[Student No]:[DÇ10]],26,FALSE)/LAB!$Q$47)))/4</f>
        <v>0</v>
      </c>
      <c r="N58" s="1">
        <f>((IF(MIDTERM!$J$45=0,0,VLOOKUP(Tablo2[[#This Row],[Student No]],Tablo17[[STUDENT ID]:[DÇ10]],20,FALSE)/MIDTERM!$J$45))+(IF(FINAL!$J$45=0,0,VLOOKUP(Tablo2[[#This Row],[Student No]],Tablo1744[[STUDENT ID]:[DÇ10]],20,FALSE)/FINAL!$J$45))+(IF(HOMEWORK!$I$46=0,0,VLOOKUP(Tablo2[[#This Row],[Student No]],Tablo3[[Student No]:[DÇ10]],18,FALSE)/HOMEWORK!$I$46))+(IF(LAB!$Q$48=0,0,VLOOKUP(Tablo2[[#This Row],[Student No]],Tablo314[[Student No]:[DÇ10]],27,FALSE)/LAB!$Q$48)))/4</f>
        <v>0</v>
      </c>
      <c r="O58" s="1">
        <f>((IF(MIDTERM!$J$46=0,0,VLOOKUP(Tablo2[[#This Row],[Student No]],Tablo17[[STUDENT ID]:[DÇ10]],21,FALSE)/MIDTERM!$J$46))+(IF(FINAL!$J$46=0,0,VLOOKUP(Tablo2[[#This Row],[Student No]],Tablo1744[[STUDENT ID]:[DÇ10]],21,FALSE)/FINAL!$J$46))+(IF(HOMEWORK!$I$47=0,0,VLOOKUP(Tablo2[[#This Row],[Student No]],Tablo3[[Student No]:[DÇ10]],19,FALSE)/HOMEWORK!$I$47))+(IF(LAB!$Q$49=0,0,VLOOKUP(Tablo2[[#This Row],[Student No]],Tablo314[[Student No]:[DÇ10]],28,FALSE)/LAB!$Q$49)))/4</f>
        <v>0</v>
      </c>
      <c r="Q58" s="30">
        <v>8</v>
      </c>
      <c r="R58" s="14" t="str">
        <f t="shared" si="1"/>
        <v>Çıktı-8</v>
      </c>
      <c r="S58" s="14">
        <f>LAB!S47</f>
        <v>0</v>
      </c>
      <c r="T58" s="35">
        <f>MIDTERM!L44</f>
        <v>0</v>
      </c>
      <c r="U58" s="35">
        <f>FINAL!L44</f>
        <v>0</v>
      </c>
      <c r="V58" s="14">
        <f>HOMEWORK!K45</f>
        <v>0</v>
      </c>
      <c r="W58" s="14">
        <f>IF(S45=0,0,SUM(Tablo41342[[#This Row],[LAB]:[HOMEWORK]])/S45)</f>
        <v>0</v>
      </c>
    </row>
    <row r="59" spans="1:23" ht="15" x14ac:dyDescent="0.3">
      <c r="A59" s="66"/>
      <c r="B59" s="40">
        <v>23</v>
      </c>
      <c r="C59" s="1">
        <v>23</v>
      </c>
      <c r="D59" s="1" t="str">
        <f>VLOOKUP(Tablo2[[#This Row],[Student No]],Tablo1[[Student No]:[Surname]],2,FALSE)</f>
        <v>Name</v>
      </c>
      <c r="E59" s="1" t="str">
        <f>VLOOKUP(Tablo2[[#This Row],[Student No]],Tablo1[[Student No]:[Surname]],3,FALSE)</f>
        <v>Surname</v>
      </c>
      <c r="F59" s="1">
        <f>((IF(MIDTERM!$J$37=0,0,VLOOKUP(Tablo2[[#This Row],[Student No]],Tablo17[[STUDENT ID]:[DÇ10]],12,FALSE)/MIDTERM!$J$37))+(IF(FINAL!$J$37=0,0,VLOOKUP(Tablo2[[#This Row],[Student No]],Tablo1744[[STUDENT ID]:[DÇ10]],12,FALSE)/FINAL!$J$37))+(IF(HOMEWORK!$I$38=0,0,VLOOKUP(Tablo2[[#This Row],[Student No]],Tablo3[[Student No]:[DÇ10]],10,FALSE)/HOMEWORK!$I$38))+(IF(LAB!$Q$40=0,0,VLOOKUP(Tablo2[[#This Row],[Student No]],Tablo314[[Student No]:[DÇ10]],19,FALSE)/LAB!$Q$40)))/4</f>
        <v>0.58988095238095239</v>
      </c>
      <c r="G59" s="1">
        <f>((IF(MIDTERM!$J$38=0,0,VLOOKUP(Tablo2[[#This Row],[Student No]],Tablo17[[STUDENT ID]:[DÇ10]],13,FALSE)/MIDTERM!$J$38))+(IF(FINAL!$J$38=0,0,VLOOKUP(Tablo2[[#This Row],[Student No]],Tablo1744[[STUDENT ID]:[DÇ10]],13,FALSE)/FINAL!$J$38))+(IF(HOMEWORK!$I$39=0,0,VLOOKUP(Tablo2[[#This Row],[Student No]],Tablo3[[Student No]:[DÇ10]],11,FALSE)/HOMEWORK!$I$39))+(IF(LAB!$Q$41=0,0,VLOOKUP(Tablo2[[#This Row],[Student No]],Tablo314[[Student No]:[DÇ10]],20,FALSE)/LAB!$Q$41)))/4</f>
        <v>0.45937499999999998</v>
      </c>
      <c r="H59" s="62">
        <f>((IF(MIDTERM!$J$39=0,0,VLOOKUP(Tablo2[[#This Row],[Student No]],Tablo17[[STUDENT ID]:[DÇ10]],14,FALSE)/MIDTERM!$J$39))+(IF(FINAL!$J$39=0,0,VLOOKUP(Tablo2[[#This Row],[Student No]],Tablo1744[[STUDENT ID]:[DÇ10]],14,FALSE)/FINAL!$J$39))+(IF(HOMEWORK!$I$40=0,0,VLOOKUP(Tablo2[[#This Row],[Student No]],Tablo3[[Student No]:[DÇ10]],12,FALSE)/HOMEWORK!$I$40))+(IF(LAB!$Q$42=0,0,VLOOKUP(Tablo2[[#This Row],[Student No]],Tablo314[[Student No]:[DÇ10]],21,FALSE)/LAB!$Q$42)))/4</f>
        <v>0.52556818181818188</v>
      </c>
      <c r="I59" s="1">
        <f>((IF(MIDTERM!$J$40=0,0,VLOOKUP(Tablo2[[#This Row],[Student No]],Tablo17[[STUDENT ID]:[DÇ10]],15,FALSE)/MIDTERM!$J$40))+(IF(FINAL!$J$40=0,0,VLOOKUP(Tablo2[[#This Row],[Student No]],Tablo1744[[STUDENT ID]:[DÇ10]],15,FALSE)/FINAL!$J$40))+(IF(HOMEWORK!$I$41=0,0,VLOOKUP(Tablo2[[#This Row],[Student No]],Tablo3[[Student No]:[DÇ10]],13,FALSE)/HOMEWORK!$I$41))+(IF(LAB!$Q$43=0,0,VLOOKUP(Tablo2[[#This Row],[Student No]],Tablo314[[Student No]:[DÇ10]],22,FALSE)/LAB!$Q$43)))/4</f>
        <v>0.39056818181818181</v>
      </c>
      <c r="J59" s="1">
        <f>((IF(MIDTERM!$J$41=0,0,VLOOKUP(Tablo2[[#This Row],[Student No]],Tablo17[[STUDENT ID]:[DÇ10]],16,FALSE)/MIDTERM!$J$41))+(IF(FINAL!$J$41=0,0,VLOOKUP(Tablo2[[#This Row],[Student No]],Tablo1744[[STUDENT ID]:[DÇ10]],16,FALSE)/FINAL!$J$41))+(IF(HOMEWORK!$I$42=0,0,VLOOKUP(Tablo2[[#This Row],[Student No]],Tablo3[[Student No]:[DÇ10]],14,FALSE)/HOMEWORK!$I$42))+(IF(LAB!$Q$44=0,0,VLOOKUP(Tablo2[[#This Row],[Student No]],Tablo314[[Student No]:[DÇ10]],23,FALSE)/LAB!$Q$44)))/4</f>
        <v>0</v>
      </c>
      <c r="K59" s="1">
        <f>((IF(MIDTERM!$J$42=0,0,VLOOKUP(Tablo2[[#This Row],[Student No]],Tablo17[[STUDENT ID]:[DÇ10]],17,FALSE)/MIDTERM!$J$42))+(IF(FINAL!$J$42=0,0,VLOOKUP(Tablo2[[#This Row],[Student No]],Tablo1744[[STUDENT ID]:[DÇ10]],17,FALSE)/FINAL!$J$42))+(IF(HOMEWORK!$I$43=0,0,VLOOKUP(Tablo2[[#This Row],[Student No]],Tablo3[[Student No]:[DÇ10]],15,FALSE)/HOMEWORK!$I$43))+(IF(LAB!$Q$45=0,0,VLOOKUP(Tablo2[[#This Row],[Student No]],Tablo314[[Student No]:[DÇ10]],24,FALSE)/LAB!$Q$45)))/4</f>
        <v>0</v>
      </c>
      <c r="L59" s="1">
        <f>((IF(MIDTERM!$J$43=0,0,VLOOKUP(Tablo2[[#This Row],[Student No]],Tablo17[[STUDENT ID]:[DÇ10]],18,FALSE)/MIDTERM!$J$43))+(IF(FINAL!$J$43=0,0,VLOOKUP(Tablo2[[#This Row],[Student No]],Tablo1744[[STUDENT ID]:[DÇ10]],18,FALSE)/FINAL!$J$43))+(IF(HOMEWORK!$I$44=0,0,VLOOKUP(Tablo2[[#This Row],[Student No]],Tablo3[[Student No]:[DÇ10]],16,FALSE)/HOMEWORK!$I$44))+(IF(LAB!$Q$46=0,0,VLOOKUP(Tablo2[[#This Row],[Student No]],Tablo314[[Student No]:[DÇ10]],25,FALSE)/LAB!$Q$46)))/4</f>
        <v>0</v>
      </c>
      <c r="M59" s="1">
        <f>((IF(MIDTERM!$J$44=0,0,VLOOKUP(Tablo2[[#This Row],[Student No]],Tablo17[[STUDENT ID]:[DÇ10]],19,FALSE)/MIDTERM!$J$44))+(IF(FINAL!$J$44=0,0,VLOOKUP(Tablo2[[#This Row],[Student No]],Tablo1744[[STUDENT ID]:[DÇ10]],19,FALSE)/FINAL!$J$44))+(IF(HOMEWORK!$I$45=0,0,VLOOKUP(Tablo2[[#This Row],[Student No]],Tablo3[[Student No]:[DÇ10]],17,FALSE)/HOMEWORK!$I$45))+(IF(LAB!$Q$47=0,0,VLOOKUP(Tablo2[[#This Row],[Student No]],Tablo314[[Student No]:[DÇ10]],26,FALSE)/LAB!$Q$47)))/4</f>
        <v>0</v>
      </c>
      <c r="N59" s="1">
        <f>((IF(MIDTERM!$J$45=0,0,VLOOKUP(Tablo2[[#This Row],[Student No]],Tablo17[[STUDENT ID]:[DÇ10]],20,FALSE)/MIDTERM!$J$45))+(IF(FINAL!$J$45=0,0,VLOOKUP(Tablo2[[#This Row],[Student No]],Tablo1744[[STUDENT ID]:[DÇ10]],20,FALSE)/FINAL!$J$45))+(IF(HOMEWORK!$I$46=0,0,VLOOKUP(Tablo2[[#This Row],[Student No]],Tablo3[[Student No]:[DÇ10]],18,FALSE)/HOMEWORK!$I$46))+(IF(LAB!$Q$48=0,0,VLOOKUP(Tablo2[[#This Row],[Student No]],Tablo314[[Student No]:[DÇ10]],27,FALSE)/LAB!$Q$48)))/4</f>
        <v>0</v>
      </c>
      <c r="O59" s="1">
        <f>((IF(MIDTERM!$J$46=0,0,VLOOKUP(Tablo2[[#This Row],[Student No]],Tablo17[[STUDENT ID]:[DÇ10]],21,FALSE)/MIDTERM!$J$46))+(IF(FINAL!$J$46=0,0,VLOOKUP(Tablo2[[#This Row],[Student No]],Tablo1744[[STUDENT ID]:[DÇ10]],21,FALSE)/FINAL!$J$46))+(IF(HOMEWORK!$I$47=0,0,VLOOKUP(Tablo2[[#This Row],[Student No]],Tablo3[[Student No]:[DÇ10]],19,FALSE)/HOMEWORK!$I$47))+(IF(LAB!$Q$49=0,0,VLOOKUP(Tablo2[[#This Row],[Student No]],Tablo314[[Student No]:[DÇ10]],28,FALSE)/LAB!$Q$49)))/4</f>
        <v>0</v>
      </c>
      <c r="Q59" s="30">
        <v>9</v>
      </c>
      <c r="R59" s="14" t="str">
        <f t="shared" si="1"/>
        <v>Çıktı-9</v>
      </c>
      <c r="S59" s="14">
        <f>LAB!S48</f>
        <v>0</v>
      </c>
      <c r="T59" s="35">
        <f>MIDTERM!L45</f>
        <v>0</v>
      </c>
      <c r="U59" s="35">
        <f>FINAL!L45</f>
        <v>0</v>
      </c>
      <c r="V59" s="14">
        <f>HOMEWORK!K46</f>
        <v>0</v>
      </c>
      <c r="W59" s="14">
        <f>IF(S46=0,0,SUM(Tablo41342[[#This Row],[LAB]:[HOMEWORK]])/S46)</f>
        <v>0</v>
      </c>
    </row>
    <row r="60" spans="1:23" ht="15" x14ac:dyDescent="0.3">
      <c r="A60" s="66"/>
      <c r="B60" s="41">
        <v>24</v>
      </c>
      <c r="C60" s="1">
        <v>24</v>
      </c>
      <c r="D60" s="1" t="str">
        <f>VLOOKUP(Tablo2[[#This Row],[Student No]],Tablo1[[Student No]:[Surname]],2,FALSE)</f>
        <v>Name</v>
      </c>
      <c r="E60" s="1" t="str">
        <f>VLOOKUP(Tablo2[[#This Row],[Student No]],Tablo1[[Student No]:[Surname]],3,FALSE)</f>
        <v>Surname</v>
      </c>
      <c r="F60" s="1">
        <f>((IF(MIDTERM!$J$37=0,0,VLOOKUP(Tablo2[[#This Row],[Student No]],Tablo17[[STUDENT ID]:[DÇ10]],12,FALSE)/MIDTERM!$J$37))+(IF(FINAL!$J$37=0,0,VLOOKUP(Tablo2[[#This Row],[Student No]],Tablo1744[[STUDENT ID]:[DÇ10]],12,FALSE)/FINAL!$J$37))+(IF(HOMEWORK!$I$38=0,0,VLOOKUP(Tablo2[[#This Row],[Student No]],Tablo3[[Student No]:[DÇ10]],10,FALSE)/HOMEWORK!$I$38))+(IF(LAB!$Q$40=0,0,VLOOKUP(Tablo2[[#This Row],[Student No]],Tablo314[[Student No]:[DÇ10]],19,FALSE)/LAB!$Q$40)))/4</f>
        <v>0.56388888888888888</v>
      </c>
      <c r="G60" s="1">
        <f>((IF(MIDTERM!$J$38=0,0,VLOOKUP(Tablo2[[#This Row],[Student No]],Tablo17[[STUDENT ID]:[DÇ10]],13,FALSE)/MIDTERM!$J$38))+(IF(FINAL!$J$38=0,0,VLOOKUP(Tablo2[[#This Row],[Student No]],Tablo1744[[STUDENT ID]:[DÇ10]],13,FALSE)/FINAL!$J$38))+(IF(HOMEWORK!$I$39=0,0,VLOOKUP(Tablo2[[#This Row],[Student No]],Tablo3[[Student No]:[DÇ10]],11,FALSE)/HOMEWORK!$I$39))+(IF(LAB!$Q$41=0,0,VLOOKUP(Tablo2[[#This Row],[Student No]],Tablo314[[Student No]:[DÇ10]],20,FALSE)/LAB!$Q$41)))/4</f>
        <v>0.42583333333333329</v>
      </c>
      <c r="H60" s="62">
        <f>((IF(MIDTERM!$J$39=0,0,VLOOKUP(Tablo2[[#This Row],[Student No]],Tablo17[[STUDENT ID]:[DÇ10]],14,FALSE)/MIDTERM!$J$39))+(IF(FINAL!$J$39=0,0,VLOOKUP(Tablo2[[#This Row],[Student No]],Tablo1744[[STUDENT ID]:[DÇ10]],14,FALSE)/FINAL!$J$39))+(IF(HOMEWORK!$I$40=0,0,VLOOKUP(Tablo2[[#This Row],[Student No]],Tablo3[[Student No]:[DÇ10]],12,FALSE)/HOMEWORK!$I$40))+(IF(LAB!$Q$42=0,0,VLOOKUP(Tablo2[[#This Row],[Student No]],Tablo314[[Student No]:[DÇ10]],21,FALSE)/LAB!$Q$42)))/4</f>
        <v>0.35272727272727278</v>
      </c>
      <c r="I60" s="1">
        <f>((IF(MIDTERM!$J$40=0,0,VLOOKUP(Tablo2[[#This Row],[Student No]],Tablo17[[STUDENT ID]:[DÇ10]],15,FALSE)/MIDTERM!$J$40))+(IF(FINAL!$J$40=0,0,VLOOKUP(Tablo2[[#This Row],[Student No]],Tablo1744[[STUDENT ID]:[DÇ10]],15,FALSE)/FINAL!$J$40))+(IF(HOMEWORK!$I$41=0,0,VLOOKUP(Tablo2[[#This Row],[Student No]],Tablo3[[Student No]:[DÇ10]],13,FALSE)/HOMEWORK!$I$41))+(IF(LAB!$Q$43=0,0,VLOOKUP(Tablo2[[#This Row],[Student No]],Tablo314[[Student No]:[DÇ10]],22,FALSE)/LAB!$Q$43)))/4</f>
        <v>0.34477272727272729</v>
      </c>
      <c r="J60" s="1">
        <f>((IF(MIDTERM!$J$41=0,0,VLOOKUP(Tablo2[[#This Row],[Student No]],Tablo17[[STUDENT ID]:[DÇ10]],16,FALSE)/MIDTERM!$J$41))+(IF(FINAL!$J$41=0,0,VLOOKUP(Tablo2[[#This Row],[Student No]],Tablo1744[[STUDENT ID]:[DÇ10]],16,FALSE)/FINAL!$J$41))+(IF(HOMEWORK!$I$42=0,0,VLOOKUP(Tablo2[[#This Row],[Student No]],Tablo3[[Student No]:[DÇ10]],14,FALSE)/HOMEWORK!$I$42))+(IF(LAB!$Q$44=0,0,VLOOKUP(Tablo2[[#This Row],[Student No]],Tablo314[[Student No]:[DÇ10]],23,FALSE)/LAB!$Q$44)))/4</f>
        <v>0</v>
      </c>
      <c r="K60" s="1">
        <f>((IF(MIDTERM!$J$42=0,0,VLOOKUP(Tablo2[[#This Row],[Student No]],Tablo17[[STUDENT ID]:[DÇ10]],17,FALSE)/MIDTERM!$J$42))+(IF(FINAL!$J$42=0,0,VLOOKUP(Tablo2[[#This Row],[Student No]],Tablo1744[[STUDENT ID]:[DÇ10]],17,FALSE)/FINAL!$J$42))+(IF(HOMEWORK!$I$43=0,0,VLOOKUP(Tablo2[[#This Row],[Student No]],Tablo3[[Student No]:[DÇ10]],15,FALSE)/HOMEWORK!$I$43))+(IF(LAB!$Q$45=0,0,VLOOKUP(Tablo2[[#This Row],[Student No]],Tablo314[[Student No]:[DÇ10]],24,FALSE)/LAB!$Q$45)))/4</f>
        <v>0</v>
      </c>
      <c r="L60" s="1">
        <f>((IF(MIDTERM!$J$43=0,0,VLOOKUP(Tablo2[[#This Row],[Student No]],Tablo17[[STUDENT ID]:[DÇ10]],18,FALSE)/MIDTERM!$J$43))+(IF(FINAL!$J$43=0,0,VLOOKUP(Tablo2[[#This Row],[Student No]],Tablo1744[[STUDENT ID]:[DÇ10]],18,FALSE)/FINAL!$J$43))+(IF(HOMEWORK!$I$44=0,0,VLOOKUP(Tablo2[[#This Row],[Student No]],Tablo3[[Student No]:[DÇ10]],16,FALSE)/HOMEWORK!$I$44))+(IF(LAB!$Q$46=0,0,VLOOKUP(Tablo2[[#This Row],[Student No]],Tablo314[[Student No]:[DÇ10]],25,FALSE)/LAB!$Q$46)))/4</f>
        <v>0</v>
      </c>
      <c r="M60" s="1">
        <f>((IF(MIDTERM!$J$44=0,0,VLOOKUP(Tablo2[[#This Row],[Student No]],Tablo17[[STUDENT ID]:[DÇ10]],19,FALSE)/MIDTERM!$J$44))+(IF(FINAL!$J$44=0,0,VLOOKUP(Tablo2[[#This Row],[Student No]],Tablo1744[[STUDENT ID]:[DÇ10]],19,FALSE)/FINAL!$J$44))+(IF(HOMEWORK!$I$45=0,0,VLOOKUP(Tablo2[[#This Row],[Student No]],Tablo3[[Student No]:[DÇ10]],17,FALSE)/HOMEWORK!$I$45))+(IF(LAB!$Q$47=0,0,VLOOKUP(Tablo2[[#This Row],[Student No]],Tablo314[[Student No]:[DÇ10]],26,FALSE)/LAB!$Q$47)))/4</f>
        <v>0</v>
      </c>
      <c r="N60" s="1">
        <f>((IF(MIDTERM!$J$45=0,0,VLOOKUP(Tablo2[[#This Row],[Student No]],Tablo17[[STUDENT ID]:[DÇ10]],20,FALSE)/MIDTERM!$J$45))+(IF(FINAL!$J$45=0,0,VLOOKUP(Tablo2[[#This Row],[Student No]],Tablo1744[[STUDENT ID]:[DÇ10]],20,FALSE)/FINAL!$J$45))+(IF(HOMEWORK!$I$46=0,0,VLOOKUP(Tablo2[[#This Row],[Student No]],Tablo3[[Student No]:[DÇ10]],18,FALSE)/HOMEWORK!$I$46))+(IF(LAB!$Q$48=0,0,VLOOKUP(Tablo2[[#This Row],[Student No]],Tablo314[[Student No]:[DÇ10]],27,FALSE)/LAB!$Q$48)))/4</f>
        <v>0</v>
      </c>
      <c r="O60" s="1">
        <f>((IF(MIDTERM!$J$46=0,0,VLOOKUP(Tablo2[[#This Row],[Student No]],Tablo17[[STUDENT ID]:[DÇ10]],21,FALSE)/MIDTERM!$J$46))+(IF(FINAL!$J$46=0,0,VLOOKUP(Tablo2[[#This Row],[Student No]],Tablo1744[[STUDENT ID]:[DÇ10]],21,FALSE)/FINAL!$J$46))+(IF(HOMEWORK!$I$47=0,0,VLOOKUP(Tablo2[[#This Row],[Student No]],Tablo3[[Student No]:[DÇ10]],19,FALSE)/HOMEWORK!$I$47))+(IF(LAB!$Q$49=0,0,VLOOKUP(Tablo2[[#This Row],[Student No]],Tablo314[[Student No]:[DÇ10]],28,FALSE)/LAB!$Q$49)))/4</f>
        <v>0</v>
      </c>
      <c r="Q60" s="30">
        <v>10</v>
      </c>
      <c r="R60" s="14" t="str">
        <f t="shared" si="1"/>
        <v>Çıktı-10</v>
      </c>
      <c r="S60" s="14">
        <f>LAB!S49</f>
        <v>0</v>
      </c>
      <c r="T60" s="35">
        <f>MIDTERM!L46</f>
        <v>0</v>
      </c>
      <c r="U60" s="35">
        <f>FINAL!L46</f>
        <v>0</v>
      </c>
      <c r="V60" s="14">
        <f>HOMEWORK!K47</f>
        <v>0</v>
      </c>
      <c r="W60" s="14">
        <f>IF(S47=0,0,SUM(Tablo41342[[#This Row],[LAB]:[HOMEWORK]])/S47)</f>
        <v>0</v>
      </c>
    </row>
    <row r="61" spans="1:23" ht="15" x14ac:dyDescent="0.3">
      <c r="A61" s="66"/>
      <c r="B61" s="40">
        <v>25</v>
      </c>
      <c r="C61" s="1">
        <v>25</v>
      </c>
      <c r="D61" s="1" t="str">
        <f>VLOOKUP(Tablo2[[#This Row],[Student No]],Tablo1[[Student No]:[Surname]],2,FALSE)</f>
        <v>Name</v>
      </c>
      <c r="E61" s="1" t="str">
        <f>VLOOKUP(Tablo2[[#This Row],[Student No]],Tablo1[[Student No]:[Surname]],3,FALSE)</f>
        <v>Surname</v>
      </c>
      <c r="F61" s="1">
        <f>((IF(MIDTERM!$J$37=0,0,VLOOKUP(Tablo2[[#This Row],[Student No]],Tablo17[[STUDENT ID]:[DÇ10]],12,FALSE)/MIDTERM!$J$37))+(IF(FINAL!$J$37=0,0,VLOOKUP(Tablo2[[#This Row],[Student No]],Tablo1744[[STUDENT ID]:[DÇ10]],12,FALSE)/FINAL!$J$37))+(IF(HOMEWORK!$I$38=0,0,VLOOKUP(Tablo2[[#This Row],[Student No]],Tablo3[[Student No]:[DÇ10]],10,FALSE)/HOMEWORK!$I$38))+(IF(LAB!$Q$40=0,0,VLOOKUP(Tablo2[[#This Row],[Student No]],Tablo314[[Student No]:[DÇ10]],19,FALSE)/LAB!$Q$40)))/4</f>
        <v>0.30178571428571432</v>
      </c>
      <c r="G61" s="1">
        <f>((IF(MIDTERM!$J$38=0,0,VLOOKUP(Tablo2[[#This Row],[Student No]],Tablo17[[STUDENT ID]:[DÇ10]],13,FALSE)/MIDTERM!$J$38))+(IF(FINAL!$J$38=0,0,VLOOKUP(Tablo2[[#This Row],[Student No]],Tablo1744[[STUDENT ID]:[DÇ10]],13,FALSE)/FINAL!$J$38))+(IF(HOMEWORK!$I$39=0,0,VLOOKUP(Tablo2[[#This Row],[Student No]],Tablo3[[Student No]:[DÇ10]],11,FALSE)/HOMEWORK!$I$39))+(IF(LAB!$Q$41=0,0,VLOOKUP(Tablo2[[#This Row],[Student No]],Tablo314[[Student No]:[DÇ10]],20,FALSE)/LAB!$Q$41)))/4</f>
        <v>0.24187500000000001</v>
      </c>
      <c r="H61" s="62">
        <f>((IF(MIDTERM!$J$39=0,0,VLOOKUP(Tablo2[[#This Row],[Student No]],Tablo17[[STUDENT ID]:[DÇ10]],14,FALSE)/MIDTERM!$J$39))+(IF(FINAL!$J$39=0,0,VLOOKUP(Tablo2[[#This Row],[Student No]],Tablo1744[[STUDENT ID]:[DÇ10]],14,FALSE)/FINAL!$J$39))+(IF(HOMEWORK!$I$40=0,0,VLOOKUP(Tablo2[[#This Row],[Student No]],Tablo3[[Student No]:[DÇ10]],12,FALSE)/HOMEWORK!$I$40))+(IF(LAB!$Q$42=0,0,VLOOKUP(Tablo2[[#This Row],[Student No]],Tablo314[[Student No]:[DÇ10]],21,FALSE)/LAB!$Q$42)))/4</f>
        <v>0.40477272727272723</v>
      </c>
      <c r="I61" s="1">
        <f>((IF(MIDTERM!$J$40=0,0,VLOOKUP(Tablo2[[#This Row],[Student No]],Tablo17[[STUDENT ID]:[DÇ10]],15,FALSE)/MIDTERM!$J$40))+(IF(FINAL!$J$40=0,0,VLOOKUP(Tablo2[[#This Row],[Student No]],Tablo1744[[STUDENT ID]:[DÇ10]],15,FALSE)/FINAL!$J$40))+(IF(HOMEWORK!$I$41=0,0,VLOOKUP(Tablo2[[#This Row],[Student No]],Tablo3[[Student No]:[DÇ10]],13,FALSE)/HOMEWORK!$I$41))+(IF(LAB!$Q$43=0,0,VLOOKUP(Tablo2[[#This Row],[Student No]],Tablo314[[Student No]:[DÇ10]],22,FALSE)/LAB!$Q$43)))/4</f>
        <v>0.24238636363636362</v>
      </c>
      <c r="J61" s="1">
        <f>((IF(MIDTERM!$J$41=0,0,VLOOKUP(Tablo2[[#This Row],[Student No]],Tablo17[[STUDENT ID]:[DÇ10]],16,FALSE)/MIDTERM!$J$41))+(IF(FINAL!$J$41=0,0,VLOOKUP(Tablo2[[#This Row],[Student No]],Tablo1744[[STUDENT ID]:[DÇ10]],16,FALSE)/FINAL!$J$41))+(IF(HOMEWORK!$I$42=0,0,VLOOKUP(Tablo2[[#This Row],[Student No]],Tablo3[[Student No]:[DÇ10]],14,FALSE)/HOMEWORK!$I$42))+(IF(LAB!$Q$44=0,0,VLOOKUP(Tablo2[[#This Row],[Student No]],Tablo314[[Student No]:[DÇ10]],23,FALSE)/LAB!$Q$44)))/4</f>
        <v>0</v>
      </c>
      <c r="K61" s="1">
        <f>((IF(MIDTERM!$J$42=0,0,VLOOKUP(Tablo2[[#This Row],[Student No]],Tablo17[[STUDENT ID]:[DÇ10]],17,FALSE)/MIDTERM!$J$42))+(IF(FINAL!$J$42=0,0,VLOOKUP(Tablo2[[#This Row],[Student No]],Tablo1744[[STUDENT ID]:[DÇ10]],17,FALSE)/FINAL!$J$42))+(IF(HOMEWORK!$I$43=0,0,VLOOKUP(Tablo2[[#This Row],[Student No]],Tablo3[[Student No]:[DÇ10]],15,FALSE)/HOMEWORK!$I$43))+(IF(LAB!$Q$45=0,0,VLOOKUP(Tablo2[[#This Row],[Student No]],Tablo314[[Student No]:[DÇ10]],24,FALSE)/LAB!$Q$45)))/4</f>
        <v>0</v>
      </c>
      <c r="L61" s="1">
        <f>((IF(MIDTERM!$J$43=0,0,VLOOKUP(Tablo2[[#This Row],[Student No]],Tablo17[[STUDENT ID]:[DÇ10]],18,FALSE)/MIDTERM!$J$43))+(IF(FINAL!$J$43=0,0,VLOOKUP(Tablo2[[#This Row],[Student No]],Tablo1744[[STUDENT ID]:[DÇ10]],18,FALSE)/FINAL!$J$43))+(IF(HOMEWORK!$I$44=0,0,VLOOKUP(Tablo2[[#This Row],[Student No]],Tablo3[[Student No]:[DÇ10]],16,FALSE)/HOMEWORK!$I$44))+(IF(LAB!$Q$46=0,0,VLOOKUP(Tablo2[[#This Row],[Student No]],Tablo314[[Student No]:[DÇ10]],25,FALSE)/LAB!$Q$46)))/4</f>
        <v>0</v>
      </c>
      <c r="M61" s="1">
        <f>((IF(MIDTERM!$J$44=0,0,VLOOKUP(Tablo2[[#This Row],[Student No]],Tablo17[[STUDENT ID]:[DÇ10]],19,FALSE)/MIDTERM!$J$44))+(IF(FINAL!$J$44=0,0,VLOOKUP(Tablo2[[#This Row],[Student No]],Tablo1744[[STUDENT ID]:[DÇ10]],19,FALSE)/FINAL!$J$44))+(IF(HOMEWORK!$I$45=0,0,VLOOKUP(Tablo2[[#This Row],[Student No]],Tablo3[[Student No]:[DÇ10]],17,FALSE)/HOMEWORK!$I$45))+(IF(LAB!$Q$47=0,0,VLOOKUP(Tablo2[[#This Row],[Student No]],Tablo314[[Student No]:[DÇ10]],26,FALSE)/LAB!$Q$47)))/4</f>
        <v>0</v>
      </c>
      <c r="N61" s="1">
        <f>((IF(MIDTERM!$J$45=0,0,VLOOKUP(Tablo2[[#This Row],[Student No]],Tablo17[[STUDENT ID]:[DÇ10]],20,FALSE)/MIDTERM!$J$45))+(IF(FINAL!$J$45=0,0,VLOOKUP(Tablo2[[#This Row],[Student No]],Tablo1744[[STUDENT ID]:[DÇ10]],20,FALSE)/FINAL!$J$45))+(IF(HOMEWORK!$I$46=0,0,VLOOKUP(Tablo2[[#This Row],[Student No]],Tablo3[[Student No]:[DÇ10]],18,FALSE)/HOMEWORK!$I$46))+(IF(LAB!$Q$48=0,0,VLOOKUP(Tablo2[[#This Row],[Student No]],Tablo314[[Student No]:[DÇ10]],27,FALSE)/LAB!$Q$48)))/4</f>
        <v>0</v>
      </c>
      <c r="O61" s="1">
        <f>((IF(MIDTERM!$J$46=0,0,VLOOKUP(Tablo2[[#This Row],[Student No]],Tablo17[[STUDENT ID]:[DÇ10]],21,FALSE)/MIDTERM!$J$46))+(IF(FINAL!$J$46=0,0,VLOOKUP(Tablo2[[#This Row],[Student No]],Tablo1744[[STUDENT ID]:[DÇ10]],21,FALSE)/FINAL!$J$46))+(IF(HOMEWORK!$I$47=0,0,VLOOKUP(Tablo2[[#This Row],[Student No]],Tablo3[[Student No]:[DÇ10]],19,FALSE)/HOMEWORK!$I$47))+(IF(LAB!$Q$49=0,0,VLOOKUP(Tablo2[[#This Row],[Student No]],Tablo314[[Student No]:[DÇ10]],28,FALSE)/LAB!$Q$49)))/4</f>
        <v>0</v>
      </c>
    </row>
    <row r="62" spans="1:23" ht="15" x14ac:dyDescent="0.3">
      <c r="A62" s="66"/>
      <c r="B62" s="41">
        <v>26</v>
      </c>
      <c r="C62" s="1">
        <v>26</v>
      </c>
      <c r="D62" s="1" t="str">
        <f>VLOOKUP(Tablo2[[#This Row],[Student No]],Tablo1[[Student No]:[Surname]],2,FALSE)</f>
        <v>Name</v>
      </c>
      <c r="E62" s="1" t="str">
        <f>VLOOKUP(Tablo2[[#This Row],[Student No]],Tablo1[[Student No]:[Surname]],3,FALSE)</f>
        <v>Surname</v>
      </c>
      <c r="F62" s="1">
        <f>((IF(MIDTERM!$J$37=0,0,VLOOKUP(Tablo2[[#This Row],[Student No]],Tablo17[[STUDENT ID]:[DÇ10]],12,FALSE)/MIDTERM!$J$37))+(IF(FINAL!$J$37=0,0,VLOOKUP(Tablo2[[#This Row],[Student No]],Tablo1744[[STUDENT ID]:[DÇ10]],12,FALSE)/FINAL!$J$37))+(IF(HOMEWORK!$I$38=0,0,VLOOKUP(Tablo2[[#This Row],[Student No]],Tablo3[[Student No]:[DÇ10]],10,FALSE)/HOMEWORK!$I$38))+(IF(LAB!$Q$40=0,0,VLOOKUP(Tablo2[[#This Row],[Student No]],Tablo314[[Student No]:[DÇ10]],19,FALSE)/LAB!$Q$40)))/4</f>
        <v>0.52091269841269838</v>
      </c>
      <c r="G62" s="1">
        <f>((IF(MIDTERM!$J$38=0,0,VLOOKUP(Tablo2[[#This Row],[Student No]],Tablo17[[STUDENT ID]:[DÇ10]],13,FALSE)/MIDTERM!$J$38))+(IF(FINAL!$J$38=0,0,VLOOKUP(Tablo2[[#This Row],[Student No]],Tablo1744[[STUDENT ID]:[DÇ10]],13,FALSE)/FINAL!$J$38))+(IF(HOMEWORK!$I$39=0,0,VLOOKUP(Tablo2[[#This Row],[Student No]],Tablo3[[Student No]:[DÇ10]],11,FALSE)/HOMEWORK!$I$39))+(IF(LAB!$Q$41=0,0,VLOOKUP(Tablo2[[#This Row],[Student No]],Tablo314[[Student No]:[DÇ10]],20,FALSE)/LAB!$Q$41)))/4</f>
        <v>0.29749999999999999</v>
      </c>
      <c r="H62" s="62">
        <f>((IF(MIDTERM!$J$39=0,0,VLOOKUP(Tablo2[[#This Row],[Student No]],Tablo17[[STUDENT ID]:[DÇ10]],14,FALSE)/MIDTERM!$J$39))+(IF(FINAL!$J$39=0,0,VLOOKUP(Tablo2[[#This Row],[Student No]],Tablo1744[[STUDENT ID]:[DÇ10]],14,FALSE)/FINAL!$J$39))+(IF(HOMEWORK!$I$40=0,0,VLOOKUP(Tablo2[[#This Row],[Student No]],Tablo3[[Student No]:[DÇ10]],12,FALSE)/HOMEWORK!$I$40))+(IF(LAB!$Q$42=0,0,VLOOKUP(Tablo2[[#This Row],[Student No]],Tablo314[[Student No]:[DÇ10]],21,FALSE)/LAB!$Q$42)))/4</f>
        <v>0.41522727272727272</v>
      </c>
      <c r="I62" s="1">
        <f>((IF(MIDTERM!$J$40=0,0,VLOOKUP(Tablo2[[#This Row],[Student No]],Tablo17[[STUDENT ID]:[DÇ10]],15,FALSE)/MIDTERM!$J$40))+(IF(FINAL!$J$40=0,0,VLOOKUP(Tablo2[[#This Row],[Student No]],Tablo1744[[STUDENT ID]:[DÇ10]],15,FALSE)/FINAL!$J$40))+(IF(HOMEWORK!$I$41=0,0,VLOOKUP(Tablo2[[#This Row],[Student No]],Tablo3[[Student No]:[DÇ10]],13,FALSE)/HOMEWORK!$I$41))+(IF(LAB!$Q$43=0,0,VLOOKUP(Tablo2[[#This Row],[Student No]],Tablo314[[Student No]:[DÇ10]],22,FALSE)/LAB!$Q$43)))/4</f>
        <v>0.24676136363636364</v>
      </c>
      <c r="J62" s="1">
        <f>((IF(MIDTERM!$J$41=0,0,VLOOKUP(Tablo2[[#This Row],[Student No]],Tablo17[[STUDENT ID]:[DÇ10]],16,FALSE)/MIDTERM!$J$41))+(IF(FINAL!$J$41=0,0,VLOOKUP(Tablo2[[#This Row],[Student No]],Tablo1744[[STUDENT ID]:[DÇ10]],16,FALSE)/FINAL!$J$41))+(IF(HOMEWORK!$I$42=0,0,VLOOKUP(Tablo2[[#This Row],[Student No]],Tablo3[[Student No]:[DÇ10]],14,FALSE)/HOMEWORK!$I$42))+(IF(LAB!$Q$44=0,0,VLOOKUP(Tablo2[[#This Row],[Student No]],Tablo314[[Student No]:[DÇ10]],23,FALSE)/LAB!$Q$44)))/4</f>
        <v>0</v>
      </c>
      <c r="K62" s="1">
        <f>((IF(MIDTERM!$J$42=0,0,VLOOKUP(Tablo2[[#This Row],[Student No]],Tablo17[[STUDENT ID]:[DÇ10]],17,FALSE)/MIDTERM!$J$42))+(IF(FINAL!$J$42=0,0,VLOOKUP(Tablo2[[#This Row],[Student No]],Tablo1744[[STUDENT ID]:[DÇ10]],17,FALSE)/FINAL!$J$42))+(IF(HOMEWORK!$I$43=0,0,VLOOKUP(Tablo2[[#This Row],[Student No]],Tablo3[[Student No]:[DÇ10]],15,FALSE)/HOMEWORK!$I$43))+(IF(LAB!$Q$45=0,0,VLOOKUP(Tablo2[[#This Row],[Student No]],Tablo314[[Student No]:[DÇ10]],24,FALSE)/LAB!$Q$45)))/4</f>
        <v>0</v>
      </c>
      <c r="L62" s="1">
        <f>((IF(MIDTERM!$J$43=0,0,VLOOKUP(Tablo2[[#This Row],[Student No]],Tablo17[[STUDENT ID]:[DÇ10]],18,FALSE)/MIDTERM!$J$43))+(IF(FINAL!$J$43=0,0,VLOOKUP(Tablo2[[#This Row],[Student No]],Tablo1744[[STUDENT ID]:[DÇ10]],18,FALSE)/FINAL!$J$43))+(IF(HOMEWORK!$I$44=0,0,VLOOKUP(Tablo2[[#This Row],[Student No]],Tablo3[[Student No]:[DÇ10]],16,FALSE)/HOMEWORK!$I$44))+(IF(LAB!$Q$46=0,0,VLOOKUP(Tablo2[[#This Row],[Student No]],Tablo314[[Student No]:[DÇ10]],25,FALSE)/LAB!$Q$46)))/4</f>
        <v>0</v>
      </c>
      <c r="M62" s="1">
        <f>((IF(MIDTERM!$J$44=0,0,VLOOKUP(Tablo2[[#This Row],[Student No]],Tablo17[[STUDENT ID]:[DÇ10]],19,FALSE)/MIDTERM!$J$44))+(IF(FINAL!$J$44=0,0,VLOOKUP(Tablo2[[#This Row],[Student No]],Tablo1744[[STUDENT ID]:[DÇ10]],19,FALSE)/FINAL!$J$44))+(IF(HOMEWORK!$I$45=0,0,VLOOKUP(Tablo2[[#This Row],[Student No]],Tablo3[[Student No]:[DÇ10]],17,FALSE)/HOMEWORK!$I$45))+(IF(LAB!$Q$47=0,0,VLOOKUP(Tablo2[[#This Row],[Student No]],Tablo314[[Student No]:[DÇ10]],26,FALSE)/LAB!$Q$47)))/4</f>
        <v>0</v>
      </c>
      <c r="N62" s="1">
        <f>((IF(MIDTERM!$J$45=0,0,VLOOKUP(Tablo2[[#This Row],[Student No]],Tablo17[[STUDENT ID]:[DÇ10]],20,FALSE)/MIDTERM!$J$45))+(IF(FINAL!$J$45=0,0,VLOOKUP(Tablo2[[#This Row],[Student No]],Tablo1744[[STUDENT ID]:[DÇ10]],20,FALSE)/FINAL!$J$45))+(IF(HOMEWORK!$I$46=0,0,VLOOKUP(Tablo2[[#This Row],[Student No]],Tablo3[[Student No]:[DÇ10]],18,FALSE)/HOMEWORK!$I$46))+(IF(LAB!$Q$48=0,0,VLOOKUP(Tablo2[[#This Row],[Student No]],Tablo314[[Student No]:[DÇ10]],27,FALSE)/LAB!$Q$48)))/4</f>
        <v>0</v>
      </c>
      <c r="O62" s="1">
        <f>((IF(MIDTERM!$J$46=0,0,VLOOKUP(Tablo2[[#This Row],[Student No]],Tablo17[[STUDENT ID]:[DÇ10]],21,FALSE)/MIDTERM!$J$46))+(IF(FINAL!$J$46=0,0,VLOOKUP(Tablo2[[#This Row],[Student No]],Tablo1744[[STUDENT ID]:[DÇ10]],21,FALSE)/FINAL!$J$46))+(IF(HOMEWORK!$I$47=0,0,VLOOKUP(Tablo2[[#This Row],[Student No]],Tablo3[[Student No]:[DÇ10]],19,FALSE)/HOMEWORK!$I$47))+(IF(LAB!$Q$49=0,0,VLOOKUP(Tablo2[[#This Row],[Student No]],Tablo314[[Student No]:[DÇ10]],28,FALSE)/LAB!$Q$49)))/4</f>
        <v>0</v>
      </c>
    </row>
    <row r="63" spans="1:23" ht="15" x14ac:dyDescent="0.3">
      <c r="A63" s="66"/>
      <c r="B63" s="40">
        <v>27</v>
      </c>
      <c r="C63" s="1">
        <v>27</v>
      </c>
      <c r="D63" s="1" t="str">
        <f>VLOOKUP(Tablo2[[#This Row],[Student No]],Tablo1[[Student No]:[Surname]],2,FALSE)</f>
        <v>Name</v>
      </c>
      <c r="E63" s="1" t="str">
        <f>VLOOKUP(Tablo2[[#This Row],[Student No]],Tablo1[[Student No]:[Surname]],3,FALSE)</f>
        <v>Surname</v>
      </c>
      <c r="F63" s="1">
        <f>((IF(MIDTERM!$J$37=0,0,VLOOKUP(Tablo2[[#This Row],[Student No]],Tablo17[[STUDENT ID]:[DÇ10]],12,FALSE)/MIDTERM!$J$37))+(IF(FINAL!$J$37=0,0,VLOOKUP(Tablo2[[#This Row],[Student No]],Tablo1744[[STUDENT ID]:[DÇ10]],12,FALSE)/FINAL!$J$37))+(IF(HOMEWORK!$I$38=0,0,VLOOKUP(Tablo2[[#This Row],[Student No]],Tablo3[[Student No]:[DÇ10]],10,FALSE)/HOMEWORK!$I$38))+(IF(LAB!$Q$40=0,0,VLOOKUP(Tablo2[[#This Row],[Student No]],Tablo314[[Student No]:[DÇ10]],19,FALSE)/LAB!$Q$40)))/4</f>
        <v>0.36301587301587301</v>
      </c>
      <c r="G63" s="1">
        <f>((IF(MIDTERM!$J$38=0,0,VLOOKUP(Tablo2[[#This Row],[Student No]],Tablo17[[STUDENT ID]:[DÇ10]],13,FALSE)/MIDTERM!$J$38))+(IF(FINAL!$J$38=0,0,VLOOKUP(Tablo2[[#This Row],[Student No]],Tablo1744[[STUDENT ID]:[DÇ10]],13,FALSE)/FINAL!$J$38))+(IF(HOMEWORK!$I$39=0,0,VLOOKUP(Tablo2[[#This Row],[Student No]],Tablo3[[Student No]:[DÇ10]],11,FALSE)/HOMEWORK!$I$39))+(IF(LAB!$Q$41=0,0,VLOOKUP(Tablo2[[#This Row],[Student No]],Tablo314[[Student No]:[DÇ10]],20,FALSE)/LAB!$Q$41)))/4</f>
        <v>0.30645833333333333</v>
      </c>
      <c r="H63" s="62">
        <f>((IF(MIDTERM!$J$39=0,0,VLOOKUP(Tablo2[[#This Row],[Student No]],Tablo17[[STUDENT ID]:[DÇ10]],14,FALSE)/MIDTERM!$J$39))+(IF(FINAL!$J$39=0,0,VLOOKUP(Tablo2[[#This Row],[Student No]],Tablo1744[[STUDENT ID]:[DÇ10]],14,FALSE)/FINAL!$J$39))+(IF(HOMEWORK!$I$40=0,0,VLOOKUP(Tablo2[[#This Row],[Student No]],Tablo3[[Student No]:[DÇ10]],12,FALSE)/HOMEWORK!$I$40))+(IF(LAB!$Q$42=0,0,VLOOKUP(Tablo2[[#This Row],[Student No]],Tablo314[[Student No]:[DÇ10]],21,FALSE)/LAB!$Q$42)))/4</f>
        <v>0.26897727272727273</v>
      </c>
      <c r="I63" s="1">
        <f>((IF(MIDTERM!$J$40=0,0,VLOOKUP(Tablo2[[#This Row],[Student No]],Tablo17[[STUDENT ID]:[DÇ10]],15,FALSE)/MIDTERM!$J$40))+(IF(FINAL!$J$40=0,0,VLOOKUP(Tablo2[[#This Row],[Student No]],Tablo1744[[STUDENT ID]:[DÇ10]],15,FALSE)/FINAL!$J$40))+(IF(HOMEWORK!$I$41=0,0,VLOOKUP(Tablo2[[#This Row],[Student No]],Tablo3[[Student No]:[DÇ10]],13,FALSE)/HOMEWORK!$I$41))+(IF(LAB!$Q$43=0,0,VLOOKUP(Tablo2[[#This Row],[Student No]],Tablo314[[Student No]:[DÇ10]],22,FALSE)/LAB!$Q$43)))/4</f>
        <v>0.32272727272727275</v>
      </c>
      <c r="J63" s="1">
        <f>((IF(MIDTERM!$J$41=0,0,VLOOKUP(Tablo2[[#This Row],[Student No]],Tablo17[[STUDENT ID]:[DÇ10]],16,FALSE)/MIDTERM!$J$41))+(IF(FINAL!$J$41=0,0,VLOOKUP(Tablo2[[#This Row],[Student No]],Tablo1744[[STUDENT ID]:[DÇ10]],16,FALSE)/FINAL!$J$41))+(IF(HOMEWORK!$I$42=0,0,VLOOKUP(Tablo2[[#This Row],[Student No]],Tablo3[[Student No]:[DÇ10]],14,FALSE)/HOMEWORK!$I$42))+(IF(LAB!$Q$44=0,0,VLOOKUP(Tablo2[[#This Row],[Student No]],Tablo314[[Student No]:[DÇ10]],23,FALSE)/LAB!$Q$44)))/4</f>
        <v>0</v>
      </c>
      <c r="K63" s="1">
        <f>((IF(MIDTERM!$J$42=0,0,VLOOKUP(Tablo2[[#This Row],[Student No]],Tablo17[[STUDENT ID]:[DÇ10]],17,FALSE)/MIDTERM!$J$42))+(IF(FINAL!$J$42=0,0,VLOOKUP(Tablo2[[#This Row],[Student No]],Tablo1744[[STUDENT ID]:[DÇ10]],17,FALSE)/FINAL!$J$42))+(IF(HOMEWORK!$I$43=0,0,VLOOKUP(Tablo2[[#This Row],[Student No]],Tablo3[[Student No]:[DÇ10]],15,FALSE)/HOMEWORK!$I$43))+(IF(LAB!$Q$45=0,0,VLOOKUP(Tablo2[[#This Row],[Student No]],Tablo314[[Student No]:[DÇ10]],24,FALSE)/LAB!$Q$45)))/4</f>
        <v>0</v>
      </c>
      <c r="L63" s="1">
        <f>((IF(MIDTERM!$J$43=0,0,VLOOKUP(Tablo2[[#This Row],[Student No]],Tablo17[[STUDENT ID]:[DÇ10]],18,FALSE)/MIDTERM!$J$43))+(IF(FINAL!$J$43=0,0,VLOOKUP(Tablo2[[#This Row],[Student No]],Tablo1744[[STUDENT ID]:[DÇ10]],18,FALSE)/FINAL!$J$43))+(IF(HOMEWORK!$I$44=0,0,VLOOKUP(Tablo2[[#This Row],[Student No]],Tablo3[[Student No]:[DÇ10]],16,FALSE)/HOMEWORK!$I$44))+(IF(LAB!$Q$46=0,0,VLOOKUP(Tablo2[[#This Row],[Student No]],Tablo314[[Student No]:[DÇ10]],25,FALSE)/LAB!$Q$46)))/4</f>
        <v>0</v>
      </c>
      <c r="M63" s="1">
        <f>((IF(MIDTERM!$J$44=0,0,VLOOKUP(Tablo2[[#This Row],[Student No]],Tablo17[[STUDENT ID]:[DÇ10]],19,FALSE)/MIDTERM!$J$44))+(IF(FINAL!$J$44=0,0,VLOOKUP(Tablo2[[#This Row],[Student No]],Tablo1744[[STUDENT ID]:[DÇ10]],19,FALSE)/FINAL!$J$44))+(IF(HOMEWORK!$I$45=0,0,VLOOKUP(Tablo2[[#This Row],[Student No]],Tablo3[[Student No]:[DÇ10]],17,FALSE)/HOMEWORK!$I$45))+(IF(LAB!$Q$47=0,0,VLOOKUP(Tablo2[[#This Row],[Student No]],Tablo314[[Student No]:[DÇ10]],26,FALSE)/LAB!$Q$47)))/4</f>
        <v>0</v>
      </c>
      <c r="N63" s="1">
        <f>((IF(MIDTERM!$J$45=0,0,VLOOKUP(Tablo2[[#This Row],[Student No]],Tablo17[[STUDENT ID]:[DÇ10]],20,FALSE)/MIDTERM!$J$45))+(IF(FINAL!$J$45=0,0,VLOOKUP(Tablo2[[#This Row],[Student No]],Tablo1744[[STUDENT ID]:[DÇ10]],20,FALSE)/FINAL!$J$45))+(IF(HOMEWORK!$I$46=0,0,VLOOKUP(Tablo2[[#This Row],[Student No]],Tablo3[[Student No]:[DÇ10]],18,FALSE)/HOMEWORK!$I$46))+(IF(LAB!$Q$48=0,0,VLOOKUP(Tablo2[[#This Row],[Student No]],Tablo314[[Student No]:[DÇ10]],27,FALSE)/LAB!$Q$48)))/4</f>
        <v>0</v>
      </c>
      <c r="O63" s="1">
        <f>((IF(MIDTERM!$J$46=0,0,VLOOKUP(Tablo2[[#This Row],[Student No]],Tablo17[[STUDENT ID]:[DÇ10]],21,FALSE)/MIDTERM!$J$46))+(IF(FINAL!$J$46=0,0,VLOOKUP(Tablo2[[#This Row],[Student No]],Tablo1744[[STUDENT ID]:[DÇ10]],21,FALSE)/FINAL!$J$46))+(IF(HOMEWORK!$I$47=0,0,VLOOKUP(Tablo2[[#This Row],[Student No]],Tablo3[[Student No]:[DÇ10]],19,FALSE)/HOMEWORK!$I$47))+(IF(LAB!$Q$49=0,0,VLOOKUP(Tablo2[[#This Row],[Student No]],Tablo314[[Student No]:[DÇ10]],28,FALSE)/LAB!$Q$49)))/4</f>
        <v>0</v>
      </c>
    </row>
    <row r="64" spans="1:23" ht="15" x14ac:dyDescent="0.3">
      <c r="A64" s="66"/>
      <c r="B64" s="41">
        <v>28</v>
      </c>
      <c r="C64" s="1">
        <v>28</v>
      </c>
      <c r="D64" s="1" t="str">
        <f>VLOOKUP(Tablo2[[#This Row],[Student No]],Tablo1[[Student No]:[Surname]],2,FALSE)</f>
        <v>Name</v>
      </c>
      <c r="E64" s="1" t="str">
        <f>VLOOKUP(Tablo2[[#This Row],[Student No]],Tablo1[[Student No]:[Surname]],3,FALSE)</f>
        <v>Surname</v>
      </c>
      <c r="F64" s="1">
        <f>((IF(MIDTERM!$J$37=0,0,VLOOKUP(Tablo2[[#This Row],[Student No]],Tablo17[[STUDENT ID]:[DÇ10]],12,FALSE)/MIDTERM!$J$37))+(IF(FINAL!$J$37=0,0,VLOOKUP(Tablo2[[#This Row],[Student No]],Tablo1744[[STUDENT ID]:[DÇ10]],12,FALSE)/FINAL!$J$37))+(IF(HOMEWORK!$I$38=0,0,VLOOKUP(Tablo2[[#This Row],[Student No]],Tablo3[[Student No]:[DÇ10]],10,FALSE)/HOMEWORK!$I$38))+(IF(LAB!$Q$40=0,0,VLOOKUP(Tablo2[[#This Row],[Student No]],Tablo314[[Student No]:[DÇ10]],19,FALSE)/LAB!$Q$40)))/4</f>
        <v>0.49444444444444446</v>
      </c>
      <c r="G64" s="1">
        <f>((IF(MIDTERM!$J$38=0,0,VLOOKUP(Tablo2[[#This Row],[Student No]],Tablo17[[STUDENT ID]:[DÇ10]],13,FALSE)/MIDTERM!$J$38))+(IF(FINAL!$J$38=0,0,VLOOKUP(Tablo2[[#This Row],[Student No]],Tablo1744[[STUDENT ID]:[DÇ10]],13,FALSE)/FINAL!$J$38))+(IF(HOMEWORK!$I$39=0,0,VLOOKUP(Tablo2[[#This Row],[Student No]],Tablo3[[Student No]:[DÇ10]],11,FALSE)/HOMEWORK!$I$39))+(IF(LAB!$Q$41=0,0,VLOOKUP(Tablo2[[#This Row],[Student No]],Tablo314[[Student No]:[DÇ10]],20,FALSE)/LAB!$Q$41)))/4</f>
        <v>0.28625</v>
      </c>
      <c r="H64" s="62">
        <f>((IF(MIDTERM!$J$39=0,0,VLOOKUP(Tablo2[[#This Row],[Student No]],Tablo17[[STUDENT ID]:[DÇ10]],14,FALSE)/MIDTERM!$J$39))+(IF(FINAL!$J$39=0,0,VLOOKUP(Tablo2[[#This Row],[Student No]],Tablo1744[[STUDENT ID]:[DÇ10]],14,FALSE)/FINAL!$J$39))+(IF(HOMEWORK!$I$40=0,0,VLOOKUP(Tablo2[[#This Row],[Student No]],Tablo3[[Student No]:[DÇ10]],12,FALSE)/HOMEWORK!$I$40))+(IF(LAB!$Q$42=0,0,VLOOKUP(Tablo2[[#This Row],[Student No]],Tablo314[[Student No]:[DÇ10]],21,FALSE)/LAB!$Q$42)))/4</f>
        <v>0.41113636363636363</v>
      </c>
      <c r="I64" s="1">
        <f>((IF(MIDTERM!$J$40=0,0,VLOOKUP(Tablo2[[#This Row],[Student No]],Tablo17[[STUDENT ID]:[DÇ10]],15,FALSE)/MIDTERM!$J$40))+(IF(FINAL!$J$40=0,0,VLOOKUP(Tablo2[[#This Row],[Student No]],Tablo1744[[STUDENT ID]:[DÇ10]],15,FALSE)/FINAL!$J$40))+(IF(HOMEWORK!$I$41=0,0,VLOOKUP(Tablo2[[#This Row],[Student No]],Tablo3[[Student No]:[DÇ10]],13,FALSE)/HOMEWORK!$I$41))+(IF(LAB!$Q$43=0,0,VLOOKUP(Tablo2[[#This Row],[Student No]],Tablo314[[Student No]:[DÇ10]],22,FALSE)/LAB!$Q$43)))/4</f>
        <v>0.31857954545454542</v>
      </c>
      <c r="J64" s="1">
        <f>((IF(MIDTERM!$J$41=0,0,VLOOKUP(Tablo2[[#This Row],[Student No]],Tablo17[[STUDENT ID]:[DÇ10]],16,FALSE)/MIDTERM!$J$41))+(IF(FINAL!$J$41=0,0,VLOOKUP(Tablo2[[#This Row],[Student No]],Tablo1744[[STUDENT ID]:[DÇ10]],16,FALSE)/FINAL!$J$41))+(IF(HOMEWORK!$I$42=0,0,VLOOKUP(Tablo2[[#This Row],[Student No]],Tablo3[[Student No]:[DÇ10]],14,FALSE)/HOMEWORK!$I$42))+(IF(LAB!$Q$44=0,0,VLOOKUP(Tablo2[[#This Row],[Student No]],Tablo314[[Student No]:[DÇ10]],23,FALSE)/LAB!$Q$44)))/4</f>
        <v>0</v>
      </c>
      <c r="K64" s="1">
        <f>((IF(MIDTERM!$J$42=0,0,VLOOKUP(Tablo2[[#This Row],[Student No]],Tablo17[[STUDENT ID]:[DÇ10]],17,FALSE)/MIDTERM!$J$42))+(IF(FINAL!$J$42=0,0,VLOOKUP(Tablo2[[#This Row],[Student No]],Tablo1744[[STUDENT ID]:[DÇ10]],17,FALSE)/FINAL!$J$42))+(IF(HOMEWORK!$I$43=0,0,VLOOKUP(Tablo2[[#This Row],[Student No]],Tablo3[[Student No]:[DÇ10]],15,FALSE)/HOMEWORK!$I$43))+(IF(LAB!$Q$45=0,0,VLOOKUP(Tablo2[[#This Row],[Student No]],Tablo314[[Student No]:[DÇ10]],24,FALSE)/LAB!$Q$45)))/4</f>
        <v>0</v>
      </c>
      <c r="L64" s="1">
        <f>((IF(MIDTERM!$J$43=0,0,VLOOKUP(Tablo2[[#This Row],[Student No]],Tablo17[[STUDENT ID]:[DÇ10]],18,FALSE)/MIDTERM!$J$43))+(IF(FINAL!$J$43=0,0,VLOOKUP(Tablo2[[#This Row],[Student No]],Tablo1744[[STUDENT ID]:[DÇ10]],18,FALSE)/FINAL!$J$43))+(IF(HOMEWORK!$I$44=0,0,VLOOKUP(Tablo2[[#This Row],[Student No]],Tablo3[[Student No]:[DÇ10]],16,FALSE)/HOMEWORK!$I$44))+(IF(LAB!$Q$46=0,0,VLOOKUP(Tablo2[[#This Row],[Student No]],Tablo314[[Student No]:[DÇ10]],25,FALSE)/LAB!$Q$46)))/4</f>
        <v>0</v>
      </c>
      <c r="M64" s="1">
        <f>((IF(MIDTERM!$J$44=0,0,VLOOKUP(Tablo2[[#This Row],[Student No]],Tablo17[[STUDENT ID]:[DÇ10]],19,FALSE)/MIDTERM!$J$44))+(IF(FINAL!$J$44=0,0,VLOOKUP(Tablo2[[#This Row],[Student No]],Tablo1744[[STUDENT ID]:[DÇ10]],19,FALSE)/FINAL!$J$44))+(IF(HOMEWORK!$I$45=0,0,VLOOKUP(Tablo2[[#This Row],[Student No]],Tablo3[[Student No]:[DÇ10]],17,FALSE)/HOMEWORK!$I$45))+(IF(LAB!$Q$47=0,0,VLOOKUP(Tablo2[[#This Row],[Student No]],Tablo314[[Student No]:[DÇ10]],26,FALSE)/LAB!$Q$47)))/4</f>
        <v>0</v>
      </c>
      <c r="N64" s="1">
        <f>((IF(MIDTERM!$J$45=0,0,VLOOKUP(Tablo2[[#This Row],[Student No]],Tablo17[[STUDENT ID]:[DÇ10]],20,FALSE)/MIDTERM!$J$45))+(IF(FINAL!$J$45=0,0,VLOOKUP(Tablo2[[#This Row],[Student No]],Tablo1744[[STUDENT ID]:[DÇ10]],20,FALSE)/FINAL!$J$45))+(IF(HOMEWORK!$I$46=0,0,VLOOKUP(Tablo2[[#This Row],[Student No]],Tablo3[[Student No]:[DÇ10]],18,FALSE)/HOMEWORK!$I$46))+(IF(LAB!$Q$48=0,0,VLOOKUP(Tablo2[[#This Row],[Student No]],Tablo314[[Student No]:[DÇ10]],27,FALSE)/LAB!$Q$48)))/4</f>
        <v>0</v>
      </c>
      <c r="O64" s="1">
        <f>((IF(MIDTERM!$J$46=0,0,VLOOKUP(Tablo2[[#This Row],[Student No]],Tablo17[[STUDENT ID]:[DÇ10]],21,FALSE)/MIDTERM!$J$46))+(IF(FINAL!$J$46=0,0,VLOOKUP(Tablo2[[#This Row],[Student No]],Tablo1744[[STUDENT ID]:[DÇ10]],21,FALSE)/FINAL!$J$46))+(IF(HOMEWORK!$I$47=0,0,VLOOKUP(Tablo2[[#This Row],[Student No]],Tablo3[[Student No]:[DÇ10]],19,FALSE)/HOMEWORK!$I$47))+(IF(LAB!$Q$49=0,0,VLOOKUP(Tablo2[[#This Row],[Student No]],Tablo314[[Student No]:[DÇ10]],28,FALSE)/LAB!$Q$49)))/4</f>
        <v>0</v>
      </c>
    </row>
    <row r="65" spans="1:24" ht="15" x14ac:dyDescent="0.3">
      <c r="A65" s="66"/>
      <c r="B65" s="40">
        <v>29</v>
      </c>
      <c r="C65" s="1">
        <v>29</v>
      </c>
      <c r="D65" s="1" t="str">
        <f>VLOOKUP(Tablo2[[#This Row],[Student No]],Tablo1[[Student No]:[Surname]],2,FALSE)</f>
        <v>Name</v>
      </c>
      <c r="E65" s="1" t="str">
        <f>VLOOKUP(Tablo2[[#This Row],[Student No]],Tablo1[[Student No]:[Surname]],3,FALSE)</f>
        <v>Surname</v>
      </c>
      <c r="F65" s="1">
        <f>((IF(MIDTERM!$J$37=0,0,VLOOKUP(Tablo2[[#This Row],[Student No]],Tablo17[[STUDENT ID]:[DÇ10]],12,FALSE)/MIDTERM!$J$37))+(IF(FINAL!$J$37=0,0,VLOOKUP(Tablo2[[#This Row],[Student No]],Tablo1744[[STUDENT ID]:[DÇ10]],12,FALSE)/FINAL!$J$37))+(IF(HOMEWORK!$I$38=0,0,VLOOKUP(Tablo2[[#This Row],[Student No]],Tablo3[[Student No]:[DÇ10]],10,FALSE)/HOMEWORK!$I$38))+(IF(LAB!$Q$40=0,0,VLOOKUP(Tablo2[[#This Row],[Student No]],Tablo314[[Student No]:[DÇ10]],19,FALSE)/LAB!$Q$40)))/4</f>
        <v>0.39313492063492067</v>
      </c>
      <c r="G65" s="1">
        <f>((IF(MIDTERM!$J$38=0,0,VLOOKUP(Tablo2[[#This Row],[Student No]],Tablo17[[STUDENT ID]:[DÇ10]],13,FALSE)/MIDTERM!$J$38))+(IF(FINAL!$J$38=0,0,VLOOKUP(Tablo2[[#This Row],[Student No]],Tablo1744[[STUDENT ID]:[DÇ10]],13,FALSE)/FINAL!$J$38))+(IF(HOMEWORK!$I$39=0,0,VLOOKUP(Tablo2[[#This Row],[Student No]],Tablo3[[Student No]:[DÇ10]],11,FALSE)/HOMEWORK!$I$39))+(IF(LAB!$Q$41=0,0,VLOOKUP(Tablo2[[#This Row],[Student No]],Tablo314[[Student No]:[DÇ10]],20,FALSE)/LAB!$Q$41)))/4</f>
        <v>0.21145833333333336</v>
      </c>
      <c r="H65" s="62">
        <f>((IF(MIDTERM!$J$39=0,0,VLOOKUP(Tablo2[[#This Row],[Student No]],Tablo17[[STUDENT ID]:[DÇ10]],14,FALSE)/MIDTERM!$J$39))+(IF(FINAL!$J$39=0,0,VLOOKUP(Tablo2[[#This Row],[Student No]],Tablo1744[[STUDENT ID]:[DÇ10]],14,FALSE)/FINAL!$J$39))+(IF(HOMEWORK!$I$40=0,0,VLOOKUP(Tablo2[[#This Row],[Student No]],Tablo3[[Student No]:[DÇ10]],12,FALSE)/HOMEWORK!$I$40))+(IF(LAB!$Q$42=0,0,VLOOKUP(Tablo2[[#This Row],[Student No]],Tablo314[[Student No]:[DÇ10]],21,FALSE)/LAB!$Q$42)))/4</f>
        <v>0.55068181818181816</v>
      </c>
      <c r="I65" s="1">
        <f>((IF(MIDTERM!$J$40=0,0,VLOOKUP(Tablo2[[#This Row],[Student No]],Tablo17[[STUDENT ID]:[DÇ10]],15,FALSE)/MIDTERM!$J$40))+(IF(FINAL!$J$40=0,0,VLOOKUP(Tablo2[[#This Row],[Student No]],Tablo1744[[STUDENT ID]:[DÇ10]],15,FALSE)/FINAL!$J$40))+(IF(HOMEWORK!$I$41=0,0,VLOOKUP(Tablo2[[#This Row],[Student No]],Tablo3[[Student No]:[DÇ10]],13,FALSE)/HOMEWORK!$I$41))+(IF(LAB!$Q$43=0,0,VLOOKUP(Tablo2[[#This Row],[Student No]],Tablo314[[Student No]:[DÇ10]],22,FALSE)/LAB!$Q$43)))/4</f>
        <v>0.26284090909090907</v>
      </c>
      <c r="J65" s="1">
        <f>((IF(MIDTERM!$J$41=0,0,VLOOKUP(Tablo2[[#This Row],[Student No]],Tablo17[[STUDENT ID]:[DÇ10]],16,FALSE)/MIDTERM!$J$41))+(IF(FINAL!$J$41=0,0,VLOOKUP(Tablo2[[#This Row],[Student No]],Tablo1744[[STUDENT ID]:[DÇ10]],16,FALSE)/FINAL!$J$41))+(IF(HOMEWORK!$I$42=0,0,VLOOKUP(Tablo2[[#This Row],[Student No]],Tablo3[[Student No]:[DÇ10]],14,FALSE)/HOMEWORK!$I$42))+(IF(LAB!$Q$44=0,0,VLOOKUP(Tablo2[[#This Row],[Student No]],Tablo314[[Student No]:[DÇ10]],23,FALSE)/LAB!$Q$44)))/4</f>
        <v>0</v>
      </c>
      <c r="K65" s="1">
        <f>((IF(MIDTERM!$J$42=0,0,VLOOKUP(Tablo2[[#This Row],[Student No]],Tablo17[[STUDENT ID]:[DÇ10]],17,FALSE)/MIDTERM!$J$42))+(IF(FINAL!$J$42=0,0,VLOOKUP(Tablo2[[#This Row],[Student No]],Tablo1744[[STUDENT ID]:[DÇ10]],17,FALSE)/FINAL!$J$42))+(IF(HOMEWORK!$I$43=0,0,VLOOKUP(Tablo2[[#This Row],[Student No]],Tablo3[[Student No]:[DÇ10]],15,FALSE)/HOMEWORK!$I$43))+(IF(LAB!$Q$45=0,0,VLOOKUP(Tablo2[[#This Row],[Student No]],Tablo314[[Student No]:[DÇ10]],24,FALSE)/LAB!$Q$45)))/4</f>
        <v>0</v>
      </c>
      <c r="L65" s="1">
        <f>((IF(MIDTERM!$J$43=0,0,VLOOKUP(Tablo2[[#This Row],[Student No]],Tablo17[[STUDENT ID]:[DÇ10]],18,FALSE)/MIDTERM!$J$43))+(IF(FINAL!$J$43=0,0,VLOOKUP(Tablo2[[#This Row],[Student No]],Tablo1744[[STUDENT ID]:[DÇ10]],18,FALSE)/FINAL!$J$43))+(IF(HOMEWORK!$I$44=0,0,VLOOKUP(Tablo2[[#This Row],[Student No]],Tablo3[[Student No]:[DÇ10]],16,FALSE)/HOMEWORK!$I$44))+(IF(LAB!$Q$46=0,0,VLOOKUP(Tablo2[[#This Row],[Student No]],Tablo314[[Student No]:[DÇ10]],25,FALSE)/LAB!$Q$46)))/4</f>
        <v>0</v>
      </c>
      <c r="M65" s="1">
        <f>((IF(MIDTERM!$J$44=0,0,VLOOKUP(Tablo2[[#This Row],[Student No]],Tablo17[[STUDENT ID]:[DÇ10]],19,FALSE)/MIDTERM!$J$44))+(IF(FINAL!$J$44=0,0,VLOOKUP(Tablo2[[#This Row],[Student No]],Tablo1744[[STUDENT ID]:[DÇ10]],19,FALSE)/FINAL!$J$44))+(IF(HOMEWORK!$I$45=0,0,VLOOKUP(Tablo2[[#This Row],[Student No]],Tablo3[[Student No]:[DÇ10]],17,FALSE)/HOMEWORK!$I$45))+(IF(LAB!$Q$47=0,0,VLOOKUP(Tablo2[[#This Row],[Student No]],Tablo314[[Student No]:[DÇ10]],26,FALSE)/LAB!$Q$47)))/4</f>
        <v>0</v>
      </c>
      <c r="N65" s="1">
        <f>((IF(MIDTERM!$J$45=0,0,VLOOKUP(Tablo2[[#This Row],[Student No]],Tablo17[[STUDENT ID]:[DÇ10]],20,FALSE)/MIDTERM!$J$45))+(IF(FINAL!$J$45=0,0,VLOOKUP(Tablo2[[#This Row],[Student No]],Tablo1744[[STUDENT ID]:[DÇ10]],20,FALSE)/FINAL!$J$45))+(IF(HOMEWORK!$I$46=0,0,VLOOKUP(Tablo2[[#This Row],[Student No]],Tablo3[[Student No]:[DÇ10]],18,FALSE)/HOMEWORK!$I$46))+(IF(LAB!$Q$48=0,0,VLOOKUP(Tablo2[[#This Row],[Student No]],Tablo314[[Student No]:[DÇ10]],27,FALSE)/LAB!$Q$48)))/4</f>
        <v>0</v>
      </c>
      <c r="O65" s="1">
        <f>((IF(MIDTERM!$J$46=0,0,VLOOKUP(Tablo2[[#This Row],[Student No]],Tablo17[[STUDENT ID]:[DÇ10]],21,FALSE)/MIDTERM!$J$46))+(IF(FINAL!$J$46=0,0,VLOOKUP(Tablo2[[#This Row],[Student No]],Tablo1744[[STUDENT ID]:[DÇ10]],21,FALSE)/FINAL!$J$46))+(IF(HOMEWORK!$I$47=0,0,VLOOKUP(Tablo2[[#This Row],[Student No]],Tablo3[[Student No]:[DÇ10]],19,FALSE)/HOMEWORK!$I$47))+(IF(LAB!$Q$49=0,0,VLOOKUP(Tablo2[[#This Row],[Student No]],Tablo314[[Student No]:[DÇ10]],28,FALSE)/LAB!$Q$49)))/4</f>
        <v>0</v>
      </c>
    </row>
    <row r="66" spans="1:24" ht="15" customHeight="1" x14ac:dyDescent="0.3">
      <c r="A66" s="66"/>
      <c r="B66" s="41">
        <v>30</v>
      </c>
      <c r="C66" s="1">
        <v>30</v>
      </c>
      <c r="D66" s="1" t="str">
        <f>VLOOKUP(Tablo2[[#This Row],[Student No]],Tablo1[[Student No]:[Surname]],2,FALSE)</f>
        <v>Name</v>
      </c>
      <c r="E66" s="1" t="str">
        <f>VLOOKUP(Tablo2[[#This Row],[Student No]],Tablo1[[Student No]:[Surname]],3,FALSE)</f>
        <v>Surname</v>
      </c>
      <c r="F66" s="1">
        <f>((IF(MIDTERM!$J$37=0,0,VLOOKUP(Tablo2[[#This Row],[Student No]],Tablo17[[STUDENT ID]:[DÇ10]],12,FALSE)/MIDTERM!$J$37))+(IF(FINAL!$J$37=0,0,VLOOKUP(Tablo2[[#This Row],[Student No]],Tablo1744[[STUDENT ID]:[DÇ10]],12,FALSE)/FINAL!$J$37))+(IF(HOMEWORK!$I$38=0,0,VLOOKUP(Tablo2[[#This Row],[Student No]],Tablo3[[Student No]:[DÇ10]],10,FALSE)/HOMEWORK!$I$38))+(IF(LAB!$Q$40=0,0,VLOOKUP(Tablo2[[#This Row],[Student No]],Tablo314[[Student No]:[DÇ10]],19,FALSE)/LAB!$Q$40)))/4</f>
        <v>0.42238095238095241</v>
      </c>
      <c r="G66" s="1">
        <f>((IF(MIDTERM!$J$38=0,0,VLOOKUP(Tablo2[[#This Row],[Student No]],Tablo17[[STUDENT ID]:[DÇ10]],13,FALSE)/MIDTERM!$J$38))+(IF(FINAL!$J$38=0,0,VLOOKUP(Tablo2[[#This Row],[Student No]],Tablo1744[[STUDENT ID]:[DÇ10]],13,FALSE)/FINAL!$J$38))+(IF(HOMEWORK!$I$39=0,0,VLOOKUP(Tablo2[[#This Row],[Student No]],Tablo3[[Student No]:[DÇ10]],11,FALSE)/HOMEWORK!$I$39))+(IF(LAB!$Q$41=0,0,VLOOKUP(Tablo2[[#This Row],[Student No]],Tablo314[[Student No]:[DÇ10]],20,FALSE)/LAB!$Q$41)))/4</f>
        <v>0.25791666666666668</v>
      </c>
      <c r="H66" s="62">
        <f>((IF(MIDTERM!$J$39=0,0,VLOOKUP(Tablo2[[#This Row],[Student No]],Tablo17[[STUDENT ID]:[DÇ10]],14,FALSE)/MIDTERM!$J$39))+(IF(FINAL!$J$39=0,0,VLOOKUP(Tablo2[[#This Row],[Student No]],Tablo1744[[STUDENT ID]:[DÇ10]],14,FALSE)/FINAL!$J$39))+(IF(HOMEWORK!$I$40=0,0,VLOOKUP(Tablo2[[#This Row],[Student No]],Tablo3[[Student No]:[DÇ10]],12,FALSE)/HOMEWORK!$I$40))+(IF(LAB!$Q$42=0,0,VLOOKUP(Tablo2[[#This Row],[Student No]],Tablo314[[Student No]:[DÇ10]],21,FALSE)/LAB!$Q$42)))/4</f>
        <v>0.35170454545454544</v>
      </c>
      <c r="I66" s="1">
        <f>((IF(MIDTERM!$J$40=0,0,VLOOKUP(Tablo2[[#This Row],[Student No]],Tablo17[[STUDENT ID]:[DÇ10]],15,FALSE)/MIDTERM!$J$40))+(IF(FINAL!$J$40=0,0,VLOOKUP(Tablo2[[#This Row],[Student No]],Tablo1744[[STUDENT ID]:[DÇ10]],15,FALSE)/FINAL!$J$40))+(IF(HOMEWORK!$I$41=0,0,VLOOKUP(Tablo2[[#This Row],[Student No]],Tablo3[[Student No]:[DÇ10]],13,FALSE)/HOMEWORK!$I$41))+(IF(LAB!$Q$43=0,0,VLOOKUP(Tablo2[[#This Row],[Student No]],Tablo314[[Student No]:[DÇ10]],22,FALSE)/LAB!$Q$43)))/4</f>
        <v>0.32977272727272727</v>
      </c>
      <c r="J66" s="1">
        <f>((IF(MIDTERM!$J$41=0,0,VLOOKUP(Tablo2[[#This Row],[Student No]],Tablo17[[STUDENT ID]:[DÇ10]],16,FALSE)/MIDTERM!$J$41))+(IF(FINAL!$J$41=0,0,VLOOKUP(Tablo2[[#This Row],[Student No]],Tablo1744[[STUDENT ID]:[DÇ10]],16,FALSE)/FINAL!$J$41))+(IF(HOMEWORK!$I$42=0,0,VLOOKUP(Tablo2[[#This Row],[Student No]],Tablo3[[Student No]:[DÇ10]],14,FALSE)/HOMEWORK!$I$42))+(IF(LAB!$Q$44=0,0,VLOOKUP(Tablo2[[#This Row],[Student No]],Tablo314[[Student No]:[DÇ10]],23,FALSE)/LAB!$Q$44)))/4</f>
        <v>0</v>
      </c>
      <c r="K66" s="1">
        <f>((IF(MIDTERM!$J$42=0,0,VLOOKUP(Tablo2[[#This Row],[Student No]],Tablo17[[STUDENT ID]:[DÇ10]],17,FALSE)/MIDTERM!$J$42))+(IF(FINAL!$J$42=0,0,VLOOKUP(Tablo2[[#This Row],[Student No]],Tablo1744[[STUDENT ID]:[DÇ10]],17,FALSE)/FINAL!$J$42))+(IF(HOMEWORK!$I$43=0,0,VLOOKUP(Tablo2[[#This Row],[Student No]],Tablo3[[Student No]:[DÇ10]],15,FALSE)/HOMEWORK!$I$43))+(IF(LAB!$Q$45=0,0,VLOOKUP(Tablo2[[#This Row],[Student No]],Tablo314[[Student No]:[DÇ10]],24,FALSE)/LAB!$Q$45)))/4</f>
        <v>0</v>
      </c>
      <c r="L66" s="1">
        <f>((IF(MIDTERM!$J$43=0,0,VLOOKUP(Tablo2[[#This Row],[Student No]],Tablo17[[STUDENT ID]:[DÇ10]],18,FALSE)/MIDTERM!$J$43))+(IF(FINAL!$J$43=0,0,VLOOKUP(Tablo2[[#This Row],[Student No]],Tablo1744[[STUDENT ID]:[DÇ10]],18,FALSE)/FINAL!$J$43))+(IF(HOMEWORK!$I$44=0,0,VLOOKUP(Tablo2[[#This Row],[Student No]],Tablo3[[Student No]:[DÇ10]],16,FALSE)/HOMEWORK!$I$44))+(IF(LAB!$Q$46=0,0,VLOOKUP(Tablo2[[#This Row],[Student No]],Tablo314[[Student No]:[DÇ10]],25,FALSE)/LAB!$Q$46)))/4</f>
        <v>0</v>
      </c>
      <c r="M66" s="1">
        <f>((IF(MIDTERM!$J$44=0,0,VLOOKUP(Tablo2[[#This Row],[Student No]],Tablo17[[STUDENT ID]:[DÇ10]],19,FALSE)/MIDTERM!$J$44))+(IF(FINAL!$J$44=0,0,VLOOKUP(Tablo2[[#This Row],[Student No]],Tablo1744[[STUDENT ID]:[DÇ10]],19,FALSE)/FINAL!$J$44))+(IF(HOMEWORK!$I$45=0,0,VLOOKUP(Tablo2[[#This Row],[Student No]],Tablo3[[Student No]:[DÇ10]],17,FALSE)/HOMEWORK!$I$45))+(IF(LAB!$Q$47=0,0,VLOOKUP(Tablo2[[#This Row],[Student No]],Tablo314[[Student No]:[DÇ10]],26,FALSE)/LAB!$Q$47)))/4</f>
        <v>0</v>
      </c>
      <c r="N66" s="1">
        <f>((IF(MIDTERM!$J$45=0,0,VLOOKUP(Tablo2[[#This Row],[Student No]],Tablo17[[STUDENT ID]:[DÇ10]],20,FALSE)/MIDTERM!$J$45))+(IF(FINAL!$J$45=0,0,VLOOKUP(Tablo2[[#This Row],[Student No]],Tablo1744[[STUDENT ID]:[DÇ10]],20,FALSE)/FINAL!$J$45))+(IF(HOMEWORK!$I$46=0,0,VLOOKUP(Tablo2[[#This Row],[Student No]],Tablo3[[Student No]:[DÇ10]],18,FALSE)/HOMEWORK!$I$46))+(IF(LAB!$Q$48=0,0,VLOOKUP(Tablo2[[#This Row],[Student No]],Tablo314[[Student No]:[DÇ10]],27,FALSE)/LAB!$Q$48)))/4</f>
        <v>0</v>
      </c>
      <c r="O66" s="1">
        <f>((IF(MIDTERM!$J$46=0,0,VLOOKUP(Tablo2[[#This Row],[Student No]],Tablo17[[STUDENT ID]:[DÇ10]],21,FALSE)/MIDTERM!$J$46))+(IF(FINAL!$J$46=0,0,VLOOKUP(Tablo2[[#This Row],[Student No]],Tablo1744[[STUDENT ID]:[DÇ10]],21,FALSE)/FINAL!$J$46))+(IF(HOMEWORK!$I$47=0,0,VLOOKUP(Tablo2[[#This Row],[Student No]],Tablo3[[Student No]:[DÇ10]],19,FALSE)/HOMEWORK!$I$47))+(IF(LAB!$Q$49=0,0,VLOOKUP(Tablo2[[#This Row],[Student No]],Tablo314[[Student No]:[DÇ10]],28,FALSE)/LAB!$Q$49)))/4</f>
        <v>0</v>
      </c>
    </row>
    <row r="67" spans="1:24" ht="15" x14ac:dyDescent="0.3">
      <c r="A67" s="66"/>
      <c r="D67" s="1"/>
      <c r="E67" s="1"/>
      <c r="F67" s="62"/>
      <c r="G67" s="62"/>
    </row>
    <row r="68" spans="1:24" ht="31.95" customHeight="1" x14ac:dyDescent="0.55000000000000004">
      <c r="A68" s="66"/>
      <c r="B68" s="134" t="s">
        <v>134</v>
      </c>
      <c r="C68" s="134"/>
      <c r="D68" s="134"/>
      <c r="E68" s="134"/>
      <c r="F68" s="134"/>
      <c r="G68" s="134"/>
      <c r="H68" s="134"/>
      <c r="I68" s="134"/>
      <c r="J68" s="134"/>
      <c r="K68" s="134"/>
      <c r="L68" s="134"/>
      <c r="M68" s="134"/>
      <c r="N68" s="134"/>
      <c r="O68" s="134"/>
      <c r="P68" s="134"/>
      <c r="Q68" s="134"/>
      <c r="R68" s="134"/>
      <c r="S68" s="134"/>
      <c r="T68" s="134"/>
      <c r="U68" s="134"/>
      <c r="V68" s="134"/>
      <c r="W68" s="134"/>
      <c r="X68" s="134"/>
    </row>
    <row r="69" spans="1:24" ht="15" x14ac:dyDescent="0.3">
      <c r="B69" s="16"/>
      <c r="C69" s="135" t="s">
        <v>61</v>
      </c>
      <c r="D69" s="135"/>
      <c r="E69" s="135" t="s">
        <v>62</v>
      </c>
      <c r="F69" s="135"/>
      <c r="G69" s="136" t="s">
        <v>63</v>
      </c>
      <c r="H69" s="136"/>
      <c r="I69" s="135" t="s">
        <v>64</v>
      </c>
      <c r="J69" s="135"/>
      <c r="K69" s="135" t="s">
        <v>65</v>
      </c>
      <c r="L69" s="135"/>
      <c r="M69" s="135" t="s">
        <v>66</v>
      </c>
      <c r="N69" s="135"/>
      <c r="O69" s="135" t="s">
        <v>67</v>
      </c>
      <c r="P69" s="135"/>
      <c r="Q69" s="133" t="s">
        <v>68</v>
      </c>
      <c r="R69" s="133"/>
      <c r="S69" s="133" t="s">
        <v>69</v>
      </c>
      <c r="T69" s="133"/>
      <c r="U69" s="133" t="s">
        <v>70</v>
      </c>
      <c r="V69" s="133"/>
      <c r="W69" s="133" t="s">
        <v>71</v>
      </c>
      <c r="X69" s="133"/>
    </row>
    <row r="70" spans="1:24" ht="15" customHeight="1" x14ac:dyDescent="0.3">
      <c r="B70" s="17" t="s">
        <v>72</v>
      </c>
      <c r="C70" s="18" t="b">
        <v>0</v>
      </c>
      <c r="D70" s="19">
        <f>IF(C70 = TRUE, IF(S38=0,0,W51/S38), 0)</f>
        <v>0</v>
      </c>
      <c r="E70" s="20" t="b">
        <v>0</v>
      </c>
      <c r="F70" s="19">
        <f>IF(E70 = TRUE, IF(S38=0,0,W51/S38), 0)</f>
        <v>0</v>
      </c>
      <c r="G70" s="21" t="b">
        <v>0</v>
      </c>
      <c r="H70" s="69">
        <f>IF(G70 = TRUE, IF(S38=0,0,W51/S38), 0)</f>
        <v>0</v>
      </c>
      <c r="I70" s="20" t="b">
        <v>0</v>
      </c>
      <c r="J70" s="19">
        <f>IF(I70 = TRUE, IF(S38=0,0,W51/S38), 0)</f>
        <v>0</v>
      </c>
      <c r="K70" s="18" t="b">
        <v>0</v>
      </c>
      <c r="L70" s="19">
        <f>IF(K70 = TRUE, IF(S38=0,0,W51/S38), 0)</f>
        <v>0</v>
      </c>
      <c r="M70" s="18" t="b">
        <v>0</v>
      </c>
      <c r="N70" s="19">
        <f>IF(M70 = TRUE, IF(S38=0,0,W51/S38), 0)</f>
        <v>0</v>
      </c>
      <c r="O70" s="18" t="b">
        <v>0</v>
      </c>
      <c r="P70" s="19">
        <f>IF(O70 = TRUE, IF(S38=0,0,W51/S38), 0)</f>
        <v>0</v>
      </c>
      <c r="Q70" s="18" t="b">
        <v>0</v>
      </c>
      <c r="R70" s="19">
        <f>IF(Q70 = TRUE, IF(S38=0,0,W51/S38), 0)</f>
        <v>0</v>
      </c>
      <c r="S70" s="18" t="b">
        <v>0</v>
      </c>
      <c r="T70" s="19">
        <f>IF(S70 = TRUE, IF(S38=0,0,W51/S38), 0)</f>
        <v>0</v>
      </c>
      <c r="U70" s="18" t="b">
        <v>0</v>
      </c>
      <c r="V70" s="19">
        <f>IF(U70 = TRUE, IF(S38=0,0,W51/S38), 0)</f>
        <v>0</v>
      </c>
      <c r="W70" s="18" t="b">
        <v>0</v>
      </c>
      <c r="X70" s="70">
        <f>IF(W70 = TRUE, IF(S38=0,0,W51/S38), 0)</f>
        <v>0</v>
      </c>
    </row>
    <row r="71" spans="1:24" ht="15" customHeight="1" x14ac:dyDescent="0.3">
      <c r="B71" s="16" t="s">
        <v>73</v>
      </c>
      <c r="C71" s="22" t="b">
        <v>0</v>
      </c>
      <c r="D71" s="19">
        <f t="shared" ref="D71:D79" si="2">IF(C71 = TRUE, IF(S39=0,0,W52/S39), 0)</f>
        <v>0</v>
      </c>
      <c r="E71" s="24" t="b">
        <v>0</v>
      </c>
      <c r="F71" s="19">
        <f t="shared" ref="F71:F79" si="3">IF(E71 = TRUE, IF(S39=0,0,W52/S39), 0)</f>
        <v>0</v>
      </c>
      <c r="G71" s="25" t="b">
        <v>0</v>
      </c>
      <c r="H71" s="69">
        <f t="shared" ref="H71:H79" si="4">IF(G71 = TRUE, IF(S39=0,0,W52/S39), 0)</f>
        <v>0</v>
      </c>
      <c r="I71" s="24" t="b">
        <v>0</v>
      </c>
      <c r="J71" s="19">
        <f t="shared" ref="J71:J79" si="5">IF(I71 = TRUE, IF(S39=0,0,W52/S39), 0)</f>
        <v>0</v>
      </c>
      <c r="K71" s="22" t="b">
        <v>0</v>
      </c>
      <c r="L71" s="19">
        <f t="shared" ref="L71:L79" si="6">IF(K71 = TRUE, IF(S39=0,0,W52/S39), 0)</f>
        <v>0</v>
      </c>
      <c r="M71" s="22" t="b">
        <v>0</v>
      </c>
      <c r="N71" s="19">
        <f t="shared" ref="N71:N79" si="7">IF(M71 = TRUE, IF(S39=0,0,W52/S39), 0)</f>
        <v>0</v>
      </c>
      <c r="O71" s="22" t="b">
        <v>0</v>
      </c>
      <c r="P71" s="19">
        <f t="shared" ref="P71:P79" si="8">IF(O71 = TRUE, IF(S39=0,0,W52/S39), 0)</f>
        <v>0</v>
      </c>
      <c r="Q71" s="22" t="b">
        <v>0</v>
      </c>
      <c r="R71" s="19">
        <f t="shared" ref="R71:R79" si="9">IF(Q71 = TRUE, IF(S39=0,0,W52/S39), 0)</f>
        <v>0</v>
      </c>
      <c r="S71" s="22" t="b">
        <v>0</v>
      </c>
      <c r="T71" s="19">
        <f t="shared" ref="T71:T79" si="10">IF(S71 = TRUE, IF(S39=0,0,W52/S39), 0)</f>
        <v>0</v>
      </c>
      <c r="U71" s="22" t="b">
        <v>0</v>
      </c>
      <c r="V71" s="19">
        <f t="shared" ref="V71:V79" si="11">IF(U71 = TRUE, IF(S39=0,0,W52/S39), 0)</f>
        <v>0</v>
      </c>
      <c r="W71" s="22" t="b">
        <v>0</v>
      </c>
      <c r="X71" s="70">
        <f t="shared" ref="X71:X79" si="12">IF(W71 = TRUE, IF(S39=0,0,W52/S39), 0)</f>
        <v>0</v>
      </c>
    </row>
    <row r="72" spans="1:24" ht="15" customHeight="1" x14ac:dyDescent="0.3">
      <c r="B72" s="16" t="s">
        <v>74</v>
      </c>
      <c r="C72" s="22" t="b">
        <v>0</v>
      </c>
      <c r="D72" s="19">
        <f t="shared" si="2"/>
        <v>0</v>
      </c>
      <c r="E72" s="24" t="b">
        <v>0</v>
      </c>
      <c r="F72" s="19">
        <f t="shared" si="3"/>
        <v>0</v>
      </c>
      <c r="G72" s="25" t="b">
        <v>0</v>
      </c>
      <c r="H72" s="69">
        <f t="shared" si="4"/>
        <v>0</v>
      </c>
      <c r="I72" s="24" t="b">
        <v>0</v>
      </c>
      <c r="J72" s="19">
        <f t="shared" si="5"/>
        <v>0</v>
      </c>
      <c r="K72" s="22" t="b">
        <v>0</v>
      </c>
      <c r="L72" s="19">
        <f t="shared" si="6"/>
        <v>0</v>
      </c>
      <c r="M72" s="22" t="b">
        <v>0</v>
      </c>
      <c r="N72" s="19">
        <f t="shared" si="7"/>
        <v>0</v>
      </c>
      <c r="O72" s="22" t="b">
        <v>0</v>
      </c>
      <c r="P72" s="19">
        <f t="shared" si="8"/>
        <v>0</v>
      </c>
      <c r="Q72" s="22" t="b">
        <v>0</v>
      </c>
      <c r="R72" s="19">
        <f t="shared" si="9"/>
        <v>0</v>
      </c>
      <c r="S72" s="22" t="b">
        <v>0</v>
      </c>
      <c r="T72" s="19">
        <f t="shared" si="10"/>
        <v>0</v>
      </c>
      <c r="U72" s="22" t="b">
        <v>0</v>
      </c>
      <c r="V72" s="19">
        <f t="shared" si="11"/>
        <v>0</v>
      </c>
      <c r="W72" s="22" t="b">
        <v>0</v>
      </c>
      <c r="X72" s="70">
        <f t="shared" si="12"/>
        <v>0</v>
      </c>
    </row>
    <row r="73" spans="1:24" ht="15" customHeight="1" x14ac:dyDescent="0.3">
      <c r="B73" s="17" t="s">
        <v>75</v>
      </c>
      <c r="C73" s="18" t="b">
        <v>0</v>
      </c>
      <c r="D73" s="19">
        <f t="shared" si="2"/>
        <v>0</v>
      </c>
      <c r="E73" s="20" t="b">
        <v>0</v>
      </c>
      <c r="F73" s="19">
        <f t="shared" si="3"/>
        <v>0</v>
      </c>
      <c r="G73" s="21" t="b">
        <v>0</v>
      </c>
      <c r="H73" s="69">
        <f t="shared" si="4"/>
        <v>0</v>
      </c>
      <c r="I73" s="20" t="b">
        <v>0</v>
      </c>
      <c r="J73" s="19">
        <f t="shared" si="5"/>
        <v>0</v>
      </c>
      <c r="K73" s="18" t="b">
        <v>0</v>
      </c>
      <c r="L73" s="19">
        <f t="shared" si="6"/>
        <v>0</v>
      </c>
      <c r="M73" s="18" t="b">
        <v>0</v>
      </c>
      <c r="N73" s="19">
        <f t="shared" si="7"/>
        <v>0</v>
      </c>
      <c r="O73" s="18" t="b">
        <v>0</v>
      </c>
      <c r="P73" s="19">
        <f t="shared" si="8"/>
        <v>0</v>
      </c>
      <c r="Q73" s="18" t="b">
        <v>0</v>
      </c>
      <c r="R73" s="19">
        <f t="shared" si="9"/>
        <v>0</v>
      </c>
      <c r="S73" s="18" t="b">
        <v>0</v>
      </c>
      <c r="T73" s="19">
        <f t="shared" si="10"/>
        <v>0</v>
      </c>
      <c r="U73" s="18" t="b">
        <v>0</v>
      </c>
      <c r="V73" s="19">
        <f t="shared" si="11"/>
        <v>0</v>
      </c>
      <c r="W73" s="18" t="b">
        <v>0</v>
      </c>
      <c r="X73" s="70">
        <f t="shared" si="12"/>
        <v>0</v>
      </c>
    </row>
    <row r="74" spans="1:24" ht="15" x14ac:dyDescent="0.3">
      <c r="B74" s="71" t="s">
        <v>135</v>
      </c>
      <c r="C74" s="18" t="b">
        <v>0</v>
      </c>
      <c r="D74" s="19">
        <f t="shared" si="2"/>
        <v>0</v>
      </c>
      <c r="E74" s="20" t="b">
        <v>0</v>
      </c>
      <c r="F74" s="19">
        <f t="shared" si="3"/>
        <v>0</v>
      </c>
      <c r="G74" s="21" t="b">
        <v>0</v>
      </c>
      <c r="H74" s="69">
        <f t="shared" si="4"/>
        <v>0</v>
      </c>
      <c r="I74" s="20" t="b">
        <v>0</v>
      </c>
      <c r="J74" s="19">
        <f t="shared" si="5"/>
        <v>0</v>
      </c>
      <c r="K74" s="18" t="b">
        <v>0</v>
      </c>
      <c r="L74" s="19">
        <f t="shared" si="6"/>
        <v>0</v>
      </c>
      <c r="M74" s="18" t="b">
        <v>0</v>
      </c>
      <c r="N74" s="19">
        <f t="shared" si="7"/>
        <v>0</v>
      </c>
      <c r="O74" s="18" t="b">
        <v>0</v>
      </c>
      <c r="P74" s="19">
        <f t="shared" si="8"/>
        <v>0</v>
      </c>
      <c r="Q74" s="18" t="b">
        <v>0</v>
      </c>
      <c r="R74" s="19">
        <f t="shared" si="9"/>
        <v>0</v>
      </c>
      <c r="S74" s="18" t="b">
        <v>0</v>
      </c>
      <c r="T74" s="19">
        <f t="shared" si="10"/>
        <v>0</v>
      </c>
      <c r="U74" s="18" t="b">
        <v>0</v>
      </c>
      <c r="V74" s="19">
        <f t="shared" si="11"/>
        <v>0</v>
      </c>
      <c r="W74" s="18" t="b">
        <v>0</v>
      </c>
      <c r="X74" s="70">
        <f t="shared" si="12"/>
        <v>0</v>
      </c>
    </row>
    <row r="75" spans="1:24" ht="15" x14ac:dyDescent="0.3">
      <c r="A75" s="66"/>
      <c r="B75" s="72" t="s">
        <v>136</v>
      </c>
      <c r="C75" s="22" t="b">
        <v>0</v>
      </c>
      <c r="D75" s="19">
        <f t="shared" si="2"/>
        <v>0</v>
      </c>
      <c r="E75" s="24" t="b">
        <v>0</v>
      </c>
      <c r="F75" s="19">
        <f t="shared" si="3"/>
        <v>0</v>
      </c>
      <c r="G75" s="25" t="b">
        <v>0</v>
      </c>
      <c r="H75" s="69">
        <f t="shared" si="4"/>
        <v>0</v>
      </c>
      <c r="I75" s="24" t="b">
        <v>0</v>
      </c>
      <c r="J75" s="19">
        <f t="shared" si="5"/>
        <v>0</v>
      </c>
      <c r="K75" s="22" t="b">
        <v>0</v>
      </c>
      <c r="L75" s="19">
        <f t="shared" si="6"/>
        <v>0</v>
      </c>
      <c r="M75" s="22" t="b">
        <v>0</v>
      </c>
      <c r="N75" s="19">
        <f t="shared" si="7"/>
        <v>0</v>
      </c>
      <c r="O75" s="22" t="b">
        <v>0</v>
      </c>
      <c r="P75" s="19">
        <f t="shared" si="8"/>
        <v>0</v>
      </c>
      <c r="Q75" s="22" t="b">
        <v>0</v>
      </c>
      <c r="R75" s="19">
        <f t="shared" si="9"/>
        <v>0</v>
      </c>
      <c r="S75" s="22" t="b">
        <v>0</v>
      </c>
      <c r="T75" s="19">
        <f t="shared" si="10"/>
        <v>0</v>
      </c>
      <c r="U75" s="22" t="b">
        <v>0</v>
      </c>
      <c r="V75" s="19">
        <f t="shared" si="11"/>
        <v>0</v>
      </c>
      <c r="W75" s="22" t="b">
        <v>0</v>
      </c>
      <c r="X75" s="70">
        <f t="shared" si="12"/>
        <v>0</v>
      </c>
    </row>
    <row r="76" spans="1:24" ht="15" x14ac:dyDescent="0.3">
      <c r="A76" s="66"/>
      <c r="B76" s="72" t="s">
        <v>137</v>
      </c>
      <c r="C76" s="22" t="b">
        <v>0</v>
      </c>
      <c r="D76" s="19">
        <f t="shared" si="2"/>
        <v>0</v>
      </c>
      <c r="E76" s="24" t="b">
        <v>0</v>
      </c>
      <c r="F76" s="19">
        <f t="shared" si="3"/>
        <v>0</v>
      </c>
      <c r="G76" s="25" t="b">
        <v>0</v>
      </c>
      <c r="H76" s="69">
        <f t="shared" si="4"/>
        <v>0</v>
      </c>
      <c r="I76" s="24" t="b">
        <v>0</v>
      </c>
      <c r="J76" s="19">
        <f t="shared" si="5"/>
        <v>0</v>
      </c>
      <c r="K76" s="22" t="b">
        <v>0</v>
      </c>
      <c r="L76" s="19">
        <f t="shared" si="6"/>
        <v>0</v>
      </c>
      <c r="M76" s="22" t="b">
        <v>0</v>
      </c>
      <c r="N76" s="19">
        <f t="shared" si="7"/>
        <v>0</v>
      </c>
      <c r="O76" s="22" t="b">
        <v>0</v>
      </c>
      <c r="P76" s="19">
        <f t="shared" si="8"/>
        <v>0</v>
      </c>
      <c r="Q76" s="22" t="b">
        <v>0</v>
      </c>
      <c r="R76" s="19">
        <f t="shared" si="9"/>
        <v>0</v>
      </c>
      <c r="S76" s="22" t="b">
        <v>0</v>
      </c>
      <c r="T76" s="19">
        <f t="shared" si="10"/>
        <v>0</v>
      </c>
      <c r="U76" s="22" t="b">
        <v>0</v>
      </c>
      <c r="V76" s="19">
        <f t="shared" si="11"/>
        <v>0</v>
      </c>
      <c r="W76" s="22" t="b">
        <v>0</v>
      </c>
      <c r="X76" s="70">
        <f t="shared" si="12"/>
        <v>0</v>
      </c>
    </row>
    <row r="77" spans="1:24" ht="15" x14ac:dyDescent="0.3">
      <c r="A77" s="66"/>
      <c r="B77" s="71" t="s">
        <v>138</v>
      </c>
      <c r="C77" s="18" t="b">
        <v>0</v>
      </c>
      <c r="D77" s="19">
        <f t="shared" si="2"/>
        <v>0</v>
      </c>
      <c r="E77" s="20" t="b">
        <v>0</v>
      </c>
      <c r="F77" s="19">
        <f t="shared" si="3"/>
        <v>0</v>
      </c>
      <c r="G77" s="21" t="b">
        <v>0</v>
      </c>
      <c r="H77" s="69">
        <f t="shared" si="4"/>
        <v>0</v>
      </c>
      <c r="I77" s="20" t="b">
        <v>0</v>
      </c>
      <c r="J77" s="19">
        <f t="shared" si="5"/>
        <v>0</v>
      </c>
      <c r="K77" s="18" t="b">
        <v>0</v>
      </c>
      <c r="L77" s="19">
        <f t="shared" si="6"/>
        <v>0</v>
      </c>
      <c r="M77" s="18" t="b">
        <v>0</v>
      </c>
      <c r="N77" s="19">
        <f t="shared" si="7"/>
        <v>0</v>
      </c>
      <c r="O77" s="18" t="b">
        <v>0</v>
      </c>
      <c r="P77" s="19">
        <f t="shared" si="8"/>
        <v>0</v>
      </c>
      <c r="Q77" s="18" t="b">
        <v>0</v>
      </c>
      <c r="R77" s="19">
        <f t="shared" si="9"/>
        <v>0</v>
      </c>
      <c r="S77" s="18" t="b">
        <v>0</v>
      </c>
      <c r="T77" s="19">
        <f t="shared" si="10"/>
        <v>0</v>
      </c>
      <c r="U77" s="18" t="b">
        <v>0</v>
      </c>
      <c r="V77" s="19">
        <f t="shared" si="11"/>
        <v>0</v>
      </c>
      <c r="W77" s="18" t="b">
        <v>0</v>
      </c>
      <c r="X77" s="70">
        <f t="shared" si="12"/>
        <v>0</v>
      </c>
    </row>
    <row r="78" spans="1:24" ht="15" x14ac:dyDescent="0.3">
      <c r="A78" s="66"/>
      <c r="B78" s="72" t="s">
        <v>139</v>
      </c>
      <c r="C78" s="22" t="b">
        <v>0</v>
      </c>
      <c r="D78" s="19">
        <f t="shared" si="2"/>
        <v>0</v>
      </c>
      <c r="E78" s="24" t="b">
        <v>0</v>
      </c>
      <c r="F78" s="19">
        <f t="shared" si="3"/>
        <v>0</v>
      </c>
      <c r="G78" s="25" t="b">
        <v>0</v>
      </c>
      <c r="H78" s="69">
        <f t="shared" si="4"/>
        <v>0</v>
      </c>
      <c r="I78" s="24" t="b">
        <v>0</v>
      </c>
      <c r="J78" s="19">
        <f t="shared" si="5"/>
        <v>0</v>
      </c>
      <c r="K78" s="22" t="b">
        <v>0</v>
      </c>
      <c r="L78" s="19">
        <f t="shared" si="6"/>
        <v>0</v>
      </c>
      <c r="M78" s="22" t="b">
        <v>0</v>
      </c>
      <c r="N78" s="19">
        <f t="shared" si="7"/>
        <v>0</v>
      </c>
      <c r="O78" s="22" t="b">
        <v>0</v>
      </c>
      <c r="P78" s="19">
        <f t="shared" si="8"/>
        <v>0</v>
      </c>
      <c r="Q78" s="22" t="b">
        <v>0</v>
      </c>
      <c r="R78" s="19">
        <f t="shared" si="9"/>
        <v>0</v>
      </c>
      <c r="S78" s="22" t="b">
        <v>0</v>
      </c>
      <c r="T78" s="19">
        <f t="shared" si="10"/>
        <v>0</v>
      </c>
      <c r="U78" s="22" t="b">
        <v>0</v>
      </c>
      <c r="V78" s="19">
        <f t="shared" si="11"/>
        <v>0</v>
      </c>
      <c r="W78" s="22" t="b">
        <v>0</v>
      </c>
      <c r="X78" s="70">
        <f t="shared" si="12"/>
        <v>0</v>
      </c>
    </row>
    <row r="79" spans="1:24" ht="15" x14ac:dyDescent="0.3">
      <c r="A79" s="66"/>
      <c r="B79" s="71" t="s">
        <v>140</v>
      </c>
      <c r="C79" s="18" t="b">
        <v>0</v>
      </c>
      <c r="D79" s="19">
        <f t="shared" si="2"/>
        <v>0</v>
      </c>
      <c r="E79" s="20" t="b">
        <v>0</v>
      </c>
      <c r="F79" s="19">
        <f t="shared" si="3"/>
        <v>0</v>
      </c>
      <c r="G79" s="21" t="b">
        <v>0</v>
      </c>
      <c r="H79" s="69">
        <f t="shared" si="4"/>
        <v>0</v>
      </c>
      <c r="I79" s="20" t="b">
        <v>0</v>
      </c>
      <c r="J79" s="19">
        <f t="shared" si="5"/>
        <v>0</v>
      </c>
      <c r="K79" s="18" t="b">
        <v>0</v>
      </c>
      <c r="L79" s="19">
        <f t="shared" si="6"/>
        <v>0</v>
      </c>
      <c r="M79" s="18" t="b">
        <v>0</v>
      </c>
      <c r="N79" s="19">
        <f t="shared" si="7"/>
        <v>0</v>
      </c>
      <c r="O79" s="18" t="b">
        <v>0</v>
      </c>
      <c r="P79" s="19">
        <f t="shared" si="8"/>
        <v>0</v>
      </c>
      <c r="Q79" s="18" t="b">
        <v>0</v>
      </c>
      <c r="R79" s="19">
        <f t="shared" si="9"/>
        <v>0</v>
      </c>
      <c r="S79" s="18" t="b">
        <v>0</v>
      </c>
      <c r="T79" s="19">
        <f t="shared" si="10"/>
        <v>0</v>
      </c>
      <c r="U79" s="18" t="b">
        <v>0</v>
      </c>
      <c r="V79" s="19">
        <f t="shared" si="11"/>
        <v>0</v>
      </c>
      <c r="W79" s="18" t="b">
        <v>0</v>
      </c>
      <c r="X79" s="70">
        <f t="shared" si="12"/>
        <v>0</v>
      </c>
    </row>
    <row r="80" spans="1:24" ht="15" x14ac:dyDescent="0.3">
      <c r="A80" s="66"/>
      <c r="B80" s="26"/>
      <c r="C80" s="18"/>
      <c r="D80" s="19">
        <f>IF(IF(IFERROR(AVERAGEIF(D70:D79, "&lt;&gt;0"),0),AVERAGEIF(D70:D79, "&lt;&gt;0")),AVERAGEIF(D70:D79, "&lt;&gt;0"), 0)</f>
        <v>0</v>
      </c>
      <c r="E80" s="20"/>
      <c r="F80" s="19">
        <f>IF(IF(IFERROR(AVERAGEIF(F70:F79, "&lt;&gt;0"),0),AVERAGEIF(F70:F79, "&lt;&gt;0")),AVERAGEIF(F70:F79, "&lt;&gt;0"), 0)</f>
        <v>0</v>
      </c>
      <c r="G80" s="21"/>
      <c r="H80" s="69">
        <f>IF(IF(IFERROR(AVERAGEIF(H70:H79, "&lt;&gt;0"),0),AVERAGEIF(H70:H79, "&lt;&gt;0")),AVERAGEIF(H70:H79, "&lt;&gt;0"), 0)</f>
        <v>0</v>
      </c>
      <c r="I80" s="20"/>
      <c r="J80" s="19">
        <f>IF(IF(IFERROR(AVERAGEIF(J70:J79, "&lt;&gt;0"),0),AVERAGEIF(J70:J79, "&lt;&gt;0")),AVERAGEIF(J70:J79, "&lt;&gt;0"), 0)</f>
        <v>0</v>
      </c>
      <c r="K80" s="18"/>
      <c r="L80" s="19">
        <f>IF(IF(IFERROR(AVERAGEIF(L70:L79, "&lt;&gt;0"),0),AVERAGEIF(L70:L79, "&lt;&gt;0")),AVERAGEIF(L70:L79, "&lt;&gt;0"), 0)</f>
        <v>0</v>
      </c>
      <c r="M80" s="18"/>
      <c r="N80" s="19">
        <f>IF(IF(IFERROR(AVERAGEIF(N70:N79, "&lt;&gt;0"),0),AVERAGEIF(N70:N79, "&lt;&gt;0")),AVERAGEIF(N70:N79, "&lt;&gt;0"), 0)</f>
        <v>0</v>
      </c>
      <c r="O80" s="18"/>
      <c r="P80" s="19">
        <f>IF(IF(IFERROR(AVERAGEIF(P70:P79, "&lt;&gt;0"),0),AVERAGEIF(P70:P79, "&lt;&gt;0")),AVERAGEIF(P70:P79, "&lt;&gt;0"), 0)</f>
        <v>0</v>
      </c>
      <c r="Q80" s="18"/>
      <c r="R80" s="19">
        <f>IF(IF(IFERROR(AVERAGEIF(R70:R79, "&lt;&gt;0"),0),AVERAGEIF(R70:R79, "&lt;&gt;0")),AVERAGEIF(R70:R79, "&lt;&gt;0"), 0)</f>
        <v>0</v>
      </c>
      <c r="S80" s="18"/>
      <c r="T80" s="19">
        <f>IF(IF(IFERROR(AVERAGEIF(T70:T79, "&lt;&gt;0"),0),AVERAGEIF(T70:T79, "&lt;&gt;0")),AVERAGEIF(T70:T79, "&lt;&gt;0"), 0)</f>
        <v>0</v>
      </c>
      <c r="U80" s="18"/>
      <c r="V80" s="19">
        <f>IF(IF(IFERROR(AVERAGEIF(V70:V79, "&lt;&gt;0"),0),AVERAGEIF(V70:V79, "&lt;&gt;0")),AVERAGEIF(V70:V79, "&lt;&gt;0"), 0)</f>
        <v>0</v>
      </c>
      <c r="W80" s="18"/>
      <c r="X80" s="70">
        <f>IF(IF(IFERROR(AVERAGEIF(X70:X79, "&lt;&gt;0"),0),AVERAGEIF(X70:X79, "&lt;&gt;0")),AVERAGEIF(X70:X79, "&lt;&gt;0"), 0)</f>
        <v>0</v>
      </c>
    </row>
    <row r="81" spans="1:7" ht="15" x14ac:dyDescent="0.3">
      <c r="A81" s="66"/>
      <c r="D81" s="1"/>
      <c r="E81" s="1"/>
      <c r="F81" s="62"/>
      <c r="G81" s="62"/>
    </row>
    <row r="82" spans="1:7" ht="15" x14ac:dyDescent="0.3">
      <c r="A82" s="66"/>
      <c r="D82" s="1"/>
      <c r="E82" s="1"/>
      <c r="F82" s="62"/>
      <c r="G82" s="62"/>
    </row>
    <row r="83" spans="1:7" ht="15" x14ac:dyDescent="0.3">
      <c r="A83" s="66"/>
      <c r="D83" s="1"/>
      <c r="E83" s="1"/>
      <c r="F83" s="62"/>
      <c r="G83" s="62"/>
    </row>
    <row r="84" spans="1:7" ht="15" x14ac:dyDescent="0.3">
      <c r="A84" s="66"/>
      <c r="D84" s="1"/>
      <c r="E84" s="1"/>
      <c r="F84" s="62"/>
      <c r="G84" s="62"/>
    </row>
    <row r="85" spans="1:7" ht="15" x14ac:dyDescent="0.3">
      <c r="A85" s="66"/>
      <c r="D85" s="1"/>
      <c r="E85" s="1"/>
      <c r="F85" s="62"/>
      <c r="G85" s="62"/>
    </row>
    <row r="86" spans="1:7" ht="15" x14ac:dyDescent="0.3">
      <c r="A86" s="66"/>
      <c r="D86" s="1"/>
      <c r="E86" s="1"/>
      <c r="F86" s="62"/>
      <c r="G86" s="62"/>
    </row>
    <row r="87" spans="1:7" ht="15" x14ac:dyDescent="0.3">
      <c r="A87" s="66"/>
      <c r="D87" s="1"/>
      <c r="E87" s="1"/>
      <c r="F87" s="62"/>
      <c r="G87" s="62"/>
    </row>
    <row r="88" spans="1:7" ht="15" x14ac:dyDescent="0.3">
      <c r="A88" s="66"/>
      <c r="D88" s="1"/>
      <c r="E88" s="1"/>
      <c r="F88" s="62"/>
      <c r="G88" s="62"/>
    </row>
    <row r="89" spans="1:7" ht="15" x14ac:dyDescent="0.3">
      <c r="A89" s="66"/>
      <c r="D89" s="1"/>
      <c r="E89" s="1"/>
      <c r="F89" s="62"/>
      <c r="G89" s="62"/>
    </row>
    <row r="90" spans="1:7" ht="15" x14ac:dyDescent="0.3">
      <c r="A90" s="66"/>
      <c r="D90" s="1"/>
      <c r="E90" s="1"/>
      <c r="F90" s="62"/>
      <c r="G90" s="62"/>
    </row>
    <row r="91" spans="1:7" ht="15" x14ac:dyDescent="0.3">
      <c r="A91" s="66"/>
      <c r="D91" s="1"/>
      <c r="E91" s="1"/>
      <c r="F91" s="62"/>
      <c r="G91" s="62"/>
    </row>
    <row r="92" spans="1:7" ht="15" x14ac:dyDescent="0.3">
      <c r="A92" s="66"/>
      <c r="D92" s="1"/>
      <c r="E92" s="1"/>
      <c r="F92" s="62"/>
      <c r="G92" s="62"/>
    </row>
    <row r="93" spans="1:7" ht="15" x14ac:dyDescent="0.3">
      <c r="A93" s="66"/>
      <c r="D93" s="1"/>
      <c r="E93" s="1"/>
      <c r="F93" s="62"/>
      <c r="G93" s="62"/>
    </row>
    <row r="94" spans="1:7" ht="15" x14ac:dyDescent="0.3">
      <c r="A94" s="66"/>
      <c r="D94" s="1"/>
      <c r="E94" s="1"/>
      <c r="F94" s="62"/>
      <c r="G94" s="62"/>
    </row>
    <row r="95" spans="1:7" ht="15" x14ac:dyDescent="0.3">
      <c r="A95" s="66"/>
      <c r="D95" s="1"/>
      <c r="E95" s="1"/>
      <c r="F95" s="62"/>
      <c r="G95" s="62"/>
    </row>
    <row r="96" spans="1:7" ht="15" x14ac:dyDescent="0.3">
      <c r="A96" s="66"/>
      <c r="D96" s="1"/>
      <c r="E96" s="1"/>
      <c r="F96" s="62"/>
      <c r="G96" s="62"/>
    </row>
    <row r="97" spans="1:7" ht="15" x14ac:dyDescent="0.3">
      <c r="A97" s="66"/>
      <c r="D97" s="1"/>
      <c r="E97" s="1"/>
      <c r="F97" s="62"/>
      <c r="G97" s="62"/>
    </row>
  </sheetData>
  <mergeCells count="20">
    <mergeCell ref="B35:O35"/>
    <mergeCell ref="B1:Y1"/>
    <mergeCell ref="B2:M2"/>
    <mergeCell ref="O5:Q5"/>
    <mergeCell ref="O18:Q18"/>
    <mergeCell ref="S28:Y29"/>
    <mergeCell ref="Q69:R69"/>
    <mergeCell ref="S69:T69"/>
    <mergeCell ref="U69:V69"/>
    <mergeCell ref="W69:X69"/>
    <mergeCell ref="Q36:W36"/>
    <mergeCell ref="Q49:W49"/>
    <mergeCell ref="B68:X68"/>
    <mergeCell ref="C69:D69"/>
    <mergeCell ref="E69:F69"/>
    <mergeCell ref="G69:H69"/>
    <mergeCell ref="I69:J69"/>
    <mergeCell ref="K69:L69"/>
    <mergeCell ref="M69:N69"/>
    <mergeCell ref="O69:P69"/>
  </mergeCells>
  <conditionalFormatting sqref="P24">
    <cfRule type="cellIs" dxfId="70" priority="26" operator="equal">
      <formula>100</formula>
    </cfRule>
  </conditionalFormatting>
  <conditionalFormatting sqref="K4:K33">
    <cfRule type="cellIs" dxfId="69" priority="25" operator="greaterThan">
      <formula>100</formula>
    </cfRule>
  </conditionalFormatting>
  <conditionalFormatting sqref="Q8:Q15">
    <cfRule type="cellIs" dxfId="68" priority="24" operator="greaterThan">
      <formula>$Q$7</formula>
    </cfRule>
  </conditionalFormatting>
  <conditionalFormatting sqref="Q7">
    <cfRule type="cellIs" dxfId="67" priority="23" operator="greaterThan">
      <formula>100</formula>
    </cfRule>
  </conditionalFormatting>
  <conditionalFormatting sqref="P15">
    <cfRule type="cellIs" dxfId="66" priority="5" operator="greaterThan">
      <formula>$Q$15</formula>
    </cfRule>
    <cfRule type="cellIs" dxfId="65" priority="22" operator="lessThan">
      <formula>0</formula>
    </cfRule>
  </conditionalFormatting>
  <conditionalFormatting sqref="Q8:Q15 P7:P15">
    <cfRule type="cellIs" dxfId="64" priority="21" operator="greaterThan">
      <formula>$Q$7</formula>
    </cfRule>
  </conditionalFormatting>
  <conditionalFormatting sqref="P8:Q15">
    <cfRule type="cellIs" dxfId="63" priority="20" operator="greaterThan">
      <formula>$P$7</formula>
    </cfRule>
  </conditionalFormatting>
  <conditionalFormatting sqref="P9:Q15 P8">
    <cfRule type="cellIs" dxfId="62" priority="19" operator="greaterThan">
      <formula>$Q$8</formula>
    </cfRule>
  </conditionalFormatting>
  <conditionalFormatting sqref="P9:Q15">
    <cfRule type="cellIs" dxfId="61" priority="18" operator="greaterThan">
      <formula>$P$8</formula>
    </cfRule>
  </conditionalFormatting>
  <conditionalFormatting sqref="P10:Q15 P9">
    <cfRule type="cellIs" dxfId="60" priority="17" operator="greaterThan">
      <formula>$Q$9</formula>
    </cfRule>
  </conditionalFormatting>
  <conditionalFormatting sqref="P10:Q15">
    <cfRule type="cellIs" dxfId="59" priority="16" operator="greaterThan">
      <formula>$P$9</formula>
    </cfRule>
  </conditionalFormatting>
  <conditionalFormatting sqref="P11:Q15 P10">
    <cfRule type="cellIs" dxfId="58" priority="15" operator="greaterThan">
      <formula>$Q$10</formula>
    </cfRule>
  </conditionalFormatting>
  <conditionalFormatting sqref="P11:Q15">
    <cfRule type="cellIs" dxfId="57" priority="14" operator="greaterThan">
      <formula>$P$10</formula>
    </cfRule>
  </conditionalFormatting>
  <conditionalFormatting sqref="P12:Q15 P11">
    <cfRule type="cellIs" dxfId="56" priority="13" operator="greaterThan">
      <formula>$Q$11</formula>
    </cfRule>
  </conditionalFormatting>
  <conditionalFormatting sqref="P12:Q15">
    <cfRule type="cellIs" dxfId="55" priority="12" operator="greaterThan">
      <formula>$P$11</formula>
    </cfRule>
  </conditionalFormatting>
  <conditionalFormatting sqref="P13:Q15 P12">
    <cfRule type="cellIs" dxfId="54" priority="11" operator="greaterThan">
      <formula>$Q$12</formula>
    </cfRule>
  </conditionalFormatting>
  <conditionalFormatting sqref="P13:Q15">
    <cfRule type="cellIs" dxfId="53" priority="10" operator="greaterThan">
      <formula>$P$12</formula>
    </cfRule>
  </conditionalFormatting>
  <conditionalFormatting sqref="P14:Q15 P13">
    <cfRule type="cellIs" dxfId="52" priority="9" operator="greaterThan">
      <formula>$Q$13</formula>
    </cfRule>
  </conditionalFormatting>
  <conditionalFormatting sqref="P14:Q15">
    <cfRule type="cellIs" dxfId="51" priority="8" operator="greaterThan">
      <formula>$P$13</formula>
    </cfRule>
  </conditionalFormatting>
  <conditionalFormatting sqref="P15:Q15 P14">
    <cfRule type="cellIs" dxfId="50" priority="7" operator="greaterThan">
      <formula>$Q$14</formula>
    </cfRule>
  </conditionalFormatting>
  <conditionalFormatting sqref="P15:Q15">
    <cfRule type="cellIs" dxfId="49" priority="6" operator="greaterThan">
      <formula>$P$14</formula>
    </cfRule>
  </conditionalFormatting>
  <conditionalFormatting sqref="W51">
    <cfRule type="cellIs" dxfId="48" priority="4" operator="greaterThan">
      <formula>$S$38</formula>
    </cfRule>
  </conditionalFormatting>
  <conditionalFormatting sqref="W52">
    <cfRule type="cellIs" dxfId="47" priority="3" operator="greaterThan">
      <formula>$S$39</formula>
    </cfRule>
  </conditionalFormatting>
  <conditionalFormatting sqref="W53">
    <cfRule type="cellIs" dxfId="46" priority="2" operator="greaterThan">
      <formula>$S$40</formula>
    </cfRule>
  </conditionalFormatting>
  <conditionalFormatting sqref="W54">
    <cfRule type="cellIs" dxfId="45" priority="1" operator="greaterThan">
      <formula>$S$41</formula>
    </cfRule>
  </conditionalFormatting>
  <pageMargins left="0.7" right="0.7" top="0.75" bottom="0.75" header="0.511811023622047" footer="0.511811023622047"/>
  <pageSetup paperSize="9" orientation="portrait" horizontalDpi="300" verticalDpi="300" r:id="rId1"/>
  <drawing r:id="rId2"/>
  <legacyDrawing r:id="rId3"/>
  <mc:AlternateContent xmlns:mc="http://schemas.openxmlformats.org/markup-compatibility/2006">
    <mc:Choice Requires="x14">
      <controls>
        <mc:AlternateContent xmlns:mc="http://schemas.openxmlformats.org/markup-compatibility/2006">
          <mc:Choice Requires="x14">
            <control shapeId="2049" r:id="rId4" name="Check Box 1">
              <controlPr defaultSize="0" autoFill="0" autoLine="0" autoPict="0">
                <anchor moveWithCells="1">
                  <from>
                    <xdr:col>2</xdr:col>
                    <xdr:colOff>7620</xdr:colOff>
                    <xdr:row>69</xdr:row>
                    <xdr:rowOff>7620</xdr:rowOff>
                  </from>
                  <to>
                    <xdr:col>3</xdr:col>
                    <xdr:colOff>60960</xdr:colOff>
                    <xdr:row>70</xdr:row>
                    <xdr:rowOff>30480</xdr:rowOff>
                  </to>
                </anchor>
              </controlPr>
            </control>
          </mc:Choice>
        </mc:AlternateContent>
        <mc:AlternateContent xmlns:mc="http://schemas.openxmlformats.org/markup-compatibility/2006">
          <mc:Choice Requires="x14">
            <control shapeId="2050" r:id="rId5" name="Check Box 2">
              <controlPr defaultSize="0" autoFill="0" autoLine="0" autoPict="0">
                <anchor moveWithCells="1">
                  <from>
                    <xdr:col>2</xdr:col>
                    <xdr:colOff>7620</xdr:colOff>
                    <xdr:row>70</xdr:row>
                    <xdr:rowOff>7620</xdr:rowOff>
                  </from>
                  <to>
                    <xdr:col>3</xdr:col>
                    <xdr:colOff>60960</xdr:colOff>
                    <xdr:row>71</xdr:row>
                    <xdr:rowOff>30480</xdr:rowOff>
                  </to>
                </anchor>
              </controlPr>
            </control>
          </mc:Choice>
        </mc:AlternateContent>
        <mc:AlternateContent xmlns:mc="http://schemas.openxmlformats.org/markup-compatibility/2006">
          <mc:Choice Requires="x14">
            <control shapeId="2051" r:id="rId6" name="Check Box 3">
              <controlPr defaultSize="0" autoFill="0" autoLine="0" autoPict="0">
                <anchor moveWithCells="1">
                  <from>
                    <xdr:col>2</xdr:col>
                    <xdr:colOff>7620</xdr:colOff>
                    <xdr:row>71</xdr:row>
                    <xdr:rowOff>7620</xdr:rowOff>
                  </from>
                  <to>
                    <xdr:col>3</xdr:col>
                    <xdr:colOff>60960</xdr:colOff>
                    <xdr:row>72</xdr:row>
                    <xdr:rowOff>30480</xdr:rowOff>
                  </to>
                </anchor>
              </controlPr>
            </control>
          </mc:Choice>
        </mc:AlternateContent>
        <mc:AlternateContent xmlns:mc="http://schemas.openxmlformats.org/markup-compatibility/2006">
          <mc:Choice Requires="x14">
            <control shapeId="2052" r:id="rId7" name="Check Box 4">
              <controlPr defaultSize="0" autoFill="0" autoLine="0" autoPict="0">
                <anchor moveWithCells="1">
                  <from>
                    <xdr:col>2</xdr:col>
                    <xdr:colOff>7620</xdr:colOff>
                    <xdr:row>72</xdr:row>
                    <xdr:rowOff>7620</xdr:rowOff>
                  </from>
                  <to>
                    <xdr:col>3</xdr:col>
                    <xdr:colOff>60960</xdr:colOff>
                    <xdr:row>73</xdr:row>
                    <xdr:rowOff>30480</xdr:rowOff>
                  </to>
                </anchor>
              </controlPr>
            </control>
          </mc:Choice>
        </mc:AlternateContent>
        <mc:AlternateContent xmlns:mc="http://schemas.openxmlformats.org/markup-compatibility/2006">
          <mc:Choice Requires="x14">
            <control shapeId="2053" r:id="rId8" name="Check Box 5">
              <controlPr defaultSize="0" autoFill="0" autoLine="0" autoPict="0">
                <anchor moveWithCells="1">
                  <from>
                    <xdr:col>4</xdr:col>
                    <xdr:colOff>7620</xdr:colOff>
                    <xdr:row>69</xdr:row>
                    <xdr:rowOff>0</xdr:rowOff>
                  </from>
                  <to>
                    <xdr:col>5</xdr:col>
                    <xdr:colOff>0</xdr:colOff>
                    <xdr:row>70</xdr:row>
                    <xdr:rowOff>30480</xdr:rowOff>
                  </to>
                </anchor>
              </controlPr>
            </control>
          </mc:Choice>
        </mc:AlternateContent>
        <mc:AlternateContent xmlns:mc="http://schemas.openxmlformats.org/markup-compatibility/2006">
          <mc:Choice Requires="x14">
            <control shapeId="2054" r:id="rId9" name="Check Box 6">
              <controlPr defaultSize="0" autoFill="0" autoLine="0" autoPict="0">
                <anchor moveWithCells="1">
                  <from>
                    <xdr:col>4</xdr:col>
                    <xdr:colOff>7620</xdr:colOff>
                    <xdr:row>70</xdr:row>
                    <xdr:rowOff>22860</xdr:rowOff>
                  </from>
                  <to>
                    <xdr:col>5</xdr:col>
                    <xdr:colOff>7620</xdr:colOff>
                    <xdr:row>71</xdr:row>
                    <xdr:rowOff>30480</xdr:rowOff>
                  </to>
                </anchor>
              </controlPr>
            </control>
          </mc:Choice>
        </mc:AlternateContent>
        <mc:AlternateContent xmlns:mc="http://schemas.openxmlformats.org/markup-compatibility/2006">
          <mc:Choice Requires="x14">
            <control shapeId="2055" r:id="rId10" name="Check Box 7">
              <controlPr defaultSize="0" autoFill="0" autoLine="0" autoPict="0">
                <anchor moveWithCells="1">
                  <from>
                    <xdr:col>4</xdr:col>
                    <xdr:colOff>7620</xdr:colOff>
                    <xdr:row>70</xdr:row>
                    <xdr:rowOff>182880</xdr:rowOff>
                  </from>
                  <to>
                    <xdr:col>4</xdr:col>
                    <xdr:colOff>998220</xdr:colOff>
                    <xdr:row>72</xdr:row>
                    <xdr:rowOff>30480</xdr:rowOff>
                  </to>
                </anchor>
              </controlPr>
            </control>
          </mc:Choice>
        </mc:AlternateContent>
        <mc:AlternateContent xmlns:mc="http://schemas.openxmlformats.org/markup-compatibility/2006">
          <mc:Choice Requires="x14">
            <control shapeId="2056" r:id="rId11" name="Check Box 8">
              <controlPr defaultSize="0" autoFill="0" autoLine="0" autoPict="0">
                <anchor moveWithCells="1">
                  <from>
                    <xdr:col>4</xdr:col>
                    <xdr:colOff>7620</xdr:colOff>
                    <xdr:row>71</xdr:row>
                    <xdr:rowOff>182880</xdr:rowOff>
                  </from>
                  <to>
                    <xdr:col>4</xdr:col>
                    <xdr:colOff>990600</xdr:colOff>
                    <xdr:row>73</xdr:row>
                    <xdr:rowOff>30480</xdr:rowOff>
                  </to>
                </anchor>
              </controlPr>
            </control>
          </mc:Choice>
        </mc:AlternateContent>
        <mc:AlternateContent xmlns:mc="http://schemas.openxmlformats.org/markup-compatibility/2006">
          <mc:Choice Requires="x14">
            <control shapeId="2057" r:id="rId12" name="Check Box 9">
              <controlPr defaultSize="0" autoFill="0" autoLine="0" autoPict="0">
                <anchor moveWithCells="1">
                  <from>
                    <xdr:col>6</xdr:col>
                    <xdr:colOff>7620</xdr:colOff>
                    <xdr:row>69</xdr:row>
                    <xdr:rowOff>7620</xdr:rowOff>
                  </from>
                  <to>
                    <xdr:col>6</xdr:col>
                    <xdr:colOff>861060</xdr:colOff>
                    <xdr:row>70</xdr:row>
                    <xdr:rowOff>30480</xdr:rowOff>
                  </to>
                </anchor>
              </controlPr>
            </control>
          </mc:Choice>
        </mc:AlternateContent>
        <mc:AlternateContent xmlns:mc="http://schemas.openxmlformats.org/markup-compatibility/2006">
          <mc:Choice Requires="x14">
            <control shapeId="2058" r:id="rId13" name="Check Box 10">
              <controlPr defaultSize="0" autoFill="0" autoLine="0" autoPict="0">
                <anchor moveWithCells="1">
                  <from>
                    <xdr:col>6</xdr:col>
                    <xdr:colOff>7620</xdr:colOff>
                    <xdr:row>70</xdr:row>
                    <xdr:rowOff>7620</xdr:rowOff>
                  </from>
                  <to>
                    <xdr:col>6</xdr:col>
                    <xdr:colOff>861060</xdr:colOff>
                    <xdr:row>71</xdr:row>
                    <xdr:rowOff>30480</xdr:rowOff>
                  </to>
                </anchor>
              </controlPr>
            </control>
          </mc:Choice>
        </mc:AlternateContent>
        <mc:AlternateContent xmlns:mc="http://schemas.openxmlformats.org/markup-compatibility/2006">
          <mc:Choice Requires="x14">
            <control shapeId="2059" r:id="rId14" name="Check Box 11">
              <controlPr defaultSize="0" autoFill="0" autoLine="0" autoPict="0">
                <anchor moveWithCells="1">
                  <from>
                    <xdr:col>6</xdr:col>
                    <xdr:colOff>7620</xdr:colOff>
                    <xdr:row>71</xdr:row>
                    <xdr:rowOff>7620</xdr:rowOff>
                  </from>
                  <to>
                    <xdr:col>6</xdr:col>
                    <xdr:colOff>861060</xdr:colOff>
                    <xdr:row>72</xdr:row>
                    <xdr:rowOff>30480</xdr:rowOff>
                  </to>
                </anchor>
              </controlPr>
            </control>
          </mc:Choice>
        </mc:AlternateContent>
        <mc:AlternateContent xmlns:mc="http://schemas.openxmlformats.org/markup-compatibility/2006">
          <mc:Choice Requires="x14">
            <control shapeId="2060" r:id="rId15" name="Check Box 12">
              <controlPr defaultSize="0" autoFill="0" autoLine="0" autoPict="0">
                <anchor moveWithCells="1">
                  <from>
                    <xdr:col>6</xdr:col>
                    <xdr:colOff>7620</xdr:colOff>
                    <xdr:row>72</xdr:row>
                    <xdr:rowOff>7620</xdr:rowOff>
                  </from>
                  <to>
                    <xdr:col>6</xdr:col>
                    <xdr:colOff>861060</xdr:colOff>
                    <xdr:row>73</xdr:row>
                    <xdr:rowOff>30480</xdr:rowOff>
                  </to>
                </anchor>
              </controlPr>
            </control>
          </mc:Choice>
        </mc:AlternateContent>
        <mc:AlternateContent xmlns:mc="http://schemas.openxmlformats.org/markup-compatibility/2006">
          <mc:Choice Requires="x14">
            <control shapeId="2061" r:id="rId16" name="Check Box 13">
              <controlPr defaultSize="0" autoFill="0" autoLine="0" autoPict="0">
                <anchor moveWithCells="1">
                  <from>
                    <xdr:col>8</xdr:col>
                    <xdr:colOff>7620</xdr:colOff>
                    <xdr:row>69</xdr:row>
                    <xdr:rowOff>0</xdr:rowOff>
                  </from>
                  <to>
                    <xdr:col>9</xdr:col>
                    <xdr:colOff>0</xdr:colOff>
                    <xdr:row>70</xdr:row>
                    <xdr:rowOff>30480</xdr:rowOff>
                  </to>
                </anchor>
              </controlPr>
            </control>
          </mc:Choice>
        </mc:AlternateContent>
        <mc:AlternateContent xmlns:mc="http://schemas.openxmlformats.org/markup-compatibility/2006">
          <mc:Choice Requires="x14">
            <control shapeId="2062" r:id="rId17" name="Check Box 14">
              <controlPr defaultSize="0" autoFill="0" autoLine="0" autoPict="0">
                <anchor moveWithCells="1">
                  <from>
                    <xdr:col>8</xdr:col>
                    <xdr:colOff>7620</xdr:colOff>
                    <xdr:row>70</xdr:row>
                    <xdr:rowOff>7620</xdr:rowOff>
                  </from>
                  <to>
                    <xdr:col>9</xdr:col>
                    <xdr:colOff>0</xdr:colOff>
                    <xdr:row>71</xdr:row>
                    <xdr:rowOff>30480</xdr:rowOff>
                  </to>
                </anchor>
              </controlPr>
            </control>
          </mc:Choice>
        </mc:AlternateContent>
        <mc:AlternateContent xmlns:mc="http://schemas.openxmlformats.org/markup-compatibility/2006">
          <mc:Choice Requires="x14">
            <control shapeId="2063" r:id="rId18" name="Check Box 15">
              <controlPr defaultSize="0" autoFill="0" autoLine="0" autoPict="0">
                <anchor moveWithCells="1">
                  <from>
                    <xdr:col>8</xdr:col>
                    <xdr:colOff>7620</xdr:colOff>
                    <xdr:row>71</xdr:row>
                    <xdr:rowOff>0</xdr:rowOff>
                  </from>
                  <to>
                    <xdr:col>9</xdr:col>
                    <xdr:colOff>0</xdr:colOff>
                    <xdr:row>72</xdr:row>
                    <xdr:rowOff>30480</xdr:rowOff>
                  </to>
                </anchor>
              </controlPr>
            </control>
          </mc:Choice>
        </mc:AlternateContent>
        <mc:AlternateContent xmlns:mc="http://schemas.openxmlformats.org/markup-compatibility/2006">
          <mc:Choice Requires="x14">
            <control shapeId="2064" r:id="rId19" name="Check Box 16">
              <controlPr defaultSize="0" autoFill="0" autoLine="0" autoPict="0">
                <anchor moveWithCells="1">
                  <from>
                    <xdr:col>8</xdr:col>
                    <xdr:colOff>7620</xdr:colOff>
                    <xdr:row>72</xdr:row>
                    <xdr:rowOff>22860</xdr:rowOff>
                  </from>
                  <to>
                    <xdr:col>8</xdr:col>
                    <xdr:colOff>1112520</xdr:colOff>
                    <xdr:row>73</xdr:row>
                    <xdr:rowOff>30480</xdr:rowOff>
                  </to>
                </anchor>
              </controlPr>
            </control>
          </mc:Choice>
        </mc:AlternateContent>
        <mc:AlternateContent xmlns:mc="http://schemas.openxmlformats.org/markup-compatibility/2006">
          <mc:Choice Requires="x14">
            <control shapeId="2065" r:id="rId20" name="Check Box 17">
              <controlPr defaultSize="0" autoFill="0" autoLine="0" autoPict="0">
                <anchor moveWithCells="1">
                  <from>
                    <xdr:col>10</xdr:col>
                    <xdr:colOff>7620</xdr:colOff>
                    <xdr:row>69</xdr:row>
                    <xdr:rowOff>0</xdr:rowOff>
                  </from>
                  <to>
                    <xdr:col>10</xdr:col>
                    <xdr:colOff>990600</xdr:colOff>
                    <xdr:row>70</xdr:row>
                    <xdr:rowOff>30480</xdr:rowOff>
                  </to>
                </anchor>
              </controlPr>
            </control>
          </mc:Choice>
        </mc:AlternateContent>
        <mc:AlternateContent xmlns:mc="http://schemas.openxmlformats.org/markup-compatibility/2006">
          <mc:Choice Requires="x14">
            <control shapeId="2066" r:id="rId21" name="Check Box 18">
              <controlPr defaultSize="0" autoFill="0" autoLine="0" autoPict="0">
                <anchor moveWithCells="1">
                  <from>
                    <xdr:col>10</xdr:col>
                    <xdr:colOff>7620</xdr:colOff>
                    <xdr:row>70</xdr:row>
                    <xdr:rowOff>22860</xdr:rowOff>
                  </from>
                  <to>
                    <xdr:col>10</xdr:col>
                    <xdr:colOff>990600</xdr:colOff>
                    <xdr:row>71</xdr:row>
                    <xdr:rowOff>30480</xdr:rowOff>
                  </to>
                </anchor>
              </controlPr>
            </control>
          </mc:Choice>
        </mc:AlternateContent>
        <mc:AlternateContent xmlns:mc="http://schemas.openxmlformats.org/markup-compatibility/2006">
          <mc:Choice Requires="x14">
            <control shapeId="2067" r:id="rId22" name="Check Box 19">
              <controlPr defaultSize="0" autoFill="0" autoLine="0" autoPict="0">
                <anchor moveWithCells="1">
                  <from>
                    <xdr:col>10</xdr:col>
                    <xdr:colOff>7620</xdr:colOff>
                    <xdr:row>71</xdr:row>
                    <xdr:rowOff>0</xdr:rowOff>
                  </from>
                  <to>
                    <xdr:col>11</xdr:col>
                    <xdr:colOff>0</xdr:colOff>
                    <xdr:row>72</xdr:row>
                    <xdr:rowOff>30480</xdr:rowOff>
                  </to>
                </anchor>
              </controlPr>
            </control>
          </mc:Choice>
        </mc:AlternateContent>
        <mc:AlternateContent xmlns:mc="http://schemas.openxmlformats.org/markup-compatibility/2006">
          <mc:Choice Requires="x14">
            <control shapeId="2068" r:id="rId23" name="Check Box 20">
              <controlPr defaultSize="0" autoFill="0" autoLine="0" autoPict="0">
                <anchor moveWithCells="1">
                  <from>
                    <xdr:col>10</xdr:col>
                    <xdr:colOff>7620</xdr:colOff>
                    <xdr:row>71</xdr:row>
                    <xdr:rowOff>175260</xdr:rowOff>
                  </from>
                  <to>
                    <xdr:col>10</xdr:col>
                    <xdr:colOff>990600</xdr:colOff>
                    <xdr:row>73</xdr:row>
                    <xdr:rowOff>30480</xdr:rowOff>
                  </to>
                </anchor>
              </controlPr>
            </control>
          </mc:Choice>
        </mc:AlternateContent>
        <mc:AlternateContent xmlns:mc="http://schemas.openxmlformats.org/markup-compatibility/2006">
          <mc:Choice Requires="x14">
            <control shapeId="2069" r:id="rId24" name="Check Box 21">
              <controlPr defaultSize="0" autoFill="0" autoLine="0" autoPict="0">
                <anchor moveWithCells="1">
                  <from>
                    <xdr:col>12</xdr:col>
                    <xdr:colOff>7620</xdr:colOff>
                    <xdr:row>69</xdr:row>
                    <xdr:rowOff>7620</xdr:rowOff>
                  </from>
                  <to>
                    <xdr:col>13</xdr:col>
                    <xdr:colOff>22860</xdr:colOff>
                    <xdr:row>70</xdr:row>
                    <xdr:rowOff>30480</xdr:rowOff>
                  </to>
                </anchor>
              </controlPr>
            </control>
          </mc:Choice>
        </mc:AlternateContent>
        <mc:AlternateContent xmlns:mc="http://schemas.openxmlformats.org/markup-compatibility/2006">
          <mc:Choice Requires="x14">
            <control shapeId="2070" r:id="rId25" name="Check Box 22">
              <controlPr defaultSize="0" autoFill="0" autoLine="0" autoPict="0">
                <anchor moveWithCells="1">
                  <from>
                    <xdr:col>12</xdr:col>
                    <xdr:colOff>7620</xdr:colOff>
                    <xdr:row>70</xdr:row>
                    <xdr:rowOff>7620</xdr:rowOff>
                  </from>
                  <to>
                    <xdr:col>13</xdr:col>
                    <xdr:colOff>22860</xdr:colOff>
                    <xdr:row>71</xdr:row>
                    <xdr:rowOff>30480</xdr:rowOff>
                  </to>
                </anchor>
              </controlPr>
            </control>
          </mc:Choice>
        </mc:AlternateContent>
        <mc:AlternateContent xmlns:mc="http://schemas.openxmlformats.org/markup-compatibility/2006">
          <mc:Choice Requires="x14">
            <control shapeId="2071" r:id="rId26" name="Check Box 23">
              <controlPr defaultSize="0" autoFill="0" autoLine="0" autoPict="0">
                <anchor moveWithCells="1">
                  <from>
                    <xdr:col>12</xdr:col>
                    <xdr:colOff>7620</xdr:colOff>
                    <xdr:row>71</xdr:row>
                    <xdr:rowOff>7620</xdr:rowOff>
                  </from>
                  <to>
                    <xdr:col>13</xdr:col>
                    <xdr:colOff>22860</xdr:colOff>
                    <xdr:row>72</xdr:row>
                    <xdr:rowOff>30480</xdr:rowOff>
                  </to>
                </anchor>
              </controlPr>
            </control>
          </mc:Choice>
        </mc:AlternateContent>
        <mc:AlternateContent xmlns:mc="http://schemas.openxmlformats.org/markup-compatibility/2006">
          <mc:Choice Requires="x14">
            <control shapeId="2072" r:id="rId27" name="Check Box 24">
              <controlPr defaultSize="0" autoFill="0" autoLine="0" autoPict="0">
                <anchor moveWithCells="1">
                  <from>
                    <xdr:col>12</xdr:col>
                    <xdr:colOff>7620</xdr:colOff>
                    <xdr:row>72</xdr:row>
                    <xdr:rowOff>7620</xdr:rowOff>
                  </from>
                  <to>
                    <xdr:col>13</xdr:col>
                    <xdr:colOff>22860</xdr:colOff>
                    <xdr:row>73</xdr:row>
                    <xdr:rowOff>30480</xdr:rowOff>
                  </to>
                </anchor>
              </controlPr>
            </control>
          </mc:Choice>
        </mc:AlternateContent>
        <mc:AlternateContent xmlns:mc="http://schemas.openxmlformats.org/markup-compatibility/2006">
          <mc:Choice Requires="x14">
            <control shapeId="2073" r:id="rId28" name="Check Box 25">
              <controlPr defaultSize="0" autoFill="0" autoLine="0" autoPict="0">
                <anchor moveWithCells="1">
                  <from>
                    <xdr:col>14</xdr:col>
                    <xdr:colOff>7620</xdr:colOff>
                    <xdr:row>69</xdr:row>
                    <xdr:rowOff>7620</xdr:rowOff>
                  </from>
                  <to>
                    <xdr:col>15</xdr:col>
                    <xdr:colOff>0</xdr:colOff>
                    <xdr:row>70</xdr:row>
                    <xdr:rowOff>30480</xdr:rowOff>
                  </to>
                </anchor>
              </controlPr>
            </control>
          </mc:Choice>
        </mc:AlternateContent>
        <mc:AlternateContent xmlns:mc="http://schemas.openxmlformats.org/markup-compatibility/2006">
          <mc:Choice Requires="x14">
            <control shapeId="2074" r:id="rId29" name="Check Box 26">
              <controlPr defaultSize="0" autoFill="0" autoLine="0" autoPict="0">
                <anchor moveWithCells="1">
                  <from>
                    <xdr:col>14</xdr:col>
                    <xdr:colOff>7620</xdr:colOff>
                    <xdr:row>70</xdr:row>
                    <xdr:rowOff>7620</xdr:rowOff>
                  </from>
                  <to>
                    <xdr:col>15</xdr:col>
                    <xdr:colOff>0</xdr:colOff>
                    <xdr:row>71</xdr:row>
                    <xdr:rowOff>30480</xdr:rowOff>
                  </to>
                </anchor>
              </controlPr>
            </control>
          </mc:Choice>
        </mc:AlternateContent>
        <mc:AlternateContent xmlns:mc="http://schemas.openxmlformats.org/markup-compatibility/2006">
          <mc:Choice Requires="x14">
            <control shapeId="2075" r:id="rId30" name="Check Box 27">
              <controlPr defaultSize="0" autoFill="0" autoLine="0" autoPict="0">
                <anchor moveWithCells="1">
                  <from>
                    <xdr:col>14</xdr:col>
                    <xdr:colOff>7620</xdr:colOff>
                    <xdr:row>71</xdr:row>
                    <xdr:rowOff>7620</xdr:rowOff>
                  </from>
                  <to>
                    <xdr:col>15</xdr:col>
                    <xdr:colOff>0</xdr:colOff>
                    <xdr:row>72</xdr:row>
                    <xdr:rowOff>30480</xdr:rowOff>
                  </to>
                </anchor>
              </controlPr>
            </control>
          </mc:Choice>
        </mc:AlternateContent>
        <mc:AlternateContent xmlns:mc="http://schemas.openxmlformats.org/markup-compatibility/2006">
          <mc:Choice Requires="x14">
            <control shapeId="2076" r:id="rId31" name="Check Box 28">
              <controlPr defaultSize="0" autoFill="0" autoLine="0" autoPict="0">
                <anchor moveWithCells="1">
                  <from>
                    <xdr:col>14</xdr:col>
                    <xdr:colOff>7620</xdr:colOff>
                    <xdr:row>72</xdr:row>
                    <xdr:rowOff>7620</xdr:rowOff>
                  </from>
                  <to>
                    <xdr:col>15</xdr:col>
                    <xdr:colOff>0</xdr:colOff>
                    <xdr:row>73</xdr:row>
                    <xdr:rowOff>30480</xdr:rowOff>
                  </to>
                </anchor>
              </controlPr>
            </control>
          </mc:Choice>
        </mc:AlternateContent>
        <mc:AlternateContent xmlns:mc="http://schemas.openxmlformats.org/markup-compatibility/2006">
          <mc:Choice Requires="x14">
            <control shapeId="2077" r:id="rId32" name="Check Box 29">
              <controlPr defaultSize="0" autoFill="0" autoLine="0" autoPict="0">
                <anchor moveWithCells="1">
                  <from>
                    <xdr:col>16</xdr:col>
                    <xdr:colOff>7620</xdr:colOff>
                    <xdr:row>69</xdr:row>
                    <xdr:rowOff>0</xdr:rowOff>
                  </from>
                  <to>
                    <xdr:col>16</xdr:col>
                    <xdr:colOff>1478280</xdr:colOff>
                    <xdr:row>70</xdr:row>
                    <xdr:rowOff>30480</xdr:rowOff>
                  </to>
                </anchor>
              </controlPr>
            </control>
          </mc:Choice>
        </mc:AlternateContent>
        <mc:AlternateContent xmlns:mc="http://schemas.openxmlformats.org/markup-compatibility/2006">
          <mc:Choice Requires="x14">
            <control shapeId="2078" r:id="rId33" name="Check Box 30">
              <controlPr defaultSize="0" autoFill="0" autoLine="0" autoPict="0">
                <anchor moveWithCells="1">
                  <from>
                    <xdr:col>16</xdr:col>
                    <xdr:colOff>7620</xdr:colOff>
                    <xdr:row>70</xdr:row>
                    <xdr:rowOff>0</xdr:rowOff>
                  </from>
                  <to>
                    <xdr:col>16</xdr:col>
                    <xdr:colOff>1485900</xdr:colOff>
                    <xdr:row>71</xdr:row>
                    <xdr:rowOff>30480</xdr:rowOff>
                  </to>
                </anchor>
              </controlPr>
            </control>
          </mc:Choice>
        </mc:AlternateContent>
        <mc:AlternateContent xmlns:mc="http://schemas.openxmlformats.org/markup-compatibility/2006">
          <mc:Choice Requires="x14">
            <control shapeId="2079" r:id="rId34" name="Check Box 31">
              <controlPr defaultSize="0" autoFill="0" autoLine="0" autoPict="0">
                <anchor moveWithCells="1">
                  <from>
                    <xdr:col>16</xdr:col>
                    <xdr:colOff>7620</xdr:colOff>
                    <xdr:row>71</xdr:row>
                    <xdr:rowOff>7620</xdr:rowOff>
                  </from>
                  <to>
                    <xdr:col>16</xdr:col>
                    <xdr:colOff>1493520</xdr:colOff>
                    <xdr:row>72</xdr:row>
                    <xdr:rowOff>30480</xdr:rowOff>
                  </to>
                </anchor>
              </controlPr>
            </control>
          </mc:Choice>
        </mc:AlternateContent>
        <mc:AlternateContent xmlns:mc="http://schemas.openxmlformats.org/markup-compatibility/2006">
          <mc:Choice Requires="x14">
            <control shapeId="2080" r:id="rId35" name="Check Box 32">
              <controlPr defaultSize="0" autoFill="0" autoLine="0" autoPict="0">
                <anchor moveWithCells="1">
                  <from>
                    <xdr:col>16</xdr:col>
                    <xdr:colOff>7620</xdr:colOff>
                    <xdr:row>72</xdr:row>
                    <xdr:rowOff>7620</xdr:rowOff>
                  </from>
                  <to>
                    <xdr:col>16</xdr:col>
                    <xdr:colOff>1066800</xdr:colOff>
                    <xdr:row>73</xdr:row>
                    <xdr:rowOff>30480</xdr:rowOff>
                  </to>
                </anchor>
              </controlPr>
            </control>
          </mc:Choice>
        </mc:AlternateContent>
        <mc:AlternateContent xmlns:mc="http://schemas.openxmlformats.org/markup-compatibility/2006">
          <mc:Choice Requires="x14">
            <control shapeId="2081" r:id="rId36" name="Check Box 33">
              <controlPr defaultSize="0" autoFill="0" autoLine="0" autoPict="0">
                <anchor moveWithCells="1">
                  <from>
                    <xdr:col>18</xdr:col>
                    <xdr:colOff>7620</xdr:colOff>
                    <xdr:row>69</xdr:row>
                    <xdr:rowOff>7620</xdr:rowOff>
                  </from>
                  <to>
                    <xdr:col>18</xdr:col>
                    <xdr:colOff>1257300</xdr:colOff>
                    <xdr:row>70</xdr:row>
                    <xdr:rowOff>30480</xdr:rowOff>
                  </to>
                </anchor>
              </controlPr>
            </control>
          </mc:Choice>
        </mc:AlternateContent>
        <mc:AlternateContent xmlns:mc="http://schemas.openxmlformats.org/markup-compatibility/2006">
          <mc:Choice Requires="x14">
            <control shapeId="2082" r:id="rId37" name="Check Box 34">
              <controlPr defaultSize="0" autoFill="0" autoLine="0" autoPict="0">
                <anchor moveWithCells="1">
                  <from>
                    <xdr:col>18</xdr:col>
                    <xdr:colOff>7620</xdr:colOff>
                    <xdr:row>70</xdr:row>
                    <xdr:rowOff>7620</xdr:rowOff>
                  </from>
                  <to>
                    <xdr:col>18</xdr:col>
                    <xdr:colOff>1257300</xdr:colOff>
                    <xdr:row>71</xdr:row>
                    <xdr:rowOff>30480</xdr:rowOff>
                  </to>
                </anchor>
              </controlPr>
            </control>
          </mc:Choice>
        </mc:AlternateContent>
        <mc:AlternateContent xmlns:mc="http://schemas.openxmlformats.org/markup-compatibility/2006">
          <mc:Choice Requires="x14">
            <control shapeId="2083" r:id="rId38" name="Check Box 35">
              <controlPr defaultSize="0" autoFill="0" autoLine="0" autoPict="0">
                <anchor moveWithCells="1">
                  <from>
                    <xdr:col>18</xdr:col>
                    <xdr:colOff>7620</xdr:colOff>
                    <xdr:row>71</xdr:row>
                    <xdr:rowOff>7620</xdr:rowOff>
                  </from>
                  <to>
                    <xdr:col>18</xdr:col>
                    <xdr:colOff>1257300</xdr:colOff>
                    <xdr:row>72</xdr:row>
                    <xdr:rowOff>30480</xdr:rowOff>
                  </to>
                </anchor>
              </controlPr>
            </control>
          </mc:Choice>
        </mc:AlternateContent>
        <mc:AlternateContent xmlns:mc="http://schemas.openxmlformats.org/markup-compatibility/2006">
          <mc:Choice Requires="x14">
            <control shapeId="2084" r:id="rId39" name="Check Box 36">
              <controlPr defaultSize="0" autoFill="0" autoLine="0" autoPict="0">
                <anchor moveWithCells="1">
                  <from>
                    <xdr:col>18</xdr:col>
                    <xdr:colOff>7620</xdr:colOff>
                    <xdr:row>72</xdr:row>
                    <xdr:rowOff>7620</xdr:rowOff>
                  </from>
                  <to>
                    <xdr:col>18</xdr:col>
                    <xdr:colOff>1257300</xdr:colOff>
                    <xdr:row>73</xdr:row>
                    <xdr:rowOff>30480</xdr:rowOff>
                  </to>
                </anchor>
              </controlPr>
            </control>
          </mc:Choice>
        </mc:AlternateContent>
        <mc:AlternateContent xmlns:mc="http://schemas.openxmlformats.org/markup-compatibility/2006">
          <mc:Choice Requires="x14">
            <control shapeId="2085" r:id="rId40" name="Check Box 37">
              <controlPr defaultSize="0" autoFill="0" autoLine="0" autoPict="0">
                <anchor moveWithCells="1">
                  <from>
                    <xdr:col>20</xdr:col>
                    <xdr:colOff>7620</xdr:colOff>
                    <xdr:row>69</xdr:row>
                    <xdr:rowOff>7620</xdr:rowOff>
                  </from>
                  <to>
                    <xdr:col>20</xdr:col>
                    <xdr:colOff>1036320</xdr:colOff>
                    <xdr:row>70</xdr:row>
                    <xdr:rowOff>30480</xdr:rowOff>
                  </to>
                </anchor>
              </controlPr>
            </control>
          </mc:Choice>
        </mc:AlternateContent>
        <mc:AlternateContent xmlns:mc="http://schemas.openxmlformats.org/markup-compatibility/2006">
          <mc:Choice Requires="x14">
            <control shapeId="2086" r:id="rId41" name="Check Box 38">
              <controlPr defaultSize="0" autoFill="0" autoLine="0" autoPict="0">
                <anchor moveWithCells="1">
                  <from>
                    <xdr:col>20</xdr:col>
                    <xdr:colOff>7620</xdr:colOff>
                    <xdr:row>70</xdr:row>
                    <xdr:rowOff>7620</xdr:rowOff>
                  </from>
                  <to>
                    <xdr:col>20</xdr:col>
                    <xdr:colOff>1036320</xdr:colOff>
                    <xdr:row>71</xdr:row>
                    <xdr:rowOff>30480</xdr:rowOff>
                  </to>
                </anchor>
              </controlPr>
            </control>
          </mc:Choice>
        </mc:AlternateContent>
        <mc:AlternateContent xmlns:mc="http://schemas.openxmlformats.org/markup-compatibility/2006">
          <mc:Choice Requires="x14">
            <control shapeId="2087" r:id="rId42" name="Check Box 39">
              <controlPr defaultSize="0" autoFill="0" autoLine="0" autoPict="0">
                <anchor moveWithCells="1">
                  <from>
                    <xdr:col>20</xdr:col>
                    <xdr:colOff>7620</xdr:colOff>
                    <xdr:row>71</xdr:row>
                    <xdr:rowOff>7620</xdr:rowOff>
                  </from>
                  <to>
                    <xdr:col>20</xdr:col>
                    <xdr:colOff>1036320</xdr:colOff>
                    <xdr:row>72</xdr:row>
                    <xdr:rowOff>30480</xdr:rowOff>
                  </to>
                </anchor>
              </controlPr>
            </control>
          </mc:Choice>
        </mc:AlternateContent>
        <mc:AlternateContent xmlns:mc="http://schemas.openxmlformats.org/markup-compatibility/2006">
          <mc:Choice Requires="x14">
            <control shapeId="2088" r:id="rId43" name="Check Box 40">
              <controlPr defaultSize="0" autoFill="0" autoLine="0" autoPict="0">
                <anchor moveWithCells="1">
                  <from>
                    <xdr:col>20</xdr:col>
                    <xdr:colOff>7620</xdr:colOff>
                    <xdr:row>72</xdr:row>
                    <xdr:rowOff>7620</xdr:rowOff>
                  </from>
                  <to>
                    <xdr:col>20</xdr:col>
                    <xdr:colOff>1036320</xdr:colOff>
                    <xdr:row>73</xdr:row>
                    <xdr:rowOff>30480</xdr:rowOff>
                  </to>
                </anchor>
              </controlPr>
            </control>
          </mc:Choice>
        </mc:AlternateContent>
        <mc:AlternateContent xmlns:mc="http://schemas.openxmlformats.org/markup-compatibility/2006">
          <mc:Choice Requires="x14">
            <control shapeId="2089" r:id="rId44" name="Check Box 41">
              <controlPr defaultSize="0" autoFill="0" autoLine="0" autoPict="0">
                <anchor moveWithCells="1">
                  <from>
                    <xdr:col>22</xdr:col>
                    <xdr:colOff>7620</xdr:colOff>
                    <xdr:row>69</xdr:row>
                    <xdr:rowOff>22860</xdr:rowOff>
                  </from>
                  <to>
                    <xdr:col>22</xdr:col>
                    <xdr:colOff>1402080</xdr:colOff>
                    <xdr:row>70</xdr:row>
                    <xdr:rowOff>30480</xdr:rowOff>
                  </to>
                </anchor>
              </controlPr>
            </control>
          </mc:Choice>
        </mc:AlternateContent>
        <mc:AlternateContent xmlns:mc="http://schemas.openxmlformats.org/markup-compatibility/2006">
          <mc:Choice Requires="x14">
            <control shapeId="2090" r:id="rId45" name="Check Box 42">
              <controlPr defaultSize="0" autoFill="0" autoLine="0" autoPict="0">
                <anchor moveWithCells="1">
                  <from>
                    <xdr:col>22</xdr:col>
                    <xdr:colOff>7620</xdr:colOff>
                    <xdr:row>70</xdr:row>
                    <xdr:rowOff>0</xdr:rowOff>
                  </from>
                  <to>
                    <xdr:col>22</xdr:col>
                    <xdr:colOff>1402080</xdr:colOff>
                    <xdr:row>71</xdr:row>
                    <xdr:rowOff>30480</xdr:rowOff>
                  </to>
                </anchor>
              </controlPr>
            </control>
          </mc:Choice>
        </mc:AlternateContent>
        <mc:AlternateContent xmlns:mc="http://schemas.openxmlformats.org/markup-compatibility/2006">
          <mc:Choice Requires="x14">
            <control shapeId="2091" r:id="rId46" name="Check Box 43">
              <controlPr defaultSize="0" autoFill="0" autoLine="0" autoPict="0">
                <anchor moveWithCells="1">
                  <from>
                    <xdr:col>22</xdr:col>
                    <xdr:colOff>7620</xdr:colOff>
                    <xdr:row>70</xdr:row>
                    <xdr:rowOff>175260</xdr:rowOff>
                  </from>
                  <to>
                    <xdr:col>22</xdr:col>
                    <xdr:colOff>1409700</xdr:colOff>
                    <xdr:row>72</xdr:row>
                    <xdr:rowOff>30480</xdr:rowOff>
                  </to>
                </anchor>
              </controlPr>
            </control>
          </mc:Choice>
        </mc:AlternateContent>
        <mc:AlternateContent xmlns:mc="http://schemas.openxmlformats.org/markup-compatibility/2006">
          <mc:Choice Requires="x14">
            <control shapeId="2092" r:id="rId47" name="Check Box 44">
              <controlPr defaultSize="0" autoFill="0" autoLine="0" autoPict="0">
                <anchor moveWithCells="1">
                  <from>
                    <xdr:col>22</xdr:col>
                    <xdr:colOff>7620</xdr:colOff>
                    <xdr:row>71</xdr:row>
                    <xdr:rowOff>182880</xdr:rowOff>
                  </from>
                  <to>
                    <xdr:col>23</xdr:col>
                    <xdr:colOff>0</xdr:colOff>
                    <xdr:row>73</xdr:row>
                    <xdr:rowOff>30480</xdr:rowOff>
                  </to>
                </anchor>
              </controlPr>
            </control>
          </mc:Choice>
        </mc:AlternateContent>
        <mc:AlternateContent xmlns:mc="http://schemas.openxmlformats.org/markup-compatibility/2006">
          <mc:Choice Requires="x14">
            <control shapeId="2093" r:id="rId48" name="Check Box 45">
              <controlPr defaultSize="0" autoFill="0" autoLine="0" autoPict="0">
                <anchor moveWithCells="1">
                  <from>
                    <xdr:col>16</xdr:col>
                    <xdr:colOff>22860</xdr:colOff>
                    <xdr:row>72</xdr:row>
                    <xdr:rowOff>0</xdr:rowOff>
                  </from>
                  <to>
                    <xdr:col>16</xdr:col>
                    <xdr:colOff>1493520</xdr:colOff>
                    <xdr:row>73</xdr:row>
                    <xdr:rowOff>30480</xdr:rowOff>
                  </to>
                </anchor>
              </controlPr>
            </control>
          </mc:Choice>
        </mc:AlternateContent>
        <mc:AlternateContent xmlns:mc="http://schemas.openxmlformats.org/markup-compatibility/2006">
          <mc:Choice Requires="x14">
            <control shapeId="2094" r:id="rId49" name="Check Box 46">
              <controlPr defaultSize="0" autoFill="0" autoLine="0" autoPict="0">
                <anchor moveWithCells="1">
                  <from>
                    <xdr:col>2</xdr:col>
                    <xdr:colOff>7620</xdr:colOff>
                    <xdr:row>73</xdr:row>
                    <xdr:rowOff>7620</xdr:rowOff>
                  </from>
                  <to>
                    <xdr:col>3</xdr:col>
                    <xdr:colOff>60960</xdr:colOff>
                    <xdr:row>74</xdr:row>
                    <xdr:rowOff>30480</xdr:rowOff>
                  </to>
                </anchor>
              </controlPr>
            </control>
          </mc:Choice>
        </mc:AlternateContent>
        <mc:AlternateContent xmlns:mc="http://schemas.openxmlformats.org/markup-compatibility/2006">
          <mc:Choice Requires="x14">
            <control shapeId="2095" r:id="rId50" name="Check Box 47">
              <controlPr defaultSize="0" autoFill="0" autoLine="0" autoPict="0">
                <anchor moveWithCells="1">
                  <from>
                    <xdr:col>2</xdr:col>
                    <xdr:colOff>7620</xdr:colOff>
                    <xdr:row>74</xdr:row>
                    <xdr:rowOff>7620</xdr:rowOff>
                  </from>
                  <to>
                    <xdr:col>3</xdr:col>
                    <xdr:colOff>60960</xdr:colOff>
                    <xdr:row>75</xdr:row>
                    <xdr:rowOff>38100</xdr:rowOff>
                  </to>
                </anchor>
              </controlPr>
            </control>
          </mc:Choice>
        </mc:AlternateContent>
        <mc:AlternateContent xmlns:mc="http://schemas.openxmlformats.org/markup-compatibility/2006">
          <mc:Choice Requires="x14">
            <control shapeId="2096" r:id="rId51" name="Check Box 48">
              <controlPr defaultSize="0" autoFill="0" autoLine="0" autoPict="0">
                <anchor moveWithCells="1">
                  <from>
                    <xdr:col>2</xdr:col>
                    <xdr:colOff>7620</xdr:colOff>
                    <xdr:row>75</xdr:row>
                    <xdr:rowOff>7620</xdr:rowOff>
                  </from>
                  <to>
                    <xdr:col>3</xdr:col>
                    <xdr:colOff>60960</xdr:colOff>
                    <xdr:row>76</xdr:row>
                    <xdr:rowOff>30480</xdr:rowOff>
                  </to>
                </anchor>
              </controlPr>
            </control>
          </mc:Choice>
        </mc:AlternateContent>
        <mc:AlternateContent xmlns:mc="http://schemas.openxmlformats.org/markup-compatibility/2006">
          <mc:Choice Requires="x14">
            <control shapeId="2097" r:id="rId52" name="Check Box 49">
              <controlPr defaultSize="0" autoFill="0" autoLine="0" autoPict="0">
                <anchor moveWithCells="1">
                  <from>
                    <xdr:col>2</xdr:col>
                    <xdr:colOff>7620</xdr:colOff>
                    <xdr:row>76</xdr:row>
                    <xdr:rowOff>7620</xdr:rowOff>
                  </from>
                  <to>
                    <xdr:col>3</xdr:col>
                    <xdr:colOff>60960</xdr:colOff>
                    <xdr:row>77</xdr:row>
                    <xdr:rowOff>30480</xdr:rowOff>
                  </to>
                </anchor>
              </controlPr>
            </control>
          </mc:Choice>
        </mc:AlternateContent>
        <mc:AlternateContent xmlns:mc="http://schemas.openxmlformats.org/markup-compatibility/2006">
          <mc:Choice Requires="x14">
            <control shapeId="2098" r:id="rId53" name="Check Box 50">
              <controlPr defaultSize="0" autoFill="0" autoLine="0" autoPict="0">
                <anchor moveWithCells="1">
                  <from>
                    <xdr:col>4</xdr:col>
                    <xdr:colOff>7620</xdr:colOff>
                    <xdr:row>73</xdr:row>
                    <xdr:rowOff>0</xdr:rowOff>
                  </from>
                  <to>
                    <xdr:col>4</xdr:col>
                    <xdr:colOff>990600</xdr:colOff>
                    <xdr:row>74</xdr:row>
                    <xdr:rowOff>30480</xdr:rowOff>
                  </to>
                </anchor>
              </controlPr>
            </control>
          </mc:Choice>
        </mc:AlternateContent>
        <mc:AlternateContent xmlns:mc="http://schemas.openxmlformats.org/markup-compatibility/2006">
          <mc:Choice Requires="x14">
            <control shapeId="2099" r:id="rId54" name="Check Box 51">
              <controlPr defaultSize="0" autoFill="0" autoLine="0" autoPict="0">
                <anchor moveWithCells="1">
                  <from>
                    <xdr:col>4</xdr:col>
                    <xdr:colOff>7620</xdr:colOff>
                    <xdr:row>73</xdr:row>
                    <xdr:rowOff>175260</xdr:rowOff>
                  </from>
                  <to>
                    <xdr:col>4</xdr:col>
                    <xdr:colOff>1013460</xdr:colOff>
                    <xdr:row>75</xdr:row>
                    <xdr:rowOff>38100</xdr:rowOff>
                  </to>
                </anchor>
              </controlPr>
            </control>
          </mc:Choice>
        </mc:AlternateContent>
        <mc:AlternateContent xmlns:mc="http://schemas.openxmlformats.org/markup-compatibility/2006">
          <mc:Choice Requires="x14">
            <control shapeId="2100" r:id="rId55" name="Check Box 52">
              <controlPr defaultSize="0" autoFill="0" autoLine="0" autoPict="0">
                <anchor moveWithCells="1">
                  <from>
                    <xdr:col>4</xdr:col>
                    <xdr:colOff>7620</xdr:colOff>
                    <xdr:row>75</xdr:row>
                    <xdr:rowOff>0</xdr:rowOff>
                  </from>
                  <to>
                    <xdr:col>4</xdr:col>
                    <xdr:colOff>998220</xdr:colOff>
                    <xdr:row>76</xdr:row>
                    <xdr:rowOff>30480</xdr:rowOff>
                  </to>
                </anchor>
              </controlPr>
            </control>
          </mc:Choice>
        </mc:AlternateContent>
        <mc:AlternateContent xmlns:mc="http://schemas.openxmlformats.org/markup-compatibility/2006">
          <mc:Choice Requires="x14">
            <control shapeId="2101" r:id="rId56" name="Check Box 53">
              <controlPr defaultSize="0" autoFill="0" autoLine="0" autoPict="0">
                <anchor moveWithCells="1">
                  <from>
                    <xdr:col>4</xdr:col>
                    <xdr:colOff>7620</xdr:colOff>
                    <xdr:row>76</xdr:row>
                    <xdr:rowOff>7620</xdr:rowOff>
                  </from>
                  <to>
                    <xdr:col>5</xdr:col>
                    <xdr:colOff>213360</xdr:colOff>
                    <xdr:row>77</xdr:row>
                    <xdr:rowOff>30480</xdr:rowOff>
                  </to>
                </anchor>
              </controlPr>
            </control>
          </mc:Choice>
        </mc:AlternateContent>
        <mc:AlternateContent xmlns:mc="http://schemas.openxmlformats.org/markup-compatibility/2006">
          <mc:Choice Requires="x14">
            <control shapeId="2102" r:id="rId57" name="Check Box 54">
              <controlPr defaultSize="0" autoFill="0" autoLine="0" autoPict="0">
                <anchor moveWithCells="1">
                  <from>
                    <xdr:col>6</xdr:col>
                    <xdr:colOff>7620</xdr:colOff>
                    <xdr:row>73</xdr:row>
                    <xdr:rowOff>7620</xdr:rowOff>
                  </from>
                  <to>
                    <xdr:col>6</xdr:col>
                    <xdr:colOff>861060</xdr:colOff>
                    <xdr:row>74</xdr:row>
                    <xdr:rowOff>30480</xdr:rowOff>
                  </to>
                </anchor>
              </controlPr>
            </control>
          </mc:Choice>
        </mc:AlternateContent>
        <mc:AlternateContent xmlns:mc="http://schemas.openxmlformats.org/markup-compatibility/2006">
          <mc:Choice Requires="x14">
            <control shapeId="2103" r:id="rId58" name="Check Box 55">
              <controlPr defaultSize="0" autoFill="0" autoLine="0" autoPict="0">
                <anchor moveWithCells="1">
                  <from>
                    <xdr:col>6</xdr:col>
                    <xdr:colOff>7620</xdr:colOff>
                    <xdr:row>74</xdr:row>
                    <xdr:rowOff>7620</xdr:rowOff>
                  </from>
                  <to>
                    <xdr:col>6</xdr:col>
                    <xdr:colOff>861060</xdr:colOff>
                    <xdr:row>75</xdr:row>
                    <xdr:rowOff>38100</xdr:rowOff>
                  </to>
                </anchor>
              </controlPr>
            </control>
          </mc:Choice>
        </mc:AlternateContent>
        <mc:AlternateContent xmlns:mc="http://schemas.openxmlformats.org/markup-compatibility/2006">
          <mc:Choice Requires="x14">
            <control shapeId="2104" r:id="rId59" name="Check Box 56">
              <controlPr defaultSize="0" autoFill="0" autoLine="0" autoPict="0">
                <anchor moveWithCells="1">
                  <from>
                    <xdr:col>6</xdr:col>
                    <xdr:colOff>7620</xdr:colOff>
                    <xdr:row>75</xdr:row>
                    <xdr:rowOff>7620</xdr:rowOff>
                  </from>
                  <to>
                    <xdr:col>6</xdr:col>
                    <xdr:colOff>861060</xdr:colOff>
                    <xdr:row>76</xdr:row>
                    <xdr:rowOff>30480</xdr:rowOff>
                  </to>
                </anchor>
              </controlPr>
            </control>
          </mc:Choice>
        </mc:AlternateContent>
        <mc:AlternateContent xmlns:mc="http://schemas.openxmlformats.org/markup-compatibility/2006">
          <mc:Choice Requires="x14">
            <control shapeId="2105" r:id="rId60" name="Check Box 57">
              <controlPr defaultSize="0" autoFill="0" autoLine="0" autoPict="0">
                <anchor moveWithCells="1">
                  <from>
                    <xdr:col>6</xdr:col>
                    <xdr:colOff>7620</xdr:colOff>
                    <xdr:row>76</xdr:row>
                    <xdr:rowOff>7620</xdr:rowOff>
                  </from>
                  <to>
                    <xdr:col>6</xdr:col>
                    <xdr:colOff>861060</xdr:colOff>
                    <xdr:row>77</xdr:row>
                    <xdr:rowOff>30480</xdr:rowOff>
                  </to>
                </anchor>
              </controlPr>
            </control>
          </mc:Choice>
        </mc:AlternateContent>
        <mc:AlternateContent xmlns:mc="http://schemas.openxmlformats.org/markup-compatibility/2006">
          <mc:Choice Requires="x14">
            <control shapeId="2106" r:id="rId61" name="Check Box 58">
              <controlPr defaultSize="0" autoFill="0" autoLine="0" autoPict="0">
                <anchor moveWithCells="1">
                  <from>
                    <xdr:col>8</xdr:col>
                    <xdr:colOff>7620</xdr:colOff>
                    <xdr:row>72</xdr:row>
                    <xdr:rowOff>182880</xdr:rowOff>
                  </from>
                  <to>
                    <xdr:col>8</xdr:col>
                    <xdr:colOff>1104900</xdr:colOff>
                    <xdr:row>74</xdr:row>
                    <xdr:rowOff>30480</xdr:rowOff>
                  </to>
                </anchor>
              </controlPr>
            </control>
          </mc:Choice>
        </mc:AlternateContent>
        <mc:AlternateContent xmlns:mc="http://schemas.openxmlformats.org/markup-compatibility/2006">
          <mc:Choice Requires="x14">
            <control shapeId="2107" r:id="rId62" name="Check Box 59">
              <controlPr defaultSize="0" autoFill="0" autoLine="0" autoPict="0">
                <anchor moveWithCells="1">
                  <from>
                    <xdr:col>8</xdr:col>
                    <xdr:colOff>7620</xdr:colOff>
                    <xdr:row>74</xdr:row>
                    <xdr:rowOff>0</xdr:rowOff>
                  </from>
                  <to>
                    <xdr:col>8</xdr:col>
                    <xdr:colOff>1112520</xdr:colOff>
                    <xdr:row>75</xdr:row>
                    <xdr:rowOff>38100</xdr:rowOff>
                  </to>
                </anchor>
              </controlPr>
            </control>
          </mc:Choice>
        </mc:AlternateContent>
        <mc:AlternateContent xmlns:mc="http://schemas.openxmlformats.org/markup-compatibility/2006">
          <mc:Choice Requires="x14">
            <control shapeId="2108" r:id="rId63" name="Check Box 60">
              <controlPr defaultSize="0" autoFill="0" autoLine="0" autoPict="0">
                <anchor moveWithCells="1">
                  <from>
                    <xdr:col>8</xdr:col>
                    <xdr:colOff>7620</xdr:colOff>
                    <xdr:row>75</xdr:row>
                    <xdr:rowOff>22860</xdr:rowOff>
                  </from>
                  <to>
                    <xdr:col>8</xdr:col>
                    <xdr:colOff>1104900</xdr:colOff>
                    <xdr:row>76</xdr:row>
                    <xdr:rowOff>30480</xdr:rowOff>
                  </to>
                </anchor>
              </controlPr>
            </control>
          </mc:Choice>
        </mc:AlternateContent>
        <mc:AlternateContent xmlns:mc="http://schemas.openxmlformats.org/markup-compatibility/2006">
          <mc:Choice Requires="x14">
            <control shapeId="2109" r:id="rId64" name="Check Box 61">
              <controlPr defaultSize="0" autoFill="0" autoLine="0" autoPict="0">
                <anchor moveWithCells="1">
                  <from>
                    <xdr:col>8</xdr:col>
                    <xdr:colOff>7620</xdr:colOff>
                    <xdr:row>76</xdr:row>
                    <xdr:rowOff>7620</xdr:rowOff>
                  </from>
                  <to>
                    <xdr:col>9</xdr:col>
                    <xdr:colOff>114300</xdr:colOff>
                    <xdr:row>77</xdr:row>
                    <xdr:rowOff>30480</xdr:rowOff>
                  </to>
                </anchor>
              </controlPr>
            </control>
          </mc:Choice>
        </mc:AlternateContent>
        <mc:AlternateContent xmlns:mc="http://schemas.openxmlformats.org/markup-compatibility/2006">
          <mc:Choice Requires="x14">
            <control shapeId="2110" r:id="rId65" name="Check Box 62">
              <controlPr defaultSize="0" autoFill="0" autoLine="0" autoPict="0">
                <anchor moveWithCells="1">
                  <from>
                    <xdr:col>10</xdr:col>
                    <xdr:colOff>7620</xdr:colOff>
                    <xdr:row>72</xdr:row>
                    <xdr:rowOff>175260</xdr:rowOff>
                  </from>
                  <to>
                    <xdr:col>10</xdr:col>
                    <xdr:colOff>982980</xdr:colOff>
                    <xdr:row>74</xdr:row>
                    <xdr:rowOff>30480</xdr:rowOff>
                  </to>
                </anchor>
              </controlPr>
            </control>
          </mc:Choice>
        </mc:AlternateContent>
        <mc:AlternateContent xmlns:mc="http://schemas.openxmlformats.org/markup-compatibility/2006">
          <mc:Choice Requires="x14">
            <control shapeId="2111" r:id="rId66" name="Check Box 63">
              <controlPr defaultSize="0" autoFill="0" autoLine="0" autoPict="0">
                <anchor moveWithCells="1">
                  <from>
                    <xdr:col>10</xdr:col>
                    <xdr:colOff>7620</xdr:colOff>
                    <xdr:row>73</xdr:row>
                    <xdr:rowOff>175260</xdr:rowOff>
                  </from>
                  <to>
                    <xdr:col>10</xdr:col>
                    <xdr:colOff>990600</xdr:colOff>
                    <xdr:row>75</xdr:row>
                    <xdr:rowOff>38100</xdr:rowOff>
                  </to>
                </anchor>
              </controlPr>
            </control>
          </mc:Choice>
        </mc:AlternateContent>
        <mc:AlternateContent xmlns:mc="http://schemas.openxmlformats.org/markup-compatibility/2006">
          <mc:Choice Requires="x14">
            <control shapeId="2112" r:id="rId67" name="Check Box 64">
              <controlPr defaultSize="0" autoFill="0" autoLine="0" autoPict="0">
                <anchor moveWithCells="1">
                  <from>
                    <xdr:col>10</xdr:col>
                    <xdr:colOff>7620</xdr:colOff>
                    <xdr:row>75</xdr:row>
                    <xdr:rowOff>22860</xdr:rowOff>
                  </from>
                  <to>
                    <xdr:col>10</xdr:col>
                    <xdr:colOff>990600</xdr:colOff>
                    <xdr:row>76</xdr:row>
                    <xdr:rowOff>30480</xdr:rowOff>
                  </to>
                </anchor>
              </controlPr>
            </control>
          </mc:Choice>
        </mc:AlternateContent>
        <mc:AlternateContent xmlns:mc="http://schemas.openxmlformats.org/markup-compatibility/2006">
          <mc:Choice Requires="x14">
            <control shapeId="2113" r:id="rId68" name="Check Box 65">
              <controlPr defaultSize="0" autoFill="0" autoLine="0" autoPict="0">
                <anchor moveWithCells="1">
                  <from>
                    <xdr:col>10</xdr:col>
                    <xdr:colOff>7620</xdr:colOff>
                    <xdr:row>76</xdr:row>
                    <xdr:rowOff>7620</xdr:rowOff>
                  </from>
                  <to>
                    <xdr:col>11</xdr:col>
                    <xdr:colOff>175260</xdr:colOff>
                    <xdr:row>77</xdr:row>
                    <xdr:rowOff>30480</xdr:rowOff>
                  </to>
                </anchor>
              </controlPr>
            </control>
          </mc:Choice>
        </mc:AlternateContent>
        <mc:AlternateContent xmlns:mc="http://schemas.openxmlformats.org/markup-compatibility/2006">
          <mc:Choice Requires="x14">
            <control shapeId="2114" r:id="rId69" name="Check Box 66">
              <controlPr defaultSize="0" autoFill="0" autoLine="0" autoPict="0">
                <anchor moveWithCells="1">
                  <from>
                    <xdr:col>12</xdr:col>
                    <xdr:colOff>7620</xdr:colOff>
                    <xdr:row>73</xdr:row>
                    <xdr:rowOff>7620</xdr:rowOff>
                  </from>
                  <to>
                    <xdr:col>13</xdr:col>
                    <xdr:colOff>22860</xdr:colOff>
                    <xdr:row>74</xdr:row>
                    <xdr:rowOff>30480</xdr:rowOff>
                  </to>
                </anchor>
              </controlPr>
            </control>
          </mc:Choice>
        </mc:AlternateContent>
        <mc:AlternateContent xmlns:mc="http://schemas.openxmlformats.org/markup-compatibility/2006">
          <mc:Choice Requires="x14">
            <control shapeId="2115" r:id="rId70" name="Check Box 67">
              <controlPr defaultSize="0" autoFill="0" autoLine="0" autoPict="0">
                <anchor moveWithCells="1">
                  <from>
                    <xdr:col>12</xdr:col>
                    <xdr:colOff>7620</xdr:colOff>
                    <xdr:row>74</xdr:row>
                    <xdr:rowOff>7620</xdr:rowOff>
                  </from>
                  <to>
                    <xdr:col>13</xdr:col>
                    <xdr:colOff>22860</xdr:colOff>
                    <xdr:row>75</xdr:row>
                    <xdr:rowOff>38100</xdr:rowOff>
                  </to>
                </anchor>
              </controlPr>
            </control>
          </mc:Choice>
        </mc:AlternateContent>
        <mc:AlternateContent xmlns:mc="http://schemas.openxmlformats.org/markup-compatibility/2006">
          <mc:Choice Requires="x14">
            <control shapeId="2116" r:id="rId71" name="Check Box 68">
              <controlPr defaultSize="0" autoFill="0" autoLine="0" autoPict="0">
                <anchor moveWithCells="1">
                  <from>
                    <xdr:col>12</xdr:col>
                    <xdr:colOff>7620</xdr:colOff>
                    <xdr:row>75</xdr:row>
                    <xdr:rowOff>7620</xdr:rowOff>
                  </from>
                  <to>
                    <xdr:col>13</xdr:col>
                    <xdr:colOff>22860</xdr:colOff>
                    <xdr:row>76</xdr:row>
                    <xdr:rowOff>30480</xdr:rowOff>
                  </to>
                </anchor>
              </controlPr>
            </control>
          </mc:Choice>
        </mc:AlternateContent>
        <mc:AlternateContent xmlns:mc="http://schemas.openxmlformats.org/markup-compatibility/2006">
          <mc:Choice Requires="x14">
            <control shapeId="2117" r:id="rId72" name="Check Box 69">
              <controlPr defaultSize="0" autoFill="0" autoLine="0" autoPict="0">
                <anchor moveWithCells="1">
                  <from>
                    <xdr:col>12</xdr:col>
                    <xdr:colOff>7620</xdr:colOff>
                    <xdr:row>76</xdr:row>
                    <xdr:rowOff>7620</xdr:rowOff>
                  </from>
                  <to>
                    <xdr:col>13</xdr:col>
                    <xdr:colOff>22860</xdr:colOff>
                    <xdr:row>77</xdr:row>
                    <xdr:rowOff>30480</xdr:rowOff>
                  </to>
                </anchor>
              </controlPr>
            </control>
          </mc:Choice>
        </mc:AlternateContent>
        <mc:AlternateContent xmlns:mc="http://schemas.openxmlformats.org/markup-compatibility/2006">
          <mc:Choice Requires="x14">
            <control shapeId="2118" r:id="rId73" name="Check Box 70">
              <controlPr defaultSize="0" autoFill="0" autoLine="0" autoPict="0">
                <anchor moveWithCells="1">
                  <from>
                    <xdr:col>14</xdr:col>
                    <xdr:colOff>7620</xdr:colOff>
                    <xdr:row>73</xdr:row>
                    <xdr:rowOff>7620</xdr:rowOff>
                  </from>
                  <to>
                    <xdr:col>15</xdr:col>
                    <xdr:colOff>0</xdr:colOff>
                    <xdr:row>74</xdr:row>
                    <xdr:rowOff>30480</xdr:rowOff>
                  </to>
                </anchor>
              </controlPr>
            </control>
          </mc:Choice>
        </mc:AlternateContent>
        <mc:AlternateContent xmlns:mc="http://schemas.openxmlformats.org/markup-compatibility/2006">
          <mc:Choice Requires="x14">
            <control shapeId="2119" r:id="rId74" name="Check Box 71">
              <controlPr defaultSize="0" autoFill="0" autoLine="0" autoPict="0">
                <anchor moveWithCells="1">
                  <from>
                    <xdr:col>14</xdr:col>
                    <xdr:colOff>7620</xdr:colOff>
                    <xdr:row>74</xdr:row>
                    <xdr:rowOff>7620</xdr:rowOff>
                  </from>
                  <to>
                    <xdr:col>15</xdr:col>
                    <xdr:colOff>0</xdr:colOff>
                    <xdr:row>75</xdr:row>
                    <xdr:rowOff>38100</xdr:rowOff>
                  </to>
                </anchor>
              </controlPr>
            </control>
          </mc:Choice>
        </mc:AlternateContent>
        <mc:AlternateContent xmlns:mc="http://schemas.openxmlformats.org/markup-compatibility/2006">
          <mc:Choice Requires="x14">
            <control shapeId="2120" r:id="rId75" name="Check Box 72">
              <controlPr defaultSize="0" autoFill="0" autoLine="0" autoPict="0">
                <anchor moveWithCells="1">
                  <from>
                    <xdr:col>14</xdr:col>
                    <xdr:colOff>7620</xdr:colOff>
                    <xdr:row>75</xdr:row>
                    <xdr:rowOff>7620</xdr:rowOff>
                  </from>
                  <to>
                    <xdr:col>15</xdr:col>
                    <xdr:colOff>0</xdr:colOff>
                    <xdr:row>76</xdr:row>
                    <xdr:rowOff>30480</xdr:rowOff>
                  </to>
                </anchor>
              </controlPr>
            </control>
          </mc:Choice>
        </mc:AlternateContent>
        <mc:AlternateContent xmlns:mc="http://schemas.openxmlformats.org/markup-compatibility/2006">
          <mc:Choice Requires="x14">
            <control shapeId="2121" r:id="rId76" name="Check Box 73">
              <controlPr defaultSize="0" autoFill="0" autoLine="0" autoPict="0">
                <anchor moveWithCells="1">
                  <from>
                    <xdr:col>14</xdr:col>
                    <xdr:colOff>7620</xdr:colOff>
                    <xdr:row>76</xdr:row>
                    <xdr:rowOff>7620</xdr:rowOff>
                  </from>
                  <to>
                    <xdr:col>15</xdr:col>
                    <xdr:colOff>0</xdr:colOff>
                    <xdr:row>77</xdr:row>
                    <xdr:rowOff>30480</xdr:rowOff>
                  </to>
                </anchor>
              </controlPr>
            </control>
          </mc:Choice>
        </mc:AlternateContent>
        <mc:AlternateContent xmlns:mc="http://schemas.openxmlformats.org/markup-compatibility/2006">
          <mc:Choice Requires="x14">
            <control shapeId="2122" r:id="rId77" name="Check Box 74">
              <controlPr defaultSize="0" autoFill="0" autoLine="0" autoPict="0">
                <anchor moveWithCells="1">
                  <from>
                    <xdr:col>16</xdr:col>
                    <xdr:colOff>7620</xdr:colOff>
                    <xdr:row>72</xdr:row>
                    <xdr:rowOff>175260</xdr:rowOff>
                  </from>
                  <to>
                    <xdr:col>16</xdr:col>
                    <xdr:colOff>1493520</xdr:colOff>
                    <xdr:row>74</xdr:row>
                    <xdr:rowOff>30480</xdr:rowOff>
                  </to>
                </anchor>
              </controlPr>
            </control>
          </mc:Choice>
        </mc:AlternateContent>
        <mc:AlternateContent xmlns:mc="http://schemas.openxmlformats.org/markup-compatibility/2006">
          <mc:Choice Requires="x14">
            <control shapeId="2123" r:id="rId78" name="Check Box 75">
              <controlPr defaultSize="0" autoFill="0" autoLine="0" autoPict="0">
                <anchor moveWithCells="1">
                  <from>
                    <xdr:col>16</xdr:col>
                    <xdr:colOff>7620</xdr:colOff>
                    <xdr:row>73</xdr:row>
                    <xdr:rowOff>182880</xdr:rowOff>
                  </from>
                  <to>
                    <xdr:col>17</xdr:col>
                    <xdr:colOff>7620</xdr:colOff>
                    <xdr:row>75</xdr:row>
                    <xdr:rowOff>38100</xdr:rowOff>
                  </to>
                </anchor>
              </controlPr>
            </control>
          </mc:Choice>
        </mc:AlternateContent>
        <mc:AlternateContent xmlns:mc="http://schemas.openxmlformats.org/markup-compatibility/2006">
          <mc:Choice Requires="x14">
            <control shapeId="2124" r:id="rId79" name="Check Box 76">
              <controlPr defaultSize="0" autoFill="0" autoLine="0" autoPict="0">
                <anchor moveWithCells="1">
                  <from>
                    <xdr:col>16</xdr:col>
                    <xdr:colOff>7620</xdr:colOff>
                    <xdr:row>75</xdr:row>
                    <xdr:rowOff>7620</xdr:rowOff>
                  </from>
                  <to>
                    <xdr:col>16</xdr:col>
                    <xdr:colOff>1493520</xdr:colOff>
                    <xdr:row>76</xdr:row>
                    <xdr:rowOff>30480</xdr:rowOff>
                  </to>
                </anchor>
              </controlPr>
            </control>
          </mc:Choice>
        </mc:AlternateContent>
        <mc:AlternateContent xmlns:mc="http://schemas.openxmlformats.org/markup-compatibility/2006">
          <mc:Choice Requires="x14">
            <control shapeId="2125" r:id="rId80" name="Check Box 77">
              <controlPr defaultSize="0" autoFill="0" autoLine="0" autoPict="0">
                <anchor moveWithCells="1">
                  <from>
                    <xdr:col>16</xdr:col>
                    <xdr:colOff>7620</xdr:colOff>
                    <xdr:row>76</xdr:row>
                    <xdr:rowOff>7620</xdr:rowOff>
                  </from>
                  <to>
                    <xdr:col>16</xdr:col>
                    <xdr:colOff>1051560</xdr:colOff>
                    <xdr:row>77</xdr:row>
                    <xdr:rowOff>30480</xdr:rowOff>
                  </to>
                </anchor>
              </controlPr>
            </control>
          </mc:Choice>
        </mc:AlternateContent>
        <mc:AlternateContent xmlns:mc="http://schemas.openxmlformats.org/markup-compatibility/2006">
          <mc:Choice Requires="x14">
            <control shapeId="2126" r:id="rId81" name="Check Box 78">
              <controlPr defaultSize="0" autoFill="0" autoLine="0" autoPict="0">
                <anchor moveWithCells="1">
                  <from>
                    <xdr:col>18</xdr:col>
                    <xdr:colOff>7620</xdr:colOff>
                    <xdr:row>73</xdr:row>
                    <xdr:rowOff>7620</xdr:rowOff>
                  </from>
                  <to>
                    <xdr:col>18</xdr:col>
                    <xdr:colOff>1257300</xdr:colOff>
                    <xdr:row>74</xdr:row>
                    <xdr:rowOff>30480</xdr:rowOff>
                  </to>
                </anchor>
              </controlPr>
            </control>
          </mc:Choice>
        </mc:AlternateContent>
        <mc:AlternateContent xmlns:mc="http://schemas.openxmlformats.org/markup-compatibility/2006">
          <mc:Choice Requires="x14">
            <control shapeId="2127" r:id="rId82" name="Check Box 79">
              <controlPr defaultSize="0" autoFill="0" autoLine="0" autoPict="0">
                <anchor moveWithCells="1">
                  <from>
                    <xdr:col>18</xdr:col>
                    <xdr:colOff>7620</xdr:colOff>
                    <xdr:row>74</xdr:row>
                    <xdr:rowOff>7620</xdr:rowOff>
                  </from>
                  <to>
                    <xdr:col>18</xdr:col>
                    <xdr:colOff>1257300</xdr:colOff>
                    <xdr:row>75</xdr:row>
                    <xdr:rowOff>38100</xdr:rowOff>
                  </to>
                </anchor>
              </controlPr>
            </control>
          </mc:Choice>
        </mc:AlternateContent>
        <mc:AlternateContent xmlns:mc="http://schemas.openxmlformats.org/markup-compatibility/2006">
          <mc:Choice Requires="x14">
            <control shapeId="2128" r:id="rId83" name="Check Box 80">
              <controlPr defaultSize="0" autoFill="0" autoLine="0" autoPict="0">
                <anchor moveWithCells="1">
                  <from>
                    <xdr:col>18</xdr:col>
                    <xdr:colOff>7620</xdr:colOff>
                    <xdr:row>75</xdr:row>
                    <xdr:rowOff>7620</xdr:rowOff>
                  </from>
                  <to>
                    <xdr:col>18</xdr:col>
                    <xdr:colOff>1257300</xdr:colOff>
                    <xdr:row>76</xdr:row>
                    <xdr:rowOff>30480</xdr:rowOff>
                  </to>
                </anchor>
              </controlPr>
            </control>
          </mc:Choice>
        </mc:AlternateContent>
        <mc:AlternateContent xmlns:mc="http://schemas.openxmlformats.org/markup-compatibility/2006">
          <mc:Choice Requires="x14">
            <control shapeId="2129" r:id="rId84" name="Check Box 81">
              <controlPr defaultSize="0" autoFill="0" autoLine="0" autoPict="0">
                <anchor moveWithCells="1">
                  <from>
                    <xdr:col>18</xdr:col>
                    <xdr:colOff>7620</xdr:colOff>
                    <xdr:row>76</xdr:row>
                    <xdr:rowOff>7620</xdr:rowOff>
                  </from>
                  <to>
                    <xdr:col>18</xdr:col>
                    <xdr:colOff>1257300</xdr:colOff>
                    <xdr:row>77</xdr:row>
                    <xdr:rowOff>30480</xdr:rowOff>
                  </to>
                </anchor>
              </controlPr>
            </control>
          </mc:Choice>
        </mc:AlternateContent>
        <mc:AlternateContent xmlns:mc="http://schemas.openxmlformats.org/markup-compatibility/2006">
          <mc:Choice Requires="x14">
            <control shapeId="2130" r:id="rId85" name="Check Box 82">
              <controlPr defaultSize="0" autoFill="0" autoLine="0" autoPict="0">
                <anchor moveWithCells="1">
                  <from>
                    <xdr:col>20</xdr:col>
                    <xdr:colOff>7620</xdr:colOff>
                    <xdr:row>73</xdr:row>
                    <xdr:rowOff>7620</xdr:rowOff>
                  </from>
                  <to>
                    <xdr:col>20</xdr:col>
                    <xdr:colOff>1036320</xdr:colOff>
                    <xdr:row>74</xdr:row>
                    <xdr:rowOff>30480</xdr:rowOff>
                  </to>
                </anchor>
              </controlPr>
            </control>
          </mc:Choice>
        </mc:AlternateContent>
        <mc:AlternateContent xmlns:mc="http://schemas.openxmlformats.org/markup-compatibility/2006">
          <mc:Choice Requires="x14">
            <control shapeId="2131" r:id="rId86" name="Check Box 83">
              <controlPr defaultSize="0" autoFill="0" autoLine="0" autoPict="0">
                <anchor moveWithCells="1">
                  <from>
                    <xdr:col>20</xdr:col>
                    <xdr:colOff>7620</xdr:colOff>
                    <xdr:row>74</xdr:row>
                    <xdr:rowOff>7620</xdr:rowOff>
                  </from>
                  <to>
                    <xdr:col>20</xdr:col>
                    <xdr:colOff>1036320</xdr:colOff>
                    <xdr:row>75</xdr:row>
                    <xdr:rowOff>38100</xdr:rowOff>
                  </to>
                </anchor>
              </controlPr>
            </control>
          </mc:Choice>
        </mc:AlternateContent>
        <mc:AlternateContent xmlns:mc="http://schemas.openxmlformats.org/markup-compatibility/2006">
          <mc:Choice Requires="x14">
            <control shapeId="2132" r:id="rId87" name="Check Box 84">
              <controlPr defaultSize="0" autoFill="0" autoLine="0" autoPict="0">
                <anchor moveWithCells="1">
                  <from>
                    <xdr:col>20</xdr:col>
                    <xdr:colOff>7620</xdr:colOff>
                    <xdr:row>75</xdr:row>
                    <xdr:rowOff>7620</xdr:rowOff>
                  </from>
                  <to>
                    <xdr:col>20</xdr:col>
                    <xdr:colOff>1036320</xdr:colOff>
                    <xdr:row>76</xdr:row>
                    <xdr:rowOff>30480</xdr:rowOff>
                  </to>
                </anchor>
              </controlPr>
            </control>
          </mc:Choice>
        </mc:AlternateContent>
        <mc:AlternateContent xmlns:mc="http://schemas.openxmlformats.org/markup-compatibility/2006">
          <mc:Choice Requires="x14">
            <control shapeId="2133" r:id="rId88" name="Check Box 85">
              <controlPr defaultSize="0" autoFill="0" autoLine="0" autoPict="0">
                <anchor moveWithCells="1">
                  <from>
                    <xdr:col>20</xdr:col>
                    <xdr:colOff>7620</xdr:colOff>
                    <xdr:row>76</xdr:row>
                    <xdr:rowOff>7620</xdr:rowOff>
                  </from>
                  <to>
                    <xdr:col>20</xdr:col>
                    <xdr:colOff>1036320</xdr:colOff>
                    <xdr:row>77</xdr:row>
                    <xdr:rowOff>30480</xdr:rowOff>
                  </to>
                </anchor>
              </controlPr>
            </control>
          </mc:Choice>
        </mc:AlternateContent>
        <mc:AlternateContent xmlns:mc="http://schemas.openxmlformats.org/markup-compatibility/2006">
          <mc:Choice Requires="x14">
            <control shapeId="2134" r:id="rId89" name="Check Box 86">
              <controlPr defaultSize="0" autoFill="0" autoLine="0" autoPict="0">
                <anchor moveWithCells="1">
                  <from>
                    <xdr:col>22</xdr:col>
                    <xdr:colOff>7620</xdr:colOff>
                    <xdr:row>72</xdr:row>
                    <xdr:rowOff>175260</xdr:rowOff>
                  </from>
                  <to>
                    <xdr:col>22</xdr:col>
                    <xdr:colOff>1402080</xdr:colOff>
                    <xdr:row>74</xdr:row>
                    <xdr:rowOff>30480</xdr:rowOff>
                  </to>
                </anchor>
              </controlPr>
            </control>
          </mc:Choice>
        </mc:AlternateContent>
        <mc:AlternateContent xmlns:mc="http://schemas.openxmlformats.org/markup-compatibility/2006">
          <mc:Choice Requires="x14">
            <control shapeId="2135" r:id="rId90" name="Check Box 87">
              <controlPr defaultSize="0" autoFill="0" autoLine="0" autoPict="0">
                <anchor moveWithCells="1">
                  <from>
                    <xdr:col>22</xdr:col>
                    <xdr:colOff>7620</xdr:colOff>
                    <xdr:row>74</xdr:row>
                    <xdr:rowOff>0</xdr:rowOff>
                  </from>
                  <to>
                    <xdr:col>22</xdr:col>
                    <xdr:colOff>1402080</xdr:colOff>
                    <xdr:row>75</xdr:row>
                    <xdr:rowOff>38100</xdr:rowOff>
                  </to>
                </anchor>
              </controlPr>
            </control>
          </mc:Choice>
        </mc:AlternateContent>
        <mc:AlternateContent xmlns:mc="http://schemas.openxmlformats.org/markup-compatibility/2006">
          <mc:Choice Requires="x14">
            <control shapeId="2136" r:id="rId91" name="Check Box 88">
              <controlPr defaultSize="0" autoFill="0" autoLine="0" autoPict="0">
                <anchor moveWithCells="1">
                  <from>
                    <xdr:col>22</xdr:col>
                    <xdr:colOff>7620</xdr:colOff>
                    <xdr:row>75</xdr:row>
                    <xdr:rowOff>7620</xdr:rowOff>
                  </from>
                  <to>
                    <xdr:col>22</xdr:col>
                    <xdr:colOff>1409700</xdr:colOff>
                    <xdr:row>76</xdr:row>
                    <xdr:rowOff>30480</xdr:rowOff>
                  </to>
                </anchor>
              </controlPr>
            </control>
          </mc:Choice>
        </mc:AlternateContent>
        <mc:AlternateContent xmlns:mc="http://schemas.openxmlformats.org/markup-compatibility/2006">
          <mc:Choice Requires="x14">
            <control shapeId="2137" r:id="rId92" name="Check Box 89">
              <controlPr defaultSize="0" autoFill="0" autoLine="0" autoPict="0">
                <anchor moveWithCells="1">
                  <from>
                    <xdr:col>22</xdr:col>
                    <xdr:colOff>7620</xdr:colOff>
                    <xdr:row>76</xdr:row>
                    <xdr:rowOff>7620</xdr:rowOff>
                  </from>
                  <to>
                    <xdr:col>22</xdr:col>
                    <xdr:colOff>594360</xdr:colOff>
                    <xdr:row>77</xdr:row>
                    <xdr:rowOff>30480</xdr:rowOff>
                  </to>
                </anchor>
              </controlPr>
            </control>
          </mc:Choice>
        </mc:AlternateContent>
        <mc:AlternateContent xmlns:mc="http://schemas.openxmlformats.org/markup-compatibility/2006">
          <mc:Choice Requires="x14">
            <control shapeId="2138" r:id="rId93" name="Check Box 90">
              <controlPr defaultSize="0" autoFill="0" autoLine="0" autoPict="0">
                <anchor moveWithCells="1">
                  <from>
                    <xdr:col>16</xdr:col>
                    <xdr:colOff>22860</xdr:colOff>
                    <xdr:row>75</xdr:row>
                    <xdr:rowOff>190500</xdr:rowOff>
                  </from>
                  <to>
                    <xdr:col>16</xdr:col>
                    <xdr:colOff>1066800</xdr:colOff>
                    <xdr:row>77</xdr:row>
                    <xdr:rowOff>30480</xdr:rowOff>
                  </to>
                </anchor>
              </controlPr>
            </control>
          </mc:Choice>
        </mc:AlternateContent>
        <mc:AlternateContent xmlns:mc="http://schemas.openxmlformats.org/markup-compatibility/2006">
          <mc:Choice Requires="x14">
            <control shapeId="2139" r:id="rId94" name="Check Box 91">
              <controlPr defaultSize="0" autoFill="0" autoLine="0" autoPict="0">
                <anchor moveWithCells="1">
                  <from>
                    <xdr:col>2</xdr:col>
                    <xdr:colOff>7620</xdr:colOff>
                    <xdr:row>76</xdr:row>
                    <xdr:rowOff>7620</xdr:rowOff>
                  </from>
                  <to>
                    <xdr:col>3</xdr:col>
                    <xdr:colOff>60960</xdr:colOff>
                    <xdr:row>77</xdr:row>
                    <xdr:rowOff>30480</xdr:rowOff>
                  </to>
                </anchor>
              </controlPr>
            </control>
          </mc:Choice>
        </mc:AlternateContent>
        <mc:AlternateContent xmlns:mc="http://schemas.openxmlformats.org/markup-compatibility/2006">
          <mc:Choice Requires="x14">
            <control shapeId="2140" r:id="rId95" name="Check Box 92">
              <controlPr defaultSize="0" autoFill="0" autoLine="0" autoPict="0">
                <anchor moveWithCells="1">
                  <from>
                    <xdr:col>2</xdr:col>
                    <xdr:colOff>7620</xdr:colOff>
                    <xdr:row>77</xdr:row>
                    <xdr:rowOff>7620</xdr:rowOff>
                  </from>
                  <to>
                    <xdr:col>3</xdr:col>
                    <xdr:colOff>60960</xdr:colOff>
                    <xdr:row>78</xdr:row>
                    <xdr:rowOff>30480</xdr:rowOff>
                  </to>
                </anchor>
              </controlPr>
            </control>
          </mc:Choice>
        </mc:AlternateContent>
        <mc:AlternateContent xmlns:mc="http://schemas.openxmlformats.org/markup-compatibility/2006">
          <mc:Choice Requires="x14">
            <control shapeId="2141" r:id="rId96" name="Check Box 93">
              <controlPr defaultSize="0" autoFill="0" autoLine="0" autoPict="0">
                <anchor moveWithCells="1">
                  <from>
                    <xdr:col>2</xdr:col>
                    <xdr:colOff>7620</xdr:colOff>
                    <xdr:row>78</xdr:row>
                    <xdr:rowOff>7620</xdr:rowOff>
                  </from>
                  <to>
                    <xdr:col>3</xdr:col>
                    <xdr:colOff>60960</xdr:colOff>
                    <xdr:row>79</xdr:row>
                    <xdr:rowOff>30480</xdr:rowOff>
                  </to>
                </anchor>
              </controlPr>
            </control>
          </mc:Choice>
        </mc:AlternateContent>
        <mc:AlternateContent xmlns:mc="http://schemas.openxmlformats.org/markup-compatibility/2006">
          <mc:Choice Requires="x14">
            <control shapeId="2142" r:id="rId97" name="Check Box 94">
              <controlPr defaultSize="0" autoFill="0" autoLine="0" autoPict="0">
                <anchor moveWithCells="1">
                  <from>
                    <xdr:col>4</xdr:col>
                    <xdr:colOff>7620</xdr:colOff>
                    <xdr:row>75</xdr:row>
                    <xdr:rowOff>182880</xdr:rowOff>
                  </from>
                  <to>
                    <xdr:col>4</xdr:col>
                    <xdr:colOff>1013460</xdr:colOff>
                    <xdr:row>77</xdr:row>
                    <xdr:rowOff>30480</xdr:rowOff>
                  </to>
                </anchor>
              </controlPr>
            </control>
          </mc:Choice>
        </mc:AlternateContent>
        <mc:AlternateContent xmlns:mc="http://schemas.openxmlformats.org/markup-compatibility/2006">
          <mc:Choice Requires="x14">
            <control shapeId="2143" r:id="rId98" name="Check Box 95">
              <controlPr defaultSize="0" autoFill="0" autoLine="0" autoPict="0">
                <anchor moveWithCells="1">
                  <from>
                    <xdr:col>4</xdr:col>
                    <xdr:colOff>7620</xdr:colOff>
                    <xdr:row>77</xdr:row>
                    <xdr:rowOff>0</xdr:rowOff>
                  </from>
                  <to>
                    <xdr:col>5</xdr:col>
                    <xdr:colOff>0</xdr:colOff>
                    <xdr:row>78</xdr:row>
                    <xdr:rowOff>30480</xdr:rowOff>
                  </to>
                </anchor>
              </controlPr>
            </control>
          </mc:Choice>
        </mc:AlternateContent>
        <mc:AlternateContent xmlns:mc="http://schemas.openxmlformats.org/markup-compatibility/2006">
          <mc:Choice Requires="x14">
            <control shapeId="2144" r:id="rId99" name="Check Box 96">
              <controlPr defaultSize="0" autoFill="0" autoLine="0" autoPict="0">
                <anchor moveWithCells="1">
                  <from>
                    <xdr:col>4</xdr:col>
                    <xdr:colOff>7620</xdr:colOff>
                    <xdr:row>78</xdr:row>
                    <xdr:rowOff>7620</xdr:rowOff>
                  </from>
                  <to>
                    <xdr:col>4</xdr:col>
                    <xdr:colOff>1013460</xdr:colOff>
                    <xdr:row>79</xdr:row>
                    <xdr:rowOff>22860</xdr:rowOff>
                  </to>
                </anchor>
              </controlPr>
            </control>
          </mc:Choice>
        </mc:AlternateContent>
        <mc:AlternateContent xmlns:mc="http://schemas.openxmlformats.org/markup-compatibility/2006">
          <mc:Choice Requires="x14">
            <control shapeId="2145" r:id="rId100" name="Check Box 97">
              <controlPr defaultSize="0" autoFill="0" autoLine="0" autoPict="0">
                <anchor moveWithCells="1">
                  <from>
                    <xdr:col>6</xdr:col>
                    <xdr:colOff>7620</xdr:colOff>
                    <xdr:row>76</xdr:row>
                    <xdr:rowOff>7620</xdr:rowOff>
                  </from>
                  <to>
                    <xdr:col>6</xdr:col>
                    <xdr:colOff>861060</xdr:colOff>
                    <xdr:row>77</xdr:row>
                    <xdr:rowOff>30480</xdr:rowOff>
                  </to>
                </anchor>
              </controlPr>
            </control>
          </mc:Choice>
        </mc:AlternateContent>
        <mc:AlternateContent xmlns:mc="http://schemas.openxmlformats.org/markup-compatibility/2006">
          <mc:Choice Requires="x14">
            <control shapeId="2146" r:id="rId101" name="Check Box 98">
              <controlPr defaultSize="0" autoFill="0" autoLine="0" autoPict="0">
                <anchor moveWithCells="1">
                  <from>
                    <xdr:col>6</xdr:col>
                    <xdr:colOff>7620</xdr:colOff>
                    <xdr:row>77</xdr:row>
                    <xdr:rowOff>7620</xdr:rowOff>
                  </from>
                  <to>
                    <xdr:col>6</xdr:col>
                    <xdr:colOff>861060</xdr:colOff>
                    <xdr:row>78</xdr:row>
                    <xdr:rowOff>30480</xdr:rowOff>
                  </to>
                </anchor>
              </controlPr>
            </control>
          </mc:Choice>
        </mc:AlternateContent>
        <mc:AlternateContent xmlns:mc="http://schemas.openxmlformats.org/markup-compatibility/2006">
          <mc:Choice Requires="x14">
            <control shapeId="2147" r:id="rId102" name="Check Box 99">
              <controlPr defaultSize="0" autoFill="0" autoLine="0" autoPict="0">
                <anchor moveWithCells="1">
                  <from>
                    <xdr:col>6</xdr:col>
                    <xdr:colOff>7620</xdr:colOff>
                    <xdr:row>78</xdr:row>
                    <xdr:rowOff>7620</xdr:rowOff>
                  </from>
                  <to>
                    <xdr:col>6</xdr:col>
                    <xdr:colOff>861060</xdr:colOff>
                    <xdr:row>79</xdr:row>
                    <xdr:rowOff>30480</xdr:rowOff>
                  </to>
                </anchor>
              </controlPr>
            </control>
          </mc:Choice>
        </mc:AlternateContent>
        <mc:AlternateContent xmlns:mc="http://schemas.openxmlformats.org/markup-compatibility/2006">
          <mc:Choice Requires="x14">
            <control shapeId="2148" r:id="rId103" name="Check Box 100">
              <controlPr defaultSize="0" autoFill="0" autoLine="0" autoPict="0">
                <anchor moveWithCells="1">
                  <from>
                    <xdr:col>8</xdr:col>
                    <xdr:colOff>7620</xdr:colOff>
                    <xdr:row>75</xdr:row>
                    <xdr:rowOff>182880</xdr:rowOff>
                  </from>
                  <to>
                    <xdr:col>9</xdr:col>
                    <xdr:colOff>22860</xdr:colOff>
                    <xdr:row>77</xdr:row>
                    <xdr:rowOff>30480</xdr:rowOff>
                  </to>
                </anchor>
              </controlPr>
            </control>
          </mc:Choice>
        </mc:AlternateContent>
        <mc:AlternateContent xmlns:mc="http://schemas.openxmlformats.org/markup-compatibility/2006">
          <mc:Choice Requires="x14">
            <control shapeId="2149" r:id="rId104" name="Check Box 101">
              <controlPr defaultSize="0" autoFill="0" autoLine="0" autoPict="0">
                <anchor moveWithCells="1">
                  <from>
                    <xdr:col>8</xdr:col>
                    <xdr:colOff>7620</xdr:colOff>
                    <xdr:row>76</xdr:row>
                    <xdr:rowOff>175260</xdr:rowOff>
                  </from>
                  <to>
                    <xdr:col>9</xdr:col>
                    <xdr:colOff>0</xdr:colOff>
                    <xdr:row>78</xdr:row>
                    <xdr:rowOff>30480</xdr:rowOff>
                  </to>
                </anchor>
              </controlPr>
            </control>
          </mc:Choice>
        </mc:AlternateContent>
        <mc:AlternateContent xmlns:mc="http://schemas.openxmlformats.org/markup-compatibility/2006">
          <mc:Choice Requires="x14">
            <control shapeId="2150" r:id="rId105" name="Check Box 102">
              <controlPr defaultSize="0" autoFill="0" autoLine="0" autoPict="0">
                <anchor moveWithCells="1">
                  <from>
                    <xdr:col>8</xdr:col>
                    <xdr:colOff>7620</xdr:colOff>
                    <xdr:row>78</xdr:row>
                    <xdr:rowOff>7620</xdr:rowOff>
                  </from>
                  <to>
                    <xdr:col>9</xdr:col>
                    <xdr:colOff>0</xdr:colOff>
                    <xdr:row>79</xdr:row>
                    <xdr:rowOff>30480</xdr:rowOff>
                  </to>
                </anchor>
              </controlPr>
            </control>
          </mc:Choice>
        </mc:AlternateContent>
        <mc:AlternateContent xmlns:mc="http://schemas.openxmlformats.org/markup-compatibility/2006">
          <mc:Choice Requires="x14">
            <control shapeId="2151" r:id="rId106" name="Check Box 103">
              <controlPr defaultSize="0" autoFill="0" autoLine="0" autoPict="0">
                <anchor moveWithCells="1">
                  <from>
                    <xdr:col>10</xdr:col>
                    <xdr:colOff>7620</xdr:colOff>
                    <xdr:row>76</xdr:row>
                    <xdr:rowOff>22860</xdr:rowOff>
                  </from>
                  <to>
                    <xdr:col>10</xdr:col>
                    <xdr:colOff>982980</xdr:colOff>
                    <xdr:row>77</xdr:row>
                    <xdr:rowOff>30480</xdr:rowOff>
                  </to>
                </anchor>
              </controlPr>
            </control>
          </mc:Choice>
        </mc:AlternateContent>
        <mc:AlternateContent xmlns:mc="http://schemas.openxmlformats.org/markup-compatibility/2006">
          <mc:Choice Requires="x14">
            <control shapeId="2152" r:id="rId107" name="Check Box 104">
              <controlPr defaultSize="0" autoFill="0" autoLine="0" autoPict="0">
                <anchor moveWithCells="1">
                  <from>
                    <xdr:col>10</xdr:col>
                    <xdr:colOff>7620</xdr:colOff>
                    <xdr:row>77</xdr:row>
                    <xdr:rowOff>0</xdr:rowOff>
                  </from>
                  <to>
                    <xdr:col>10</xdr:col>
                    <xdr:colOff>982980</xdr:colOff>
                    <xdr:row>78</xdr:row>
                    <xdr:rowOff>30480</xdr:rowOff>
                  </to>
                </anchor>
              </controlPr>
            </control>
          </mc:Choice>
        </mc:AlternateContent>
        <mc:AlternateContent xmlns:mc="http://schemas.openxmlformats.org/markup-compatibility/2006">
          <mc:Choice Requires="x14">
            <control shapeId="2153" r:id="rId108" name="Check Box 105">
              <controlPr defaultSize="0" autoFill="0" autoLine="0" autoPict="0">
                <anchor moveWithCells="1">
                  <from>
                    <xdr:col>10</xdr:col>
                    <xdr:colOff>7620</xdr:colOff>
                    <xdr:row>77</xdr:row>
                    <xdr:rowOff>175260</xdr:rowOff>
                  </from>
                  <to>
                    <xdr:col>10</xdr:col>
                    <xdr:colOff>990600</xdr:colOff>
                    <xdr:row>79</xdr:row>
                    <xdr:rowOff>30480</xdr:rowOff>
                  </to>
                </anchor>
              </controlPr>
            </control>
          </mc:Choice>
        </mc:AlternateContent>
        <mc:AlternateContent xmlns:mc="http://schemas.openxmlformats.org/markup-compatibility/2006">
          <mc:Choice Requires="x14">
            <control shapeId="2154" r:id="rId109" name="Check Box 106">
              <controlPr defaultSize="0" autoFill="0" autoLine="0" autoPict="0">
                <anchor moveWithCells="1">
                  <from>
                    <xdr:col>12</xdr:col>
                    <xdr:colOff>7620</xdr:colOff>
                    <xdr:row>76</xdr:row>
                    <xdr:rowOff>7620</xdr:rowOff>
                  </from>
                  <to>
                    <xdr:col>13</xdr:col>
                    <xdr:colOff>22860</xdr:colOff>
                    <xdr:row>77</xdr:row>
                    <xdr:rowOff>30480</xdr:rowOff>
                  </to>
                </anchor>
              </controlPr>
            </control>
          </mc:Choice>
        </mc:AlternateContent>
        <mc:AlternateContent xmlns:mc="http://schemas.openxmlformats.org/markup-compatibility/2006">
          <mc:Choice Requires="x14">
            <control shapeId="2155" r:id="rId110" name="Check Box 107">
              <controlPr defaultSize="0" autoFill="0" autoLine="0" autoPict="0">
                <anchor moveWithCells="1">
                  <from>
                    <xdr:col>12</xdr:col>
                    <xdr:colOff>7620</xdr:colOff>
                    <xdr:row>77</xdr:row>
                    <xdr:rowOff>7620</xdr:rowOff>
                  </from>
                  <to>
                    <xdr:col>13</xdr:col>
                    <xdr:colOff>22860</xdr:colOff>
                    <xdr:row>78</xdr:row>
                    <xdr:rowOff>30480</xdr:rowOff>
                  </to>
                </anchor>
              </controlPr>
            </control>
          </mc:Choice>
        </mc:AlternateContent>
        <mc:AlternateContent xmlns:mc="http://schemas.openxmlformats.org/markup-compatibility/2006">
          <mc:Choice Requires="x14">
            <control shapeId="2156" r:id="rId111" name="Check Box 108">
              <controlPr defaultSize="0" autoFill="0" autoLine="0" autoPict="0">
                <anchor moveWithCells="1">
                  <from>
                    <xdr:col>12</xdr:col>
                    <xdr:colOff>7620</xdr:colOff>
                    <xdr:row>78</xdr:row>
                    <xdr:rowOff>7620</xdr:rowOff>
                  </from>
                  <to>
                    <xdr:col>13</xdr:col>
                    <xdr:colOff>22860</xdr:colOff>
                    <xdr:row>79</xdr:row>
                    <xdr:rowOff>30480</xdr:rowOff>
                  </to>
                </anchor>
              </controlPr>
            </control>
          </mc:Choice>
        </mc:AlternateContent>
        <mc:AlternateContent xmlns:mc="http://schemas.openxmlformats.org/markup-compatibility/2006">
          <mc:Choice Requires="x14">
            <control shapeId="2157" r:id="rId112" name="Check Box 109">
              <controlPr defaultSize="0" autoFill="0" autoLine="0" autoPict="0">
                <anchor moveWithCells="1">
                  <from>
                    <xdr:col>14</xdr:col>
                    <xdr:colOff>7620</xdr:colOff>
                    <xdr:row>76</xdr:row>
                    <xdr:rowOff>7620</xdr:rowOff>
                  </from>
                  <to>
                    <xdr:col>15</xdr:col>
                    <xdr:colOff>0</xdr:colOff>
                    <xdr:row>77</xdr:row>
                    <xdr:rowOff>30480</xdr:rowOff>
                  </to>
                </anchor>
              </controlPr>
            </control>
          </mc:Choice>
        </mc:AlternateContent>
        <mc:AlternateContent xmlns:mc="http://schemas.openxmlformats.org/markup-compatibility/2006">
          <mc:Choice Requires="x14">
            <control shapeId="2158" r:id="rId113" name="Check Box 110">
              <controlPr defaultSize="0" autoFill="0" autoLine="0" autoPict="0">
                <anchor moveWithCells="1">
                  <from>
                    <xdr:col>14</xdr:col>
                    <xdr:colOff>7620</xdr:colOff>
                    <xdr:row>77</xdr:row>
                    <xdr:rowOff>7620</xdr:rowOff>
                  </from>
                  <to>
                    <xdr:col>15</xdr:col>
                    <xdr:colOff>0</xdr:colOff>
                    <xdr:row>78</xdr:row>
                    <xdr:rowOff>30480</xdr:rowOff>
                  </to>
                </anchor>
              </controlPr>
            </control>
          </mc:Choice>
        </mc:AlternateContent>
        <mc:AlternateContent xmlns:mc="http://schemas.openxmlformats.org/markup-compatibility/2006">
          <mc:Choice Requires="x14">
            <control shapeId="2159" r:id="rId114" name="Check Box 111">
              <controlPr defaultSize="0" autoFill="0" autoLine="0" autoPict="0">
                <anchor moveWithCells="1">
                  <from>
                    <xdr:col>14</xdr:col>
                    <xdr:colOff>7620</xdr:colOff>
                    <xdr:row>78</xdr:row>
                    <xdr:rowOff>7620</xdr:rowOff>
                  </from>
                  <to>
                    <xdr:col>15</xdr:col>
                    <xdr:colOff>0</xdr:colOff>
                    <xdr:row>79</xdr:row>
                    <xdr:rowOff>30480</xdr:rowOff>
                  </to>
                </anchor>
              </controlPr>
            </control>
          </mc:Choice>
        </mc:AlternateContent>
        <mc:AlternateContent xmlns:mc="http://schemas.openxmlformats.org/markup-compatibility/2006">
          <mc:Choice Requires="x14">
            <control shapeId="2160" r:id="rId115" name="Check Box 112">
              <controlPr defaultSize="0" autoFill="0" autoLine="0" autoPict="0">
                <anchor moveWithCells="1">
                  <from>
                    <xdr:col>16</xdr:col>
                    <xdr:colOff>7620</xdr:colOff>
                    <xdr:row>76</xdr:row>
                    <xdr:rowOff>7620</xdr:rowOff>
                  </from>
                  <to>
                    <xdr:col>16</xdr:col>
                    <xdr:colOff>1478280</xdr:colOff>
                    <xdr:row>77</xdr:row>
                    <xdr:rowOff>30480</xdr:rowOff>
                  </to>
                </anchor>
              </controlPr>
            </control>
          </mc:Choice>
        </mc:AlternateContent>
        <mc:AlternateContent xmlns:mc="http://schemas.openxmlformats.org/markup-compatibility/2006">
          <mc:Choice Requires="x14">
            <control shapeId="2161" r:id="rId116" name="Check Box 113">
              <controlPr defaultSize="0" autoFill="0" autoLine="0" autoPict="0">
                <anchor moveWithCells="1">
                  <from>
                    <xdr:col>16</xdr:col>
                    <xdr:colOff>7620</xdr:colOff>
                    <xdr:row>77</xdr:row>
                    <xdr:rowOff>22860</xdr:rowOff>
                  </from>
                  <to>
                    <xdr:col>16</xdr:col>
                    <xdr:colOff>1485900</xdr:colOff>
                    <xdr:row>78</xdr:row>
                    <xdr:rowOff>30480</xdr:rowOff>
                  </to>
                </anchor>
              </controlPr>
            </control>
          </mc:Choice>
        </mc:AlternateContent>
        <mc:AlternateContent xmlns:mc="http://schemas.openxmlformats.org/markup-compatibility/2006">
          <mc:Choice Requires="x14">
            <control shapeId="2162" r:id="rId117" name="Check Box 114">
              <controlPr defaultSize="0" autoFill="0" autoLine="0" autoPict="0">
                <anchor moveWithCells="1">
                  <from>
                    <xdr:col>16</xdr:col>
                    <xdr:colOff>7620</xdr:colOff>
                    <xdr:row>78</xdr:row>
                    <xdr:rowOff>7620</xdr:rowOff>
                  </from>
                  <to>
                    <xdr:col>16</xdr:col>
                    <xdr:colOff>1051560</xdr:colOff>
                    <xdr:row>79</xdr:row>
                    <xdr:rowOff>30480</xdr:rowOff>
                  </to>
                </anchor>
              </controlPr>
            </control>
          </mc:Choice>
        </mc:AlternateContent>
        <mc:AlternateContent xmlns:mc="http://schemas.openxmlformats.org/markup-compatibility/2006">
          <mc:Choice Requires="x14">
            <control shapeId="2163" r:id="rId118" name="Check Box 115">
              <controlPr defaultSize="0" autoFill="0" autoLine="0" autoPict="0">
                <anchor moveWithCells="1">
                  <from>
                    <xdr:col>18</xdr:col>
                    <xdr:colOff>7620</xdr:colOff>
                    <xdr:row>76</xdr:row>
                    <xdr:rowOff>7620</xdr:rowOff>
                  </from>
                  <to>
                    <xdr:col>18</xdr:col>
                    <xdr:colOff>1257300</xdr:colOff>
                    <xdr:row>77</xdr:row>
                    <xdr:rowOff>30480</xdr:rowOff>
                  </to>
                </anchor>
              </controlPr>
            </control>
          </mc:Choice>
        </mc:AlternateContent>
        <mc:AlternateContent xmlns:mc="http://schemas.openxmlformats.org/markup-compatibility/2006">
          <mc:Choice Requires="x14">
            <control shapeId="2164" r:id="rId119" name="Check Box 116">
              <controlPr defaultSize="0" autoFill="0" autoLine="0" autoPict="0">
                <anchor moveWithCells="1">
                  <from>
                    <xdr:col>18</xdr:col>
                    <xdr:colOff>7620</xdr:colOff>
                    <xdr:row>77</xdr:row>
                    <xdr:rowOff>7620</xdr:rowOff>
                  </from>
                  <to>
                    <xdr:col>18</xdr:col>
                    <xdr:colOff>1257300</xdr:colOff>
                    <xdr:row>78</xdr:row>
                    <xdr:rowOff>30480</xdr:rowOff>
                  </to>
                </anchor>
              </controlPr>
            </control>
          </mc:Choice>
        </mc:AlternateContent>
        <mc:AlternateContent xmlns:mc="http://schemas.openxmlformats.org/markup-compatibility/2006">
          <mc:Choice Requires="x14">
            <control shapeId="2165" r:id="rId120" name="Check Box 117">
              <controlPr defaultSize="0" autoFill="0" autoLine="0" autoPict="0">
                <anchor moveWithCells="1">
                  <from>
                    <xdr:col>18</xdr:col>
                    <xdr:colOff>7620</xdr:colOff>
                    <xdr:row>78</xdr:row>
                    <xdr:rowOff>7620</xdr:rowOff>
                  </from>
                  <to>
                    <xdr:col>18</xdr:col>
                    <xdr:colOff>1257300</xdr:colOff>
                    <xdr:row>79</xdr:row>
                    <xdr:rowOff>30480</xdr:rowOff>
                  </to>
                </anchor>
              </controlPr>
            </control>
          </mc:Choice>
        </mc:AlternateContent>
        <mc:AlternateContent xmlns:mc="http://schemas.openxmlformats.org/markup-compatibility/2006">
          <mc:Choice Requires="x14">
            <control shapeId="2166" r:id="rId121" name="Check Box 118">
              <controlPr defaultSize="0" autoFill="0" autoLine="0" autoPict="0">
                <anchor moveWithCells="1">
                  <from>
                    <xdr:col>20</xdr:col>
                    <xdr:colOff>7620</xdr:colOff>
                    <xdr:row>76</xdr:row>
                    <xdr:rowOff>7620</xdr:rowOff>
                  </from>
                  <to>
                    <xdr:col>20</xdr:col>
                    <xdr:colOff>1036320</xdr:colOff>
                    <xdr:row>77</xdr:row>
                    <xdr:rowOff>30480</xdr:rowOff>
                  </to>
                </anchor>
              </controlPr>
            </control>
          </mc:Choice>
        </mc:AlternateContent>
        <mc:AlternateContent xmlns:mc="http://schemas.openxmlformats.org/markup-compatibility/2006">
          <mc:Choice Requires="x14">
            <control shapeId="2167" r:id="rId122" name="Check Box 119">
              <controlPr defaultSize="0" autoFill="0" autoLine="0" autoPict="0">
                <anchor moveWithCells="1">
                  <from>
                    <xdr:col>20</xdr:col>
                    <xdr:colOff>7620</xdr:colOff>
                    <xdr:row>77</xdr:row>
                    <xdr:rowOff>7620</xdr:rowOff>
                  </from>
                  <to>
                    <xdr:col>20</xdr:col>
                    <xdr:colOff>1036320</xdr:colOff>
                    <xdr:row>78</xdr:row>
                    <xdr:rowOff>30480</xdr:rowOff>
                  </to>
                </anchor>
              </controlPr>
            </control>
          </mc:Choice>
        </mc:AlternateContent>
        <mc:AlternateContent xmlns:mc="http://schemas.openxmlformats.org/markup-compatibility/2006">
          <mc:Choice Requires="x14">
            <control shapeId="2168" r:id="rId123" name="Check Box 120">
              <controlPr defaultSize="0" autoFill="0" autoLine="0" autoPict="0">
                <anchor moveWithCells="1">
                  <from>
                    <xdr:col>20</xdr:col>
                    <xdr:colOff>7620</xdr:colOff>
                    <xdr:row>78</xdr:row>
                    <xdr:rowOff>7620</xdr:rowOff>
                  </from>
                  <to>
                    <xdr:col>20</xdr:col>
                    <xdr:colOff>1036320</xdr:colOff>
                    <xdr:row>79</xdr:row>
                    <xdr:rowOff>30480</xdr:rowOff>
                  </to>
                </anchor>
              </controlPr>
            </control>
          </mc:Choice>
        </mc:AlternateContent>
        <mc:AlternateContent xmlns:mc="http://schemas.openxmlformats.org/markup-compatibility/2006">
          <mc:Choice Requires="x14">
            <control shapeId="2169" r:id="rId124" name="Check Box 121">
              <controlPr defaultSize="0" autoFill="0" autoLine="0" autoPict="0">
                <anchor moveWithCells="1">
                  <from>
                    <xdr:col>22</xdr:col>
                    <xdr:colOff>7620</xdr:colOff>
                    <xdr:row>76</xdr:row>
                    <xdr:rowOff>22860</xdr:rowOff>
                  </from>
                  <to>
                    <xdr:col>22</xdr:col>
                    <xdr:colOff>1394460</xdr:colOff>
                    <xdr:row>77</xdr:row>
                    <xdr:rowOff>30480</xdr:rowOff>
                  </to>
                </anchor>
              </controlPr>
            </control>
          </mc:Choice>
        </mc:AlternateContent>
        <mc:AlternateContent xmlns:mc="http://schemas.openxmlformats.org/markup-compatibility/2006">
          <mc:Choice Requires="x14">
            <control shapeId="2170" r:id="rId125" name="Check Box 122">
              <controlPr defaultSize="0" autoFill="0" autoLine="0" autoPict="0">
                <anchor moveWithCells="1">
                  <from>
                    <xdr:col>22</xdr:col>
                    <xdr:colOff>7620</xdr:colOff>
                    <xdr:row>77</xdr:row>
                    <xdr:rowOff>7620</xdr:rowOff>
                  </from>
                  <to>
                    <xdr:col>22</xdr:col>
                    <xdr:colOff>1402080</xdr:colOff>
                    <xdr:row>78</xdr:row>
                    <xdr:rowOff>30480</xdr:rowOff>
                  </to>
                </anchor>
              </controlPr>
            </control>
          </mc:Choice>
        </mc:AlternateContent>
        <mc:AlternateContent xmlns:mc="http://schemas.openxmlformats.org/markup-compatibility/2006">
          <mc:Choice Requires="x14">
            <control shapeId="2171" r:id="rId126" name="Check Box 123">
              <controlPr defaultSize="0" autoFill="0" autoLine="0" autoPict="0">
                <anchor moveWithCells="1">
                  <from>
                    <xdr:col>22</xdr:col>
                    <xdr:colOff>7620</xdr:colOff>
                    <xdr:row>78</xdr:row>
                    <xdr:rowOff>7620</xdr:rowOff>
                  </from>
                  <to>
                    <xdr:col>22</xdr:col>
                    <xdr:colOff>1402080</xdr:colOff>
                    <xdr:row>79</xdr:row>
                    <xdr:rowOff>30480</xdr:rowOff>
                  </to>
                </anchor>
              </controlPr>
            </control>
          </mc:Choice>
        </mc:AlternateContent>
        <mc:AlternateContent xmlns:mc="http://schemas.openxmlformats.org/markup-compatibility/2006">
          <mc:Choice Requires="x14">
            <control shapeId="2172" r:id="rId127" name="Check Box 124">
              <controlPr defaultSize="0" autoFill="0" autoLine="0" autoPict="0">
                <anchor moveWithCells="1">
                  <from>
                    <xdr:col>16</xdr:col>
                    <xdr:colOff>22860</xdr:colOff>
                    <xdr:row>78</xdr:row>
                    <xdr:rowOff>0</xdr:rowOff>
                  </from>
                  <to>
                    <xdr:col>16</xdr:col>
                    <xdr:colOff>1485900</xdr:colOff>
                    <xdr:row>79</xdr:row>
                    <xdr:rowOff>30480</xdr:rowOff>
                  </to>
                </anchor>
              </controlPr>
            </control>
          </mc:Choice>
        </mc:AlternateContent>
        <mc:AlternateContent xmlns:mc="http://schemas.openxmlformats.org/markup-compatibility/2006">
          <mc:Choice Requires="x14">
            <control shapeId="2173" r:id="rId128" name="Check Box 125">
              <controlPr defaultSize="0" autoFill="0" autoLine="0" autoPict="0">
                <anchor moveWithCells="1">
                  <from>
                    <xdr:col>2</xdr:col>
                    <xdr:colOff>7620</xdr:colOff>
                    <xdr:row>70</xdr:row>
                    <xdr:rowOff>7620</xdr:rowOff>
                  </from>
                  <to>
                    <xdr:col>3</xdr:col>
                    <xdr:colOff>60960</xdr:colOff>
                    <xdr:row>71</xdr:row>
                    <xdr:rowOff>30480</xdr:rowOff>
                  </to>
                </anchor>
              </controlPr>
            </control>
          </mc:Choice>
        </mc:AlternateContent>
        <mc:AlternateContent xmlns:mc="http://schemas.openxmlformats.org/markup-compatibility/2006">
          <mc:Choice Requires="x14">
            <control shapeId="2174" r:id="rId129" name="Check Box 126">
              <controlPr defaultSize="0" autoFill="0" autoLine="0" autoPict="0">
                <anchor moveWithCells="1">
                  <from>
                    <xdr:col>2</xdr:col>
                    <xdr:colOff>7620</xdr:colOff>
                    <xdr:row>71</xdr:row>
                    <xdr:rowOff>7620</xdr:rowOff>
                  </from>
                  <to>
                    <xdr:col>3</xdr:col>
                    <xdr:colOff>60960</xdr:colOff>
                    <xdr:row>72</xdr:row>
                    <xdr:rowOff>30480</xdr:rowOff>
                  </to>
                </anchor>
              </controlPr>
            </control>
          </mc:Choice>
        </mc:AlternateContent>
        <mc:AlternateContent xmlns:mc="http://schemas.openxmlformats.org/markup-compatibility/2006">
          <mc:Choice Requires="x14">
            <control shapeId="2175" r:id="rId130" name="Check Box 127">
              <controlPr defaultSize="0" autoFill="0" autoLine="0" autoPict="0">
                <anchor moveWithCells="1">
                  <from>
                    <xdr:col>2</xdr:col>
                    <xdr:colOff>7620</xdr:colOff>
                    <xdr:row>72</xdr:row>
                    <xdr:rowOff>7620</xdr:rowOff>
                  </from>
                  <to>
                    <xdr:col>3</xdr:col>
                    <xdr:colOff>60960</xdr:colOff>
                    <xdr:row>73</xdr:row>
                    <xdr:rowOff>30480</xdr:rowOff>
                  </to>
                </anchor>
              </controlPr>
            </control>
          </mc:Choice>
        </mc:AlternateContent>
        <mc:AlternateContent xmlns:mc="http://schemas.openxmlformats.org/markup-compatibility/2006">
          <mc:Choice Requires="x14">
            <control shapeId="2176" r:id="rId131" name="Check Box 128">
              <controlPr defaultSize="0" autoFill="0" autoLine="0" autoPict="0">
                <anchor moveWithCells="1">
                  <from>
                    <xdr:col>2</xdr:col>
                    <xdr:colOff>7620</xdr:colOff>
                    <xdr:row>73</xdr:row>
                    <xdr:rowOff>7620</xdr:rowOff>
                  </from>
                  <to>
                    <xdr:col>3</xdr:col>
                    <xdr:colOff>60960</xdr:colOff>
                    <xdr:row>74</xdr:row>
                    <xdr:rowOff>30480</xdr:rowOff>
                  </to>
                </anchor>
              </controlPr>
            </control>
          </mc:Choice>
        </mc:AlternateContent>
        <mc:AlternateContent xmlns:mc="http://schemas.openxmlformats.org/markup-compatibility/2006">
          <mc:Choice Requires="x14">
            <control shapeId="2177" r:id="rId132" name="Check Box 129">
              <controlPr defaultSize="0" autoFill="0" autoLine="0" autoPict="0">
                <anchor moveWithCells="1">
                  <from>
                    <xdr:col>2</xdr:col>
                    <xdr:colOff>7620</xdr:colOff>
                    <xdr:row>74</xdr:row>
                    <xdr:rowOff>7620</xdr:rowOff>
                  </from>
                  <to>
                    <xdr:col>3</xdr:col>
                    <xdr:colOff>60960</xdr:colOff>
                    <xdr:row>75</xdr:row>
                    <xdr:rowOff>30480</xdr:rowOff>
                  </to>
                </anchor>
              </controlPr>
            </control>
          </mc:Choice>
        </mc:AlternateContent>
        <mc:AlternateContent xmlns:mc="http://schemas.openxmlformats.org/markup-compatibility/2006">
          <mc:Choice Requires="x14">
            <control shapeId="2178" r:id="rId133" name="Check Box 130">
              <controlPr defaultSize="0" autoFill="0" autoLine="0" autoPict="0">
                <anchor moveWithCells="1">
                  <from>
                    <xdr:col>2</xdr:col>
                    <xdr:colOff>7620</xdr:colOff>
                    <xdr:row>75</xdr:row>
                    <xdr:rowOff>7620</xdr:rowOff>
                  </from>
                  <to>
                    <xdr:col>3</xdr:col>
                    <xdr:colOff>60960</xdr:colOff>
                    <xdr:row>76</xdr:row>
                    <xdr:rowOff>30480</xdr:rowOff>
                  </to>
                </anchor>
              </controlPr>
            </control>
          </mc:Choice>
        </mc:AlternateContent>
        <mc:AlternateContent xmlns:mc="http://schemas.openxmlformats.org/markup-compatibility/2006">
          <mc:Choice Requires="x14">
            <control shapeId="2179" r:id="rId134" name="Check Box 131">
              <controlPr defaultSize="0" autoFill="0" autoLine="0" autoPict="0">
                <anchor moveWithCells="1">
                  <from>
                    <xdr:col>2</xdr:col>
                    <xdr:colOff>7620</xdr:colOff>
                    <xdr:row>76</xdr:row>
                    <xdr:rowOff>7620</xdr:rowOff>
                  </from>
                  <to>
                    <xdr:col>3</xdr:col>
                    <xdr:colOff>60960</xdr:colOff>
                    <xdr:row>77</xdr:row>
                    <xdr:rowOff>30480</xdr:rowOff>
                  </to>
                </anchor>
              </controlPr>
            </control>
          </mc:Choice>
        </mc:AlternateContent>
        <mc:AlternateContent xmlns:mc="http://schemas.openxmlformats.org/markup-compatibility/2006">
          <mc:Choice Requires="x14">
            <control shapeId="2180" r:id="rId135" name="Check Box 132">
              <controlPr defaultSize="0" autoFill="0" autoLine="0" autoPict="0">
                <anchor moveWithCells="1">
                  <from>
                    <xdr:col>2</xdr:col>
                    <xdr:colOff>7620</xdr:colOff>
                    <xdr:row>77</xdr:row>
                    <xdr:rowOff>7620</xdr:rowOff>
                  </from>
                  <to>
                    <xdr:col>3</xdr:col>
                    <xdr:colOff>60960</xdr:colOff>
                    <xdr:row>78</xdr:row>
                    <xdr:rowOff>30480</xdr:rowOff>
                  </to>
                </anchor>
              </controlPr>
            </control>
          </mc:Choice>
        </mc:AlternateContent>
        <mc:AlternateContent xmlns:mc="http://schemas.openxmlformats.org/markup-compatibility/2006">
          <mc:Choice Requires="x14">
            <control shapeId="2181" r:id="rId136" name="Check Box 133">
              <controlPr defaultSize="0" autoFill="0" autoLine="0" autoPict="0">
                <anchor moveWithCells="1">
                  <from>
                    <xdr:col>2</xdr:col>
                    <xdr:colOff>7620</xdr:colOff>
                    <xdr:row>78</xdr:row>
                    <xdr:rowOff>7620</xdr:rowOff>
                  </from>
                  <to>
                    <xdr:col>3</xdr:col>
                    <xdr:colOff>60960</xdr:colOff>
                    <xdr:row>79</xdr:row>
                    <xdr:rowOff>30480</xdr:rowOff>
                  </to>
                </anchor>
              </controlPr>
            </control>
          </mc:Choice>
        </mc:AlternateContent>
        <mc:AlternateContent xmlns:mc="http://schemas.openxmlformats.org/markup-compatibility/2006">
          <mc:Choice Requires="x14">
            <control shapeId="2182" r:id="rId137" name="Check Box 134">
              <controlPr defaultSize="0" autoFill="0" autoLine="0" autoPict="0">
                <anchor moveWithCells="1">
                  <from>
                    <xdr:col>12</xdr:col>
                    <xdr:colOff>7620</xdr:colOff>
                    <xdr:row>70</xdr:row>
                    <xdr:rowOff>7620</xdr:rowOff>
                  </from>
                  <to>
                    <xdr:col>13</xdr:col>
                    <xdr:colOff>22860</xdr:colOff>
                    <xdr:row>71</xdr:row>
                    <xdr:rowOff>30480</xdr:rowOff>
                  </to>
                </anchor>
              </controlPr>
            </control>
          </mc:Choice>
        </mc:AlternateContent>
        <mc:AlternateContent xmlns:mc="http://schemas.openxmlformats.org/markup-compatibility/2006">
          <mc:Choice Requires="x14">
            <control shapeId="2183" r:id="rId138" name="Check Box 135">
              <controlPr defaultSize="0" autoFill="0" autoLine="0" autoPict="0">
                <anchor moveWithCells="1">
                  <from>
                    <xdr:col>12</xdr:col>
                    <xdr:colOff>7620</xdr:colOff>
                    <xdr:row>71</xdr:row>
                    <xdr:rowOff>7620</xdr:rowOff>
                  </from>
                  <to>
                    <xdr:col>13</xdr:col>
                    <xdr:colOff>22860</xdr:colOff>
                    <xdr:row>72</xdr:row>
                    <xdr:rowOff>30480</xdr:rowOff>
                  </to>
                </anchor>
              </controlPr>
            </control>
          </mc:Choice>
        </mc:AlternateContent>
        <mc:AlternateContent xmlns:mc="http://schemas.openxmlformats.org/markup-compatibility/2006">
          <mc:Choice Requires="x14">
            <control shapeId="2184" r:id="rId139" name="Check Box 136">
              <controlPr defaultSize="0" autoFill="0" autoLine="0" autoPict="0">
                <anchor moveWithCells="1">
                  <from>
                    <xdr:col>12</xdr:col>
                    <xdr:colOff>7620</xdr:colOff>
                    <xdr:row>72</xdr:row>
                    <xdr:rowOff>7620</xdr:rowOff>
                  </from>
                  <to>
                    <xdr:col>13</xdr:col>
                    <xdr:colOff>22860</xdr:colOff>
                    <xdr:row>73</xdr:row>
                    <xdr:rowOff>30480</xdr:rowOff>
                  </to>
                </anchor>
              </controlPr>
            </control>
          </mc:Choice>
        </mc:AlternateContent>
        <mc:AlternateContent xmlns:mc="http://schemas.openxmlformats.org/markup-compatibility/2006">
          <mc:Choice Requires="x14">
            <control shapeId="2185" r:id="rId140" name="Check Box 137">
              <controlPr defaultSize="0" autoFill="0" autoLine="0" autoPict="0">
                <anchor moveWithCells="1">
                  <from>
                    <xdr:col>12</xdr:col>
                    <xdr:colOff>7620</xdr:colOff>
                    <xdr:row>73</xdr:row>
                    <xdr:rowOff>7620</xdr:rowOff>
                  </from>
                  <to>
                    <xdr:col>13</xdr:col>
                    <xdr:colOff>22860</xdr:colOff>
                    <xdr:row>74</xdr:row>
                    <xdr:rowOff>30480</xdr:rowOff>
                  </to>
                </anchor>
              </controlPr>
            </control>
          </mc:Choice>
        </mc:AlternateContent>
        <mc:AlternateContent xmlns:mc="http://schemas.openxmlformats.org/markup-compatibility/2006">
          <mc:Choice Requires="x14">
            <control shapeId="2186" r:id="rId141" name="Check Box 138">
              <controlPr defaultSize="0" autoFill="0" autoLine="0" autoPict="0">
                <anchor moveWithCells="1">
                  <from>
                    <xdr:col>12</xdr:col>
                    <xdr:colOff>7620</xdr:colOff>
                    <xdr:row>74</xdr:row>
                    <xdr:rowOff>7620</xdr:rowOff>
                  </from>
                  <to>
                    <xdr:col>13</xdr:col>
                    <xdr:colOff>22860</xdr:colOff>
                    <xdr:row>75</xdr:row>
                    <xdr:rowOff>30480</xdr:rowOff>
                  </to>
                </anchor>
              </controlPr>
            </control>
          </mc:Choice>
        </mc:AlternateContent>
        <mc:AlternateContent xmlns:mc="http://schemas.openxmlformats.org/markup-compatibility/2006">
          <mc:Choice Requires="x14">
            <control shapeId="2187" r:id="rId142" name="Check Box 139">
              <controlPr defaultSize="0" autoFill="0" autoLine="0" autoPict="0">
                <anchor moveWithCells="1">
                  <from>
                    <xdr:col>12</xdr:col>
                    <xdr:colOff>7620</xdr:colOff>
                    <xdr:row>75</xdr:row>
                    <xdr:rowOff>7620</xdr:rowOff>
                  </from>
                  <to>
                    <xdr:col>13</xdr:col>
                    <xdr:colOff>22860</xdr:colOff>
                    <xdr:row>76</xdr:row>
                    <xdr:rowOff>30480</xdr:rowOff>
                  </to>
                </anchor>
              </controlPr>
            </control>
          </mc:Choice>
        </mc:AlternateContent>
        <mc:AlternateContent xmlns:mc="http://schemas.openxmlformats.org/markup-compatibility/2006">
          <mc:Choice Requires="x14">
            <control shapeId="2188" r:id="rId143" name="Check Box 140">
              <controlPr defaultSize="0" autoFill="0" autoLine="0" autoPict="0">
                <anchor moveWithCells="1">
                  <from>
                    <xdr:col>12</xdr:col>
                    <xdr:colOff>7620</xdr:colOff>
                    <xdr:row>76</xdr:row>
                    <xdr:rowOff>7620</xdr:rowOff>
                  </from>
                  <to>
                    <xdr:col>13</xdr:col>
                    <xdr:colOff>22860</xdr:colOff>
                    <xdr:row>77</xdr:row>
                    <xdr:rowOff>30480</xdr:rowOff>
                  </to>
                </anchor>
              </controlPr>
            </control>
          </mc:Choice>
        </mc:AlternateContent>
        <mc:AlternateContent xmlns:mc="http://schemas.openxmlformats.org/markup-compatibility/2006">
          <mc:Choice Requires="x14">
            <control shapeId="2189" r:id="rId144" name="Check Box 141">
              <controlPr defaultSize="0" autoFill="0" autoLine="0" autoPict="0">
                <anchor moveWithCells="1">
                  <from>
                    <xdr:col>12</xdr:col>
                    <xdr:colOff>7620</xdr:colOff>
                    <xdr:row>77</xdr:row>
                    <xdr:rowOff>7620</xdr:rowOff>
                  </from>
                  <to>
                    <xdr:col>13</xdr:col>
                    <xdr:colOff>22860</xdr:colOff>
                    <xdr:row>78</xdr:row>
                    <xdr:rowOff>30480</xdr:rowOff>
                  </to>
                </anchor>
              </controlPr>
            </control>
          </mc:Choice>
        </mc:AlternateContent>
        <mc:AlternateContent xmlns:mc="http://schemas.openxmlformats.org/markup-compatibility/2006">
          <mc:Choice Requires="x14">
            <control shapeId="2190" r:id="rId145" name="Check Box 142">
              <controlPr defaultSize="0" autoFill="0" autoLine="0" autoPict="0">
                <anchor moveWithCells="1">
                  <from>
                    <xdr:col>12</xdr:col>
                    <xdr:colOff>7620</xdr:colOff>
                    <xdr:row>78</xdr:row>
                    <xdr:rowOff>7620</xdr:rowOff>
                  </from>
                  <to>
                    <xdr:col>13</xdr:col>
                    <xdr:colOff>22860</xdr:colOff>
                    <xdr:row>79</xdr:row>
                    <xdr:rowOff>30480</xdr:rowOff>
                  </to>
                </anchor>
              </controlPr>
            </control>
          </mc:Choice>
        </mc:AlternateContent>
      </controls>
    </mc:Choice>
  </mc:AlternateContent>
  <tableParts count="8">
    <tablePart r:id="rId146"/>
    <tablePart r:id="rId147"/>
    <tablePart r:id="rId148"/>
    <tablePart r:id="rId149"/>
    <tablePart r:id="rId150"/>
    <tablePart r:id="rId151"/>
    <tablePart r:id="rId152"/>
    <tablePart r:id="rId15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7C7986-D8CE-47D8-B2A4-9A452234E20B}">
  <dimension ref="B1:Y96"/>
  <sheetViews>
    <sheetView topLeftCell="A43" zoomScale="70" zoomScaleNormal="70" workbookViewId="0">
      <selection activeCell="B70" sqref="B70:L71"/>
    </sheetView>
  </sheetViews>
  <sheetFormatPr defaultColWidth="8.5546875" defaultRowHeight="14.4" x14ac:dyDescent="0.3"/>
  <cols>
    <col min="1" max="1" width="13.109375" style="5" customWidth="1"/>
    <col min="2" max="2" width="14.109375" style="5" bestFit="1" customWidth="1"/>
    <col min="3" max="3" width="17.44140625" style="5" bestFit="1" customWidth="1"/>
    <col min="4" max="4" width="21.6640625" style="5" bestFit="1" customWidth="1"/>
    <col min="5" max="5" width="15.109375" style="1" bestFit="1" customWidth="1"/>
    <col min="6" max="9" width="8.5546875" style="1" bestFit="1" customWidth="1"/>
    <col min="10" max="10" width="8.5546875" style="1" customWidth="1"/>
    <col min="11" max="11" width="15" style="5" customWidth="1"/>
    <col min="12" max="12" width="14.33203125" style="1" bestFit="1" customWidth="1"/>
    <col min="13" max="14" width="10.88671875" style="5" bestFit="1" customWidth="1"/>
    <col min="15" max="15" width="15.33203125" style="5" bestFit="1" customWidth="1"/>
    <col min="16" max="16" width="9.5546875" style="5" bestFit="1" customWidth="1"/>
    <col min="17" max="17" width="9.6640625" style="5" bestFit="1" customWidth="1"/>
    <col min="18" max="18" width="13.33203125" style="5" bestFit="1" customWidth="1"/>
    <col min="19" max="19" width="14.33203125" style="5" bestFit="1" customWidth="1"/>
    <col min="20" max="20" width="12.33203125" style="5" customWidth="1"/>
    <col min="21" max="21" width="11" style="5" customWidth="1"/>
    <col min="22" max="24" width="13.5546875" style="5" bestFit="1" customWidth="1"/>
    <col min="25" max="25" width="13.33203125" style="5" bestFit="1" customWidth="1"/>
    <col min="26" max="26" width="5.5546875" style="5" bestFit="1" customWidth="1"/>
    <col min="27" max="27" width="8.5546875" style="5" customWidth="1"/>
    <col min="28" max="28" width="19.109375" style="5" bestFit="1" customWidth="1"/>
    <col min="29" max="29" width="21" style="5" bestFit="1" customWidth="1"/>
    <col min="30" max="16384" width="8.5546875" style="5"/>
  </cols>
  <sheetData>
    <row r="1" spans="2:25" ht="33.6" x14ac:dyDescent="0.3">
      <c r="B1" s="137" t="s">
        <v>141</v>
      </c>
      <c r="C1" s="137"/>
      <c r="D1" s="137"/>
      <c r="E1" s="137"/>
      <c r="F1" s="137"/>
      <c r="G1" s="137"/>
      <c r="H1" s="137"/>
      <c r="I1" s="137"/>
      <c r="J1" s="137"/>
      <c r="K1" s="137"/>
      <c r="L1" s="137"/>
      <c r="M1" s="137"/>
      <c r="N1" s="137"/>
      <c r="O1" s="137"/>
      <c r="P1" s="137"/>
      <c r="Q1" s="137"/>
      <c r="R1" s="137"/>
      <c r="S1" s="137"/>
      <c r="T1" s="137"/>
      <c r="U1" s="137"/>
      <c r="V1" s="137"/>
      <c r="W1" s="73"/>
      <c r="X1" s="73"/>
    </row>
    <row r="3" spans="2:25" x14ac:dyDescent="0.3">
      <c r="M3" s="14"/>
      <c r="N3" s="14"/>
      <c r="O3" s="14"/>
      <c r="P3" s="14"/>
    </row>
    <row r="4" spans="2:25" ht="15" thickBot="1" x14ac:dyDescent="0.35">
      <c r="B4" s="47" t="s">
        <v>94</v>
      </c>
      <c r="C4" s="31" t="s">
        <v>109</v>
      </c>
      <c r="D4" s="31" t="s">
        <v>110</v>
      </c>
      <c r="E4" s="29" t="s">
        <v>111</v>
      </c>
      <c r="F4" s="10" t="s">
        <v>19</v>
      </c>
      <c r="G4" s="10" t="s">
        <v>20</v>
      </c>
      <c r="H4" s="10" t="s">
        <v>21</v>
      </c>
      <c r="I4" s="10" t="s">
        <v>22</v>
      </c>
      <c r="J4" s="10" t="s">
        <v>23</v>
      </c>
      <c r="K4" s="10" t="s">
        <v>24</v>
      </c>
      <c r="L4" s="10" t="s">
        <v>29</v>
      </c>
      <c r="M4" s="11" t="s">
        <v>112</v>
      </c>
      <c r="N4" s="10" t="s">
        <v>72</v>
      </c>
      <c r="O4" s="10" t="s">
        <v>73</v>
      </c>
      <c r="P4" s="10" t="s">
        <v>74</v>
      </c>
      <c r="Q4" s="10" t="s">
        <v>75</v>
      </c>
      <c r="R4" s="10" t="s">
        <v>135</v>
      </c>
      <c r="S4" s="10" t="s">
        <v>136</v>
      </c>
      <c r="T4" s="10" t="s">
        <v>137</v>
      </c>
      <c r="U4" s="10" t="s">
        <v>138</v>
      </c>
      <c r="V4" s="10" t="s">
        <v>139</v>
      </c>
      <c r="W4" s="10" t="s">
        <v>140</v>
      </c>
      <c r="X4" s="10" t="s">
        <v>142</v>
      </c>
      <c r="Y4" s="6" t="s">
        <v>143</v>
      </c>
    </row>
    <row r="5" spans="2:25" ht="15.6" thickTop="1" thickBot="1" x14ac:dyDescent="0.35">
      <c r="B5" s="51">
        <v>1</v>
      </c>
      <c r="C5" s="14">
        <v>4</v>
      </c>
      <c r="D5" s="61" t="s">
        <v>110</v>
      </c>
      <c r="E5" s="61" t="s">
        <v>111</v>
      </c>
      <c r="F5" s="1">
        <v>3</v>
      </c>
      <c r="G5" s="1">
        <v>2</v>
      </c>
      <c r="H5" s="1">
        <v>10</v>
      </c>
      <c r="I5" s="1">
        <v>15</v>
      </c>
      <c r="J5" s="1">
        <v>11</v>
      </c>
      <c r="K5" s="1">
        <v>15</v>
      </c>
      <c r="L5" s="1">
        <v>15</v>
      </c>
      <c r="M5" s="12">
        <f>SUM(F5:L5)</f>
        <v>71</v>
      </c>
      <c r="N5" s="74" cm="1">
        <f t="array" ref="N5">Tablo17[[#This Row],[Q1]]/Tablo19[Q1]*$C$37+G5/Tablo19[Q2]*$D$37+H5/Tablo19[Q3]*$E$37+I5/Tablo19[Q4]*$F$37+J5/Tablo19[Q5]*$G$37+K5/Tablo19[Q6]*$H$37+L5/Tablo19[Q7]*$I$37</f>
        <v>13.666666666666666</v>
      </c>
      <c r="O5" s="74" cm="1">
        <f t="array" ref="O5">Tablo17[[#This Row],[Q1]]/Tablo19[Q1]*$C$38+G5/Tablo19[Q2]*$D$38+H5/Tablo19[Q3]*$E$38+I5/Tablo19[Q4]*$F$38+J5/Tablo19[Q5]*$G$38+K5/Tablo19[Q6]*$H$38+L5/Tablo19[Q7]*$I$38</f>
        <v>6.5</v>
      </c>
      <c r="P5" s="74" cm="1">
        <f t="array" ref="P5">Tablo17[[#This Row],[Q1]]/Tablo19[Q1]*$C$39+G5/Tablo19[Q2]*$D$39+H5/Tablo19[Q3]*$E$39+I5/Tablo19[Q4]*$F$39+J5/Tablo19[Q5]*$G$39+K5/Tablo19[Q6]*$H$39+L5/Tablo19[Q7]*$I$39</f>
        <v>3.6666666666666665</v>
      </c>
      <c r="Q5" s="74" cm="1">
        <f t="array" ref="Q5">Tablo17[[#This Row],[Q1]]/Tablo19[Q1]*$C$40+G5/Tablo19[Q2]*$D$40+H5/Tablo19[Q3]*$E$40+I5/Tablo19[Q4]*$F$40+J5/Tablo19[Q5]*$G$40+K5/Tablo19[Q6]*$H$40+L5/Tablo19[Q7]*$I$40</f>
        <v>36.166666666666664</v>
      </c>
      <c r="R5" s="12" cm="1">
        <f t="array" ref="R5">Tablo17[[#This Row],[Q1]]/Tablo19[Q1]*$C$41+$G5/Tablo19[Q2]*$D$41+$H5/Tablo19[Q3]*$E$41+$I5/Tablo19[Q4]*$F$41+$J5/Tablo19[Q5]*$G$41+$K5/Tablo19[Q6]*$H$41+$L5/Tablo19[Q7]*$I$41</f>
        <v>0</v>
      </c>
      <c r="S5" s="12" cm="1">
        <f t="array" ref="S5">Tablo17[[#This Row],[Q1]]/Tablo19[Q1]*$C$42+$G5/Tablo19[Q2]*$D$42+$H5/Tablo19[Q3]*$E$42+$I5/Tablo19[Q4]*$F$42+$J5/Tablo19[Q5]*$G$42+$K5/Tablo19[Q6]*$H$42+$L5/Tablo19[Q7]*$I$42</f>
        <v>0</v>
      </c>
      <c r="T5" s="75" cm="1">
        <f t="array" ref="T5">Tablo17[[#This Row],[Q1]]/Tablo19[Q1]*$C$43+$G5/Tablo19[Q2]*$D$43+$H5/Tablo19[Q3]*$E$43+$I5/Tablo19[Q4]*$F$43+$J5/Tablo19[Q5]*$G$43+$K5/Tablo19[Q6]*$H$43+$L5/Tablo19[Q7]*$I$43</f>
        <v>0</v>
      </c>
      <c r="U5" s="76" cm="1">
        <f t="array" ref="U5">Tablo17[[#This Row],[Q1]]/Tablo19[Q1]*$C$44+$G5/Tablo19[Q2]*$D$44+$H5/Tablo19[Q3]*$E$44+$I5/Tablo19[Q4]*$F$44+$J5/Tablo19[Q5]*$G$44+$K5/Tablo19[Q6]*$H$44+$L5/Tablo19[Q7]*$I$44</f>
        <v>0</v>
      </c>
      <c r="V5" s="76" cm="1">
        <f t="array" ref="V5">Tablo17[[#This Row],[Q1]]/Tablo19[Q1]*$C$45+$G5/Tablo19[Q2]*$D$45+$H5/Tablo19[Q3]*$E$45+$I5/Tablo19[Q4]*$F$45+$J5/Tablo19[Q5]*$G$45+$K5/Tablo19[Q6]*$H$45+$L5/Tablo19[Q7]*$I$45</f>
        <v>0</v>
      </c>
      <c r="W5" s="76" cm="1">
        <f t="array" ref="W5">Tablo17[[#This Row],[Q1]]/Tablo19[Q1]*$C$46+$G5/Tablo19[Q2]*$D$46+$H5/Tablo19[Q3]*$E$46+$I5/Tablo19[Q4]*$F$46+$J5/Tablo19[Q5]*$G$46+$K5/Tablo19[Q6]*$H$46+$L5/Tablo19[Q7]*$I$46</f>
        <v>0</v>
      </c>
      <c r="X5" s="74">
        <f>SUM(N5:W5)</f>
        <v>60</v>
      </c>
      <c r="Y5" s="8">
        <f>_xlfn.NORM.DIST(Tablo17[[#This Row],[TOTAL GRADE]],$N$62,$O$62,FALSE)</f>
        <v>4.0785185037180826E-3</v>
      </c>
    </row>
    <row r="6" spans="2:25" ht="15.6" thickTop="1" thickBot="1" x14ac:dyDescent="0.35">
      <c r="B6" s="77">
        <v>2</v>
      </c>
      <c r="C6" s="14">
        <v>5</v>
      </c>
      <c r="D6" s="61" t="s">
        <v>110</v>
      </c>
      <c r="E6" s="61" t="s">
        <v>111</v>
      </c>
      <c r="F6" s="1">
        <v>6</v>
      </c>
      <c r="G6" s="1">
        <v>3.5</v>
      </c>
      <c r="H6" s="1">
        <v>12.5</v>
      </c>
      <c r="I6" s="1">
        <v>10</v>
      </c>
      <c r="J6" s="1">
        <v>6</v>
      </c>
      <c r="K6" s="1">
        <v>15</v>
      </c>
      <c r="L6" s="1">
        <v>14</v>
      </c>
      <c r="M6" s="12">
        <f>SUM(F6:L6)</f>
        <v>67</v>
      </c>
      <c r="N6" s="74" cm="1">
        <f t="array" ref="N6">Tablo17[[#This Row],[Q1]]/Tablo19[Q1]*$C$37+G6/Tablo19[Q2]*$D$37+H6/Tablo19[Q3]*$E$37+I6/Tablo19[Q4]*$F$37+J6/Tablo19[Q5]*$G$37+K6/Tablo19[Q6]*$H$37+L6/Tablo19[Q7]*$I$37</f>
        <v>17.75</v>
      </c>
      <c r="O6" s="74" cm="1">
        <f t="array" ref="O6">Tablo17[[#This Row],[Q1]]/Tablo19[Q1]*$C$38+G6/Tablo19[Q2]*$D$38+H6/Tablo19[Q3]*$E$38+I6/Tablo19[Q4]*$F$38+J6/Tablo19[Q5]*$G$38+K6/Tablo19[Q6]*$H$38+L6/Tablo19[Q7]*$I$38</f>
        <v>8</v>
      </c>
      <c r="P6" s="74" cm="1">
        <f t="array" ref="P6">Tablo17[[#This Row],[Q1]]/Tablo19[Q1]*$C$39+G6/Tablo19[Q2]*$D$39+H6/Tablo19[Q3]*$E$39+I6/Tablo19[Q4]*$F$39+J6/Tablo19[Q5]*$G$39+K6/Tablo19[Q6]*$H$39+L6/Tablo19[Q7]*$I$39</f>
        <v>2</v>
      </c>
      <c r="Q6" s="74" cm="1">
        <f t="array" ref="Q6">Tablo17[[#This Row],[Q1]]/Tablo19[Q1]*$C$40+G6/Tablo19[Q2]*$D$40+H6/Tablo19[Q3]*$E$40+I6/Tablo19[Q4]*$F$40+J6/Tablo19[Q5]*$G$40+K6/Tablo19[Q6]*$H$40+L6/Tablo19[Q7]*$I$40</f>
        <v>30.666666666666668</v>
      </c>
      <c r="R6" s="12" cm="1">
        <f t="array" ref="R6">Tablo17[[#This Row],[Q1]]/Tablo19[Q1]*$C$41+$G6/Tablo19[Q2]*$D$41+$H6/Tablo19[Q3]*$E$41+$I6/Tablo19[Q4]*$F$41+$J6/Tablo19[Q5]*$G$41+$K6/Tablo19[Q6]*$H$41+$L6/Tablo19[Q7]*$I$41</f>
        <v>0</v>
      </c>
      <c r="S6" s="12" cm="1">
        <f t="array" ref="S6">Tablo17[[#This Row],[Q1]]/Tablo19[Q1]*$C$42+$G6/Tablo19[Q2]*$D$42+$H6/Tablo19[Q3]*$E$42+$I6/Tablo19[Q4]*$F$42+$J6/Tablo19[Q5]*$G$42+$K6/Tablo19[Q6]*$H$42+$L6/Tablo19[Q7]*$I$42</f>
        <v>0</v>
      </c>
      <c r="T6" s="75" cm="1">
        <f t="array" ref="T6">Tablo17[[#This Row],[Q1]]/Tablo19[Q1]*$C$43+$G6/Tablo19[Q2]*$D$43+$H6/Tablo19[Q3]*$E$43+$I6/Tablo19[Q4]*$F$43+$J6/Tablo19[Q5]*$G$43+$K6/Tablo19[Q6]*$H$43+$L6/Tablo19[Q7]*$I$43</f>
        <v>0</v>
      </c>
      <c r="U6" s="76" cm="1">
        <f t="array" ref="U6">Tablo17[[#This Row],[Q1]]/Tablo19[Q1]*$C$44+$G6/Tablo19[Q2]*$D$44+$H6/Tablo19[Q3]*$E$44+$I6/Tablo19[Q4]*$F$44+$J6/Tablo19[Q5]*$G$44+$K6/Tablo19[Q6]*$H$44+$L6/Tablo19[Q7]*$I$44</f>
        <v>0</v>
      </c>
      <c r="V6" s="76" cm="1">
        <f t="array" ref="V6">Tablo17[[#This Row],[Q1]]/Tablo19[Q1]*$C$45+$G6/Tablo19[Q2]*$D$45+$H6/Tablo19[Q3]*$E$45+$I6/Tablo19[Q4]*$F$45+$J6/Tablo19[Q5]*$G$45+$K6/Tablo19[Q6]*$H$45+$L6/Tablo19[Q7]*$I$45</f>
        <v>0</v>
      </c>
      <c r="W6" s="76" cm="1">
        <f t="array" ref="W6">Tablo17[[#This Row],[Q1]]/Tablo19[Q1]*$C$46+$G6/Tablo19[Q2]*$D$46+$H6/Tablo19[Q3]*$E$46+$I6/Tablo19[Q4]*$F$46+$J6/Tablo19[Q5]*$G$46+$K6/Tablo19[Q6]*$H$46+$L6/Tablo19[Q7]*$I$46</f>
        <v>0</v>
      </c>
      <c r="X6" s="74">
        <f>SUM(N6:W6)</f>
        <v>58.416666666666671</v>
      </c>
      <c r="Y6" s="8">
        <f>_xlfn.NORM.DIST(Tablo17[[#This Row],[TOTAL GRADE]],$N$62,$O$62,FALSE)</f>
        <v>6.0458545101493167E-3</v>
      </c>
    </row>
    <row r="7" spans="2:25" ht="15.6" thickTop="1" thickBot="1" x14ac:dyDescent="0.35">
      <c r="B7" s="51">
        <v>3</v>
      </c>
      <c r="C7" s="14">
        <v>6</v>
      </c>
      <c r="D7" s="61" t="s">
        <v>110</v>
      </c>
      <c r="E7" s="61" t="s">
        <v>111</v>
      </c>
      <c r="F7" s="1">
        <v>2</v>
      </c>
      <c r="G7" s="1">
        <v>2</v>
      </c>
      <c r="H7" s="1">
        <v>14</v>
      </c>
      <c r="I7" s="1">
        <v>15</v>
      </c>
      <c r="J7" s="1">
        <v>11</v>
      </c>
      <c r="K7" s="1">
        <v>4</v>
      </c>
      <c r="L7" s="1">
        <v>14</v>
      </c>
      <c r="M7" s="12">
        <f>SUM(F7:L7)</f>
        <v>62</v>
      </c>
      <c r="N7" s="74" cm="1">
        <f t="array" ref="N7">Tablo17[[#This Row],[Q1]]/Tablo19[Q1]*$C$37+G7/Tablo19[Q2]*$D$37+H7/Tablo19[Q3]*$E$37+I7/Tablo19[Q4]*$F$37+J7/Tablo19[Q5]*$G$37+K7/Tablo19[Q6]*$H$37+L7/Tablo19[Q7]*$I$37</f>
        <v>14.666666666666666</v>
      </c>
      <c r="O7" s="74" cm="1">
        <f t="array" ref="O7">Tablo17[[#This Row],[Q1]]/Tablo19[Q1]*$C$38+G7/Tablo19[Q2]*$D$38+H7/Tablo19[Q3]*$E$38+I7/Tablo19[Q4]*$F$38+J7/Tablo19[Q5]*$G$38+K7/Tablo19[Q6]*$H$38+L7/Tablo19[Q7]*$I$38</f>
        <v>2.333333333333333</v>
      </c>
      <c r="P7" s="74" cm="1">
        <f t="array" ref="P7">Tablo17[[#This Row],[Q1]]/Tablo19[Q1]*$C$39+G7/Tablo19[Q2]*$D$39+H7/Tablo19[Q3]*$E$39+I7/Tablo19[Q4]*$F$39+J7/Tablo19[Q5]*$G$39+K7/Tablo19[Q6]*$H$39+L7/Tablo19[Q7]*$I$39</f>
        <v>3.6666666666666665</v>
      </c>
      <c r="Q7" s="74" cm="1">
        <f t="array" ref="Q7">Tablo17[[#This Row],[Q1]]/Tablo19[Q1]*$C$40+G7/Tablo19[Q2]*$D$40+H7/Tablo19[Q3]*$E$40+I7/Tablo19[Q4]*$F$40+J7/Tablo19[Q5]*$G$40+K7/Tablo19[Q6]*$H$40+L7/Tablo19[Q7]*$I$40</f>
        <v>31.166666666666668</v>
      </c>
      <c r="R7" s="12" cm="1">
        <f t="array" ref="R7">Tablo17[[#This Row],[Q1]]/Tablo19[Q1]*$C$41+$G7/Tablo19[Q2]*$D$41+$H7/Tablo19[Q3]*$E$41+$I7/Tablo19[Q4]*$F$41+$J7/Tablo19[Q5]*$G$41+$K7/Tablo19[Q6]*$H$41+$L7/Tablo19[Q7]*$I$41</f>
        <v>0</v>
      </c>
      <c r="S7" s="12" cm="1">
        <f t="array" ref="S7">Tablo17[[#This Row],[Q1]]/Tablo19[Q1]*$C$42+$G7/Tablo19[Q2]*$D$42+$H7/Tablo19[Q3]*$E$42+$I7/Tablo19[Q4]*$F$42+$J7/Tablo19[Q5]*$G$42+$K7/Tablo19[Q6]*$H$42+$L7/Tablo19[Q7]*$I$42</f>
        <v>0</v>
      </c>
      <c r="T7" s="75" cm="1">
        <f t="array" ref="T7">Tablo17[[#This Row],[Q1]]/Tablo19[Q1]*$C$43+$G7/Tablo19[Q2]*$D$43+$H7/Tablo19[Q3]*$E$43+$I7/Tablo19[Q4]*$F$43+$J7/Tablo19[Q5]*$G$43+$K7/Tablo19[Q6]*$H$43+$L7/Tablo19[Q7]*$I$43</f>
        <v>0</v>
      </c>
      <c r="U7" s="76" cm="1">
        <f t="array" ref="U7">Tablo17[[#This Row],[Q1]]/Tablo19[Q1]*$C$44+$G7/Tablo19[Q2]*$D$44+$H7/Tablo19[Q3]*$E$44+$I7/Tablo19[Q4]*$F$44+$J7/Tablo19[Q5]*$G$44+$K7/Tablo19[Q6]*$H$44+$L7/Tablo19[Q7]*$I$44</f>
        <v>0</v>
      </c>
      <c r="V7" s="76" cm="1">
        <f t="array" ref="V7">Tablo17[[#This Row],[Q1]]/Tablo19[Q1]*$C$45+$G7/Tablo19[Q2]*$D$45+$H7/Tablo19[Q3]*$E$45+$I7/Tablo19[Q4]*$F$45+$J7/Tablo19[Q5]*$G$45+$K7/Tablo19[Q6]*$H$45+$L7/Tablo19[Q7]*$I$45</f>
        <v>0</v>
      </c>
      <c r="W7" s="76" cm="1">
        <f t="array" ref="W7">Tablo17[[#This Row],[Q1]]/Tablo19[Q1]*$C$46+$G7/Tablo19[Q2]*$D$46+$H7/Tablo19[Q3]*$E$46+$I7/Tablo19[Q4]*$F$46+$J7/Tablo19[Q5]*$G$46+$K7/Tablo19[Q6]*$H$46+$L7/Tablo19[Q7]*$I$46</f>
        <v>0</v>
      </c>
      <c r="X7" s="74">
        <f>SUM(N7:W7)</f>
        <v>51.833333333333336</v>
      </c>
      <c r="Y7" s="8">
        <f>_xlfn.NORM.DIST(Tablo17[[#This Row],[TOTAL GRADE]],$N$62,$O$62,FALSE)</f>
        <v>9.2001409039820306E-3</v>
      </c>
    </row>
    <row r="8" spans="2:25" ht="15.6" thickTop="1" thickBot="1" x14ac:dyDescent="0.35">
      <c r="B8" s="77">
        <v>4</v>
      </c>
      <c r="C8" s="14">
        <v>7</v>
      </c>
      <c r="D8" s="61" t="s">
        <v>110</v>
      </c>
      <c r="E8" s="61" t="s">
        <v>111</v>
      </c>
      <c r="F8" s="1">
        <v>4</v>
      </c>
      <c r="G8" s="1">
        <v>1</v>
      </c>
      <c r="H8" s="1">
        <v>10</v>
      </c>
      <c r="I8" s="1">
        <v>12</v>
      </c>
      <c r="J8" s="1">
        <v>13</v>
      </c>
      <c r="K8" s="1">
        <v>2</v>
      </c>
      <c r="L8" s="1">
        <v>15</v>
      </c>
      <c r="M8" s="12">
        <f>SUM(F8:L8)</f>
        <v>57</v>
      </c>
      <c r="N8" s="74" cm="1">
        <f t="array" ref="N8">Tablo17[[#This Row],[Q1]]/Tablo19[Q1]*$C$37+G8/Tablo19[Q2]*$D$37+H8/Tablo19[Q3]*$E$37+I8/Tablo19[Q4]*$F$37+J8/Tablo19[Q5]*$G$37+K8/Tablo19[Q6]*$H$37+L8/Tablo19[Q7]*$I$37</f>
        <v>14.333333333333334</v>
      </c>
      <c r="O8" s="74" cm="1">
        <f t="array" ref="O8">Tablo17[[#This Row],[Q1]]/Tablo19[Q1]*$C$38+G8/Tablo19[Q2]*$D$38+H8/Tablo19[Q3]*$E$38+I8/Tablo19[Q4]*$F$38+J8/Tablo19[Q5]*$G$38+K8/Tablo19[Q6]*$H$38+L8/Tablo19[Q7]*$I$38</f>
        <v>2.6666666666666665</v>
      </c>
      <c r="P8" s="74" cm="1">
        <f t="array" ref="P8">Tablo17[[#This Row],[Q1]]/Tablo19[Q1]*$C$39+G8/Tablo19[Q2]*$D$39+H8/Tablo19[Q3]*$E$39+I8/Tablo19[Q4]*$F$39+J8/Tablo19[Q5]*$G$39+K8/Tablo19[Q6]*$H$39+L8/Tablo19[Q7]*$I$39</f>
        <v>4.3333333333333339</v>
      </c>
      <c r="Q8" s="74" cm="1">
        <f t="array" ref="Q8">Tablo17[[#This Row],[Q1]]/Tablo19[Q1]*$C$40+G8/Tablo19[Q2]*$D$40+H8/Tablo19[Q3]*$E$40+I8/Tablo19[Q4]*$F$40+J8/Tablo19[Q5]*$G$40+K8/Tablo19[Q6]*$H$40+L8/Tablo19[Q7]*$I$40</f>
        <v>31</v>
      </c>
      <c r="R8" s="12" cm="1">
        <f t="array" ref="R8">Tablo17[[#This Row],[Q1]]/Tablo19[Q1]*$C$41+$G8/Tablo19[Q2]*$D$41+$H8/Tablo19[Q3]*$E$41+$I8/Tablo19[Q4]*$F$41+$J8/Tablo19[Q5]*$G$41+$K8/Tablo19[Q6]*$H$41+$L8/Tablo19[Q7]*$I$41</f>
        <v>0</v>
      </c>
      <c r="S8" s="12" cm="1">
        <f t="array" ref="S8">Tablo17[[#This Row],[Q1]]/Tablo19[Q1]*$C$42+$G8/Tablo19[Q2]*$D$42+$H8/Tablo19[Q3]*$E$42+$I8/Tablo19[Q4]*$F$42+$J8/Tablo19[Q5]*$G$42+$K8/Tablo19[Q6]*$H$42+$L8/Tablo19[Q7]*$I$42</f>
        <v>0</v>
      </c>
      <c r="T8" s="75" cm="1">
        <f t="array" ref="T8">Tablo17[[#This Row],[Q1]]/Tablo19[Q1]*$C$43+$G8/Tablo19[Q2]*$D$43+$H8/Tablo19[Q3]*$E$43+$I8/Tablo19[Q4]*$F$43+$J8/Tablo19[Q5]*$G$43+$K8/Tablo19[Q6]*$H$43+$L8/Tablo19[Q7]*$I$43</f>
        <v>0</v>
      </c>
      <c r="U8" s="76" cm="1">
        <f t="array" ref="U8">Tablo17[[#This Row],[Q1]]/Tablo19[Q1]*$C$44+$G8/Tablo19[Q2]*$D$44+$H8/Tablo19[Q3]*$E$44+$I8/Tablo19[Q4]*$F$44+$J8/Tablo19[Q5]*$G$44+$K8/Tablo19[Q6]*$H$44+$L8/Tablo19[Q7]*$I$44</f>
        <v>0</v>
      </c>
      <c r="V8" s="76" cm="1">
        <f t="array" ref="V8">Tablo17[[#This Row],[Q1]]/Tablo19[Q1]*$C$45+$G8/Tablo19[Q2]*$D$45+$H8/Tablo19[Q3]*$E$45+$I8/Tablo19[Q4]*$F$45+$J8/Tablo19[Q5]*$G$45+$K8/Tablo19[Q6]*$H$45+$L8/Tablo19[Q7]*$I$45</f>
        <v>0</v>
      </c>
      <c r="W8" s="76" cm="1">
        <f t="array" ref="W8">Tablo17[[#This Row],[Q1]]/Tablo19[Q1]*$C$46+$G8/Tablo19[Q2]*$D$46+$H8/Tablo19[Q3]*$E$46+$I8/Tablo19[Q4]*$F$46+$J8/Tablo19[Q5]*$G$46+$K8/Tablo19[Q6]*$H$46+$L8/Tablo19[Q7]*$I$46</f>
        <v>0</v>
      </c>
      <c r="X8" s="74">
        <f>SUM(N8:W8)</f>
        <v>52.333333333333336</v>
      </c>
      <c r="Y8" s="8">
        <f>_xlfn.NORM.DIST(Tablo17[[#This Row],[TOTAL GRADE]],$N$62,$O$62,FALSE)</f>
        <v>1.2920813010057618E-2</v>
      </c>
    </row>
    <row r="9" spans="2:25" ht="15.6" thickTop="1" thickBot="1" x14ac:dyDescent="0.35">
      <c r="B9" s="51">
        <v>5</v>
      </c>
      <c r="C9" s="14">
        <v>8</v>
      </c>
      <c r="D9" s="61" t="s">
        <v>110</v>
      </c>
      <c r="E9" s="61" t="s">
        <v>111</v>
      </c>
      <c r="F9" s="1">
        <v>1</v>
      </c>
      <c r="G9" s="1">
        <v>1</v>
      </c>
      <c r="H9" s="1">
        <v>15</v>
      </c>
      <c r="I9" s="1">
        <v>9</v>
      </c>
      <c r="J9" s="1">
        <v>6</v>
      </c>
      <c r="K9" s="1">
        <v>15</v>
      </c>
      <c r="L9" s="1">
        <v>8</v>
      </c>
      <c r="M9" s="12">
        <f>SUM(F9:L9)</f>
        <v>55</v>
      </c>
      <c r="N9" s="74" cm="1">
        <f t="array" ref="N9">Tablo17[[#This Row],[Q1]]/Tablo19[Q1]*$C$37+G9/Tablo19[Q2]*$D$37+H9/Tablo19[Q3]*$E$37+I9/Tablo19[Q4]*$F$37+J9/Tablo19[Q5]*$G$37+K9/Tablo19[Q6]*$H$37+L9/Tablo19[Q7]*$I$37</f>
        <v>11.5</v>
      </c>
      <c r="O9" s="74" cm="1">
        <f t="array" ref="O9">Tablo17[[#This Row],[Q1]]/Tablo19[Q1]*$C$38+G9/Tablo19[Q2]*$D$38+H9/Tablo19[Q3]*$E$38+I9/Tablo19[Q4]*$F$38+J9/Tablo19[Q5]*$G$38+K9/Tablo19[Q6]*$H$38+L9/Tablo19[Q7]*$I$38</f>
        <v>5.5</v>
      </c>
      <c r="P9" s="74" cm="1">
        <f t="array" ref="P9">Tablo17[[#This Row],[Q1]]/Tablo19[Q1]*$C$39+G9/Tablo19[Q2]*$D$39+H9/Tablo19[Q3]*$E$39+I9/Tablo19[Q4]*$F$39+J9/Tablo19[Q5]*$G$39+K9/Tablo19[Q6]*$H$39+L9/Tablo19[Q7]*$I$39</f>
        <v>2</v>
      </c>
      <c r="Q9" s="74" cm="1">
        <f t="array" ref="Q9">Tablo17[[#This Row],[Q1]]/Tablo19[Q1]*$C$40+G9/Tablo19[Q2]*$D$40+H9/Tablo19[Q3]*$E$40+I9/Tablo19[Q4]*$F$40+J9/Tablo19[Q5]*$G$40+K9/Tablo19[Q6]*$H$40+L9/Tablo19[Q7]*$I$40</f>
        <v>22.166666666666664</v>
      </c>
      <c r="R9" s="12" cm="1">
        <f t="array" ref="R9">Tablo17[[#This Row],[Q1]]/Tablo19[Q1]*$C$41+$G9/Tablo19[Q2]*$D$41+$H9/Tablo19[Q3]*$E$41+$I9/Tablo19[Q4]*$F$41+$J9/Tablo19[Q5]*$G$41+$K9/Tablo19[Q6]*$H$41+$L9/Tablo19[Q7]*$I$41</f>
        <v>0</v>
      </c>
      <c r="S9" s="12" cm="1">
        <f t="array" ref="S9">Tablo17[[#This Row],[Q1]]/Tablo19[Q1]*$C$42+$G9/Tablo19[Q2]*$D$42+$H9/Tablo19[Q3]*$E$42+$I9/Tablo19[Q4]*$F$42+$J9/Tablo19[Q5]*$G$42+$K9/Tablo19[Q6]*$H$42+$L9/Tablo19[Q7]*$I$42</f>
        <v>0</v>
      </c>
      <c r="T9" s="75" cm="1">
        <f t="array" ref="T9">Tablo17[[#This Row],[Q1]]/Tablo19[Q1]*$C$43+$G9/Tablo19[Q2]*$D$43+$H9/Tablo19[Q3]*$E$43+$I9/Tablo19[Q4]*$F$43+$J9/Tablo19[Q5]*$G$43+$K9/Tablo19[Q6]*$H$43+$L9/Tablo19[Q7]*$I$43</f>
        <v>0</v>
      </c>
      <c r="U9" s="76" cm="1">
        <f t="array" ref="U9">Tablo17[[#This Row],[Q1]]/Tablo19[Q1]*$C$44+$G9/Tablo19[Q2]*$D$44+$H9/Tablo19[Q3]*$E$44+$I9/Tablo19[Q4]*$F$44+$J9/Tablo19[Q5]*$G$44+$K9/Tablo19[Q6]*$H$44+$L9/Tablo19[Q7]*$I$44</f>
        <v>0</v>
      </c>
      <c r="V9" s="76" cm="1">
        <f t="array" ref="V9">Tablo17[[#This Row],[Q1]]/Tablo19[Q1]*$C$45+$G9/Tablo19[Q2]*$D$45+$H9/Tablo19[Q3]*$E$45+$I9/Tablo19[Q4]*$F$45+$J9/Tablo19[Q5]*$G$45+$K9/Tablo19[Q6]*$H$45+$L9/Tablo19[Q7]*$I$45</f>
        <v>0</v>
      </c>
      <c r="W9" s="76" cm="1">
        <f t="array" ref="W9">Tablo17[[#This Row],[Q1]]/Tablo19[Q1]*$C$46+$G9/Tablo19[Q2]*$D$46+$H9/Tablo19[Q3]*$E$46+$I9/Tablo19[Q4]*$F$46+$J9/Tablo19[Q5]*$G$46+$K9/Tablo19[Q6]*$H$46+$L9/Tablo19[Q7]*$I$46</f>
        <v>0</v>
      </c>
      <c r="X9" s="74">
        <f>SUM(N9:W9)</f>
        <v>41.166666666666664</v>
      </c>
      <c r="Y9" s="8">
        <f>_xlfn.NORM.DIST(Tablo17[[#This Row],[TOTAL GRADE]],$N$62,$O$62,FALSE)</f>
        <v>1.4472127755323558E-2</v>
      </c>
    </row>
    <row r="10" spans="2:25" ht="15.6" thickTop="1" thickBot="1" x14ac:dyDescent="0.35">
      <c r="B10" s="77">
        <v>6</v>
      </c>
      <c r="C10" s="14">
        <v>9</v>
      </c>
      <c r="D10" s="61" t="s">
        <v>110</v>
      </c>
      <c r="E10" s="61" t="s">
        <v>111</v>
      </c>
      <c r="F10" s="1">
        <v>1</v>
      </c>
      <c r="G10" s="1">
        <v>1</v>
      </c>
      <c r="H10" s="1">
        <v>9</v>
      </c>
      <c r="I10" s="1">
        <v>12</v>
      </c>
      <c r="J10" s="1">
        <v>8</v>
      </c>
      <c r="K10" s="1">
        <v>15</v>
      </c>
      <c r="L10" s="1">
        <v>7</v>
      </c>
      <c r="M10" s="12">
        <f>SUM(F10:L10)</f>
        <v>53</v>
      </c>
      <c r="N10" s="74" cm="1">
        <f t="array" ref="N10">Tablo17[[#This Row],[Q1]]/Tablo19[Q1]*$C$37+G10/Tablo19[Q2]*$D$37+H10/Tablo19[Q3]*$E$37+I10/Tablo19[Q4]*$F$37+J10/Tablo19[Q5]*$G$37+K10/Tablo19[Q6]*$H$37+L10/Tablo19[Q7]*$I$37</f>
        <v>9.1666666666666661</v>
      </c>
      <c r="O10" s="74" cm="1">
        <f t="array" ref="O10">Tablo17[[#This Row],[Q1]]/Tablo19[Q1]*$C$38+G10/Tablo19[Q2]*$D$38+H10/Tablo19[Q3]*$E$38+I10/Tablo19[Q4]*$F$38+J10/Tablo19[Q5]*$G$38+K10/Tablo19[Q6]*$H$38+L10/Tablo19[Q7]*$I$38</f>
        <v>5.5</v>
      </c>
      <c r="P10" s="74" cm="1">
        <f t="array" ref="P10">Tablo17[[#This Row],[Q1]]/Tablo19[Q1]*$C$39+G10/Tablo19[Q2]*$D$39+H10/Tablo19[Q3]*$E$39+I10/Tablo19[Q4]*$F$39+J10/Tablo19[Q5]*$G$39+K10/Tablo19[Q6]*$H$39+L10/Tablo19[Q7]*$I$39</f>
        <v>2.6666666666666665</v>
      </c>
      <c r="Q10" s="74" cm="1">
        <f t="array" ref="Q10">Tablo17[[#This Row],[Q1]]/Tablo19[Q1]*$C$40+G10/Tablo19[Q2]*$D$40+H10/Tablo19[Q3]*$E$40+I10/Tablo19[Q4]*$F$40+J10/Tablo19[Q5]*$G$40+K10/Tablo19[Q6]*$H$40+L10/Tablo19[Q7]*$I$40</f>
        <v>23</v>
      </c>
      <c r="R10" s="12" cm="1">
        <f t="array" ref="R10">Tablo17[[#This Row],[Q1]]/Tablo19[Q1]*$C$41+$G10/Tablo19[Q2]*$D$41+$H10/Tablo19[Q3]*$E$41+$I10/Tablo19[Q4]*$F$41+$J10/Tablo19[Q5]*$G$41+$K10/Tablo19[Q6]*$H$41+$L10/Tablo19[Q7]*$I$41</f>
        <v>0</v>
      </c>
      <c r="S10" s="12" cm="1">
        <f t="array" ref="S10">Tablo17[[#This Row],[Q1]]/Tablo19[Q1]*$C$42+$G10/Tablo19[Q2]*$D$42+$H10/Tablo19[Q3]*$E$42+$I10/Tablo19[Q4]*$F$42+$J10/Tablo19[Q5]*$G$42+$K10/Tablo19[Q6]*$H$42+$L10/Tablo19[Q7]*$I$42</f>
        <v>0</v>
      </c>
      <c r="T10" s="75" cm="1">
        <f t="array" ref="T10">Tablo17[[#This Row],[Q1]]/Tablo19[Q1]*$C$43+$G10/Tablo19[Q2]*$D$43+$H10/Tablo19[Q3]*$E$43+$I10/Tablo19[Q4]*$F$43+$J10/Tablo19[Q5]*$G$43+$K10/Tablo19[Q6]*$H$43+$L10/Tablo19[Q7]*$I$43</f>
        <v>0</v>
      </c>
      <c r="U10" s="76" cm="1">
        <f t="array" ref="U10">Tablo17[[#This Row],[Q1]]/Tablo19[Q1]*$C$44+$G10/Tablo19[Q2]*$D$44+$H10/Tablo19[Q3]*$E$44+$I10/Tablo19[Q4]*$F$44+$J10/Tablo19[Q5]*$G$44+$K10/Tablo19[Q6]*$H$44+$L10/Tablo19[Q7]*$I$44</f>
        <v>0</v>
      </c>
      <c r="V10" s="76" cm="1">
        <f t="array" ref="V10">Tablo17[[#This Row],[Q1]]/Tablo19[Q1]*$C$45+$G10/Tablo19[Q2]*$D$45+$H10/Tablo19[Q3]*$E$45+$I10/Tablo19[Q4]*$F$45+$J10/Tablo19[Q5]*$G$45+$K10/Tablo19[Q6]*$H$45+$L10/Tablo19[Q7]*$I$45</f>
        <v>0</v>
      </c>
      <c r="W10" s="76" cm="1">
        <f t="array" ref="W10">Tablo17[[#This Row],[Q1]]/Tablo19[Q1]*$C$46+$G10/Tablo19[Q2]*$D$46+$H10/Tablo19[Q3]*$E$46+$I10/Tablo19[Q4]*$F$46+$J10/Tablo19[Q5]*$G$46+$K10/Tablo19[Q6]*$H$46+$L10/Tablo19[Q7]*$I$46</f>
        <v>0</v>
      </c>
      <c r="X10" s="74">
        <f>SUM(N10:W10)</f>
        <v>40.333333333333329</v>
      </c>
      <c r="Y10" s="8">
        <f>_xlfn.NORM.DIST(Tablo17[[#This Row],[TOTAL GRADE]],$N$62,$O$62,FALSE)</f>
        <v>1.6002959497409274E-2</v>
      </c>
    </row>
    <row r="11" spans="2:25" ht="15.6" thickTop="1" thickBot="1" x14ac:dyDescent="0.35">
      <c r="B11" s="51">
        <v>7</v>
      </c>
      <c r="C11" s="14">
        <v>10</v>
      </c>
      <c r="D11" s="61" t="s">
        <v>110</v>
      </c>
      <c r="E11" s="61" t="s">
        <v>111</v>
      </c>
      <c r="F11" s="1">
        <v>0</v>
      </c>
      <c r="G11" s="1">
        <v>2</v>
      </c>
      <c r="H11" s="1">
        <v>17</v>
      </c>
      <c r="I11" s="1">
        <v>15</v>
      </c>
      <c r="J11" s="1">
        <v>10</v>
      </c>
      <c r="K11" s="1">
        <v>6</v>
      </c>
      <c r="L11" s="1">
        <v>0</v>
      </c>
      <c r="M11" s="12">
        <f>SUM(F11:L11)</f>
        <v>50</v>
      </c>
      <c r="N11" s="74" cm="1">
        <f t="array" ref="N11">Tablo17[[#This Row],[Q1]]/Tablo19[Q1]*$C$37+G11/Tablo19[Q2]*$D$37+H11/Tablo19[Q3]*$E$37+I11/Tablo19[Q4]*$F$37+J11/Tablo19[Q5]*$G$37+K11/Tablo19[Q6]*$H$37+L11/Tablo19[Q7]*$I$37</f>
        <v>13.833333333333332</v>
      </c>
      <c r="O11" s="74" cm="1">
        <f t="array" ref="O11">Tablo17[[#This Row],[Q1]]/Tablo19[Q1]*$C$38+G11/Tablo19[Q2]*$D$38+H11/Tablo19[Q3]*$E$38+I11/Tablo19[Q4]*$F$38+J11/Tablo19[Q5]*$G$38+K11/Tablo19[Q6]*$H$38+L11/Tablo19[Q7]*$I$38</f>
        <v>2</v>
      </c>
      <c r="P11" s="74" cm="1">
        <f t="array" ref="P11">Tablo17[[#This Row],[Q1]]/Tablo19[Q1]*$C$39+G11/Tablo19[Q2]*$D$39+H11/Tablo19[Q3]*$E$39+I11/Tablo19[Q4]*$F$39+J11/Tablo19[Q5]*$G$39+K11/Tablo19[Q6]*$H$39+L11/Tablo19[Q7]*$I$39</f>
        <v>3.333333333333333</v>
      </c>
      <c r="Q11" s="74" cm="1">
        <f t="array" ref="Q11">Tablo17[[#This Row],[Q1]]/Tablo19[Q1]*$C$40+G11/Tablo19[Q2]*$D$40+H11/Tablo19[Q3]*$E$40+I11/Tablo19[Q4]*$F$40+J11/Tablo19[Q5]*$G$40+K11/Tablo19[Q6]*$H$40+L11/Tablo19[Q7]*$I$40</f>
        <v>12.833333333333332</v>
      </c>
      <c r="R11" s="12" cm="1">
        <f t="array" ref="R11">Tablo17[[#This Row],[Q1]]/Tablo19[Q1]*$C$41+$G11/Tablo19[Q2]*$D$41+$H11/Tablo19[Q3]*$E$41+$I11/Tablo19[Q4]*$F$41+$J11/Tablo19[Q5]*$G$41+$K11/Tablo19[Q6]*$H$41+$L11/Tablo19[Q7]*$I$41</f>
        <v>0</v>
      </c>
      <c r="S11" s="12" cm="1">
        <f t="array" ref="S11">Tablo17[[#This Row],[Q1]]/Tablo19[Q1]*$C$42+$G11/Tablo19[Q2]*$D$42+$H11/Tablo19[Q3]*$E$42+$I11/Tablo19[Q4]*$F$42+$J11/Tablo19[Q5]*$G$42+$K11/Tablo19[Q6]*$H$42+$L11/Tablo19[Q7]*$I$42</f>
        <v>0</v>
      </c>
      <c r="T11" s="75" cm="1">
        <f t="array" ref="T11">Tablo17[[#This Row],[Q1]]/Tablo19[Q1]*$C$43+$G11/Tablo19[Q2]*$D$43+$H11/Tablo19[Q3]*$E$43+$I11/Tablo19[Q4]*$F$43+$J11/Tablo19[Q5]*$G$43+$K11/Tablo19[Q6]*$H$43+$L11/Tablo19[Q7]*$I$43</f>
        <v>0</v>
      </c>
      <c r="U11" s="76" cm="1">
        <f t="array" ref="U11">Tablo17[[#This Row],[Q1]]/Tablo19[Q1]*$C$44+$G11/Tablo19[Q2]*$D$44+$H11/Tablo19[Q3]*$E$44+$I11/Tablo19[Q4]*$F$44+$J11/Tablo19[Q5]*$G$44+$K11/Tablo19[Q6]*$H$44+$L11/Tablo19[Q7]*$I$44</f>
        <v>0</v>
      </c>
      <c r="V11" s="76" cm="1">
        <f t="array" ref="V11">Tablo17[[#This Row],[Q1]]/Tablo19[Q1]*$C$45+$G11/Tablo19[Q2]*$D$45+$H11/Tablo19[Q3]*$E$45+$I11/Tablo19[Q4]*$F$45+$J11/Tablo19[Q5]*$G$45+$K11/Tablo19[Q6]*$H$45+$L11/Tablo19[Q7]*$I$45</f>
        <v>0</v>
      </c>
      <c r="W11" s="76" cm="1">
        <f t="array" ref="W11">Tablo17[[#This Row],[Q1]]/Tablo19[Q1]*$C$46+$G11/Tablo19[Q2]*$D$46+$H11/Tablo19[Q3]*$E$46+$I11/Tablo19[Q4]*$F$46+$J11/Tablo19[Q5]*$G$46+$K11/Tablo19[Q6]*$H$46+$L11/Tablo19[Q7]*$I$46</f>
        <v>0</v>
      </c>
      <c r="X11" s="74">
        <f>SUM(N11:W11)</f>
        <v>31.999999999999996</v>
      </c>
      <c r="Y11" s="8">
        <f>_xlfn.NORM.DIST(Tablo17[[#This Row],[TOTAL GRADE]],$N$62,$O$62,FALSE)</f>
        <v>1.8165600393919911E-2</v>
      </c>
    </row>
    <row r="12" spans="2:25" ht="15.6" thickTop="1" thickBot="1" x14ac:dyDescent="0.35">
      <c r="B12" s="77">
        <v>8</v>
      </c>
      <c r="C12" s="14">
        <v>11</v>
      </c>
      <c r="D12" s="61" t="s">
        <v>110</v>
      </c>
      <c r="E12" s="61" t="s">
        <v>111</v>
      </c>
      <c r="F12" s="1">
        <v>0</v>
      </c>
      <c r="G12" s="1">
        <v>5</v>
      </c>
      <c r="H12" s="1">
        <v>8</v>
      </c>
      <c r="I12" s="1">
        <v>9</v>
      </c>
      <c r="J12" s="1">
        <v>8</v>
      </c>
      <c r="K12" s="1">
        <v>9</v>
      </c>
      <c r="L12" s="1">
        <v>11</v>
      </c>
      <c r="M12" s="12">
        <f>SUM(F12:L12)</f>
        <v>50</v>
      </c>
      <c r="N12" s="74" cm="1">
        <f t="array" ref="N12">Tablo17[[#This Row],[Q1]]/Tablo19[Q1]*$C$37+G12/Tablo19[Q2]*$D$37+H12/Tablo19[Q3]*$E$37+I12/Tablo19[Q4]*$F$37+J12/Tablo19[Q5]*$G$37+K12/Tablo19[Q6]*$H$37+L12/Tablo19[Q7]*$I$37</f>
        <v>11.666666666666666</v>
      </c>
      <c r="O12" s="74" cm="1">
        <f t="array" ref="O12">Tablo17[[#This Row],[Q1]]/Tablo19[Q1]*$C$38+G12/Tablo19[Q2]*$D$38+H12/Tablo19[Q3]*$E$38+I12/Tablo19[Q4]*$F$38+J12/Tablo19[Q5]*$G$38+K12/Tablo19[Q6]*$H$38+L12/Tablo19[Q7]*$I$38</f>
        <v>3</v>
      </c>
      <c r="P12" s="74" cm="1">
        <f t="array" ref="P12">Tablo17[[#This Row],[Q1]]/Tablo19[Q1]*$C$39+G12/Tablo19[Q2]*$D$39+H12/Tablo19[Q3]*$E$39+I12/Tablo19[Q4]*$F$39+J12/Tablo19[Q5]*$G$39+K12/Tablo19[Q6]*$H$39+L12/Tablo19[Q7]*$I$39</f>
        <v>2.6666666666666665</v>
      </c>
      <c r="Q12" s="74" cm="1">
        <f t="array" ref="Q12">Tablo17[[#This Row],[Q1]]/Tablo19[Q1]*$C$40+G12/Tablo19[Q2]*$D$40+H12/Tablo19[Q3]*$E$40+I12/Tablo19[Q4]*$F$40+J12/Tablo19[Q5]*$G$40+K12/Tablo19[Q6]*$H$40+L12/Tablo19[Q7]*$I$40</f>
        <v>24.833333333333332</v>
      </c>
      <c r="R12" s="12" cm="1">
        <f t="array" ref="R12">Tablo17[[#This Row],[Q1]]/Tablo19[Q1]*$C$41+$G12/Tablo19[Q2]*$D$41+$H12/Tablo19[Q3]*$E$41+$I12/Tablo19[Q4]*$F$41+$J12/Tablo19[Q5]*$G$41+$K12/Tablo19[Q6]*$H$41+$L12/Tablo19[Q7]*$I$41</f>
        <v>0</v>
      </c>
      <c r="S12" s="12" cm="1">
        <f t="array" ref="S12">Tablo17[[#This Row],[Q1]]/Tablo19[Q1]*$C$42+$G12/Tablo19[Q2]*$D$42+$H12/Tablo19[Q3]*$E$42+$I12/Tablo19[Q4]*$F$42+$J12/Tablo19[Q5]*$G$42+$K12/Tablo19[Q6]*$H$42+$L12/Tablo19[Q7]*$I$42</f>
        <v>0</v>
      </c>
      <c r="T12" s="75" cm="1">
        <f t="array" ref="T12">Tablo17[[#This Row],[Q1]]/Tablo19[Q1]*$C$43+$G12/Tablo19[Q2]*$D$43+$H12/Tablo19[Q3]*$E$43+$I12/Tablo19[Q4]*$F$43+$J12/Tablo19[Q5]*$G$43+$K12/Tablo19[Q6]*$H$43+$L12/Tablo19[Q7]*$I$43</f>
        <v>0</v>
      </c>
      <c r="U12" s="76" cm="1">
        <f t="array" ref="U12">Tablo17[[#This Row],[Q1]]/Tablo19[Q1]*$C$44+$G12/Tablo19[Q2]*$D$44+$H12/Tablo19[Q3]*$E$44+$I12/Tablo19[Q4]*$F$44+$J12/Tablo19[Q5]*$G$44+$K12/Tablo19[Q6]*$H$44+$L12/Tablo19[Q7]*$I$44</f>
        <v>0</v>
      </c>
      <c r="V12" s="76" cm="1">
        <f t="array" ref="V12">Tablo17[[#This Row],[Q1]]/Tablo19[Q1]*$C$45+$G12/Tablo19[Q2]*$D$45+$H12/Tablo19[Q3]*$E$45+$I12/Tablo19[Q4]*$F$45+$J12/Tablo19[Q5]*$G$45+$K12/Tablo19[Q6]*$H$45+$L12/Tablo19[Q7]*$I$45</f>
        <v>0</v>
      </c>
      <c r="W12" s="76" cm="1">
        <f t="array" ref="W12">Tablo17[[#This Row],[Q1]]/Tablo19[Q1]*$C$46+$G12/Tablo19[Q2]*$D$46+$H12/Tablo19[Q3]*$E$46+$I12/Tablo19[Q4]*$F$46+$J12/Tablo19[Q5]*$G$46+$K12/Tablo19[Q6]*$H$46+$L12/Tablo19[Q7]*$I$46</f>
        <v>0</v>
      </c>
      <c r="X12" s="74">
        <f>SUM(N12:W12)</f>
        <v>42.166666666666664</v>
      </c>
      <c r="Y12" s="8">
        <f>_xlfn.NORM.DIST(Tablo17[[#This Row],[TOTAL GRADE]],$N$62,$O$62,FALSE)</f>
        <v>1.8165600393919911E-2</v>
      </c>
    </row>
    <row r="13" spans="2:25" ht="15.6" thickTop="1" thickBot="1" x14ac:dyDescent="0.35">
      <c r="B13" s="51">
        <v>9</v>
      </c>
      <c r="C13" s="14">
        <v>12</v>
      </c>
      <c r="D13" s="61" t="s">
        <v>110</v>
      </c>
      <c r="E13" s="61" t="s">
        <v>111</v>
      </c>
      <c r="F13" s="1">
        <v>1</v>
      </c>
      <c r="G13" s="1">
        <v>1</v>
      </c>
      <c r="H13" s="1">
        <v>9</v>
      </c>
      <c r="I13" s="1">
        <v>10</v>
      </c>
      <c r="J13" s="1">
        <v>6</v>
      </c>
      <c r="K13" s="1">
        <v>10</v>
      </c>
      <c r="L13" s="1">
        <v>11</v>
      </c>
      <c r="M13" s="12">
        <f>SUM(F13:L13)</f>
        <v>48</v>
      </c>
      <c r="N13" s="74" cm="1">
        <f t="array" ref="N13">Tablo17[[#This Row],[Q1]]/Tablo19[Q1]*$C$37+G13/Tablo19[Q2]*$D$37+H13/Tablo19[Q3]*$E$37+I13/Tablo19[Q4]*$F$37+J13/Tablo19[Q5]*$G$37+K13/Tablo19[Q6]*$H$37+L13/Tablo19[Q7]*$I$37</f>
        <v>8.5</v>
      </c>
      <c r="O13" s="74" cm="1">
        <f t="array" ref="O13">Tablo17[[#This Row],[Q1]]/Tablo19[Q1]*$C$38+G13/Tablo19[Q2]*$D$38+H13/Tablo19[Q3]*$E$38+I13/Tablo19[Q4]*$F$38+J13/Tablo19[Q5]*$G$38+K13/Tablo19[Q6]*$H$38+L13/Tablo19[Q7]*$I$38</f>
        <v>3.833333333333333</v>
      </c>
      <c r="P13" s="74" cm="1">
        <f t="array" ref="P13">Tablo17[[#This Row],[Q1]]/Tablo19[Q1]*$C$39+G13/Tablo19[Q2]*$D$39+H13/Tablo19[Q3]*$E$39+I13/Tablo19[Q4]*$F$39+J13/Tablo19[Q5]*$G$39+K13/Tablo19[Q6]*$H$39+L13/Tablo19[Q7]*$I$39</f>
        <v>2</v>
      </c>
      <c r="Q13" s="74" cm="1">
        <f t="array" ref="Q13">Tablo17[[#This Row],[Q1]]/Tablo19[Q1]*$C$40+G13/Tablo19[Q2]*$D$40+H13/Tablo19[Q3]*$E$40+I13/Tablo19[Q4]*$F$40+J13/Tablo19[Q5]*$G$40+K13/Tablo19[Q6]*$H$40+L13/Tablo19[Q7]*$I$40</f>
        <v>25</v>
      </c>
      <c r="R13" s="12" cm="1">
        <f t="array" ref="R13">Tablo17[[#This Row],[Q1]]/Tablo19[Q1]*$C$41+$G13/Tablo19[Q2]*$D$41+$H13/Tablo19[Q3]*$E$41+$I13/Tablo19[Q4]*$F$41+$J13/Tablo19[Q5]*$G$41+$K13/Tablo19[Q6]*$H$41+$L13/Tablo19[Q7]*$I$41</f>
        <v>0</v>
      </c>
      <c r="S13" s="12" cm="1">
        <f t="array" ref="S13">Tablo17[[#This Row],[Q1]]/Tablo19[Q1]*$C$42+$G13/Tablo19[Q2]*$D$42+$H13/Tablo19[Q3]*$E$42+$I13/Tablo19[Q4]*$F$42+$J13/Tablo19[Q5]*$G$42+$K13/Tablo19[Q6]*$H$42+$L13/Tablo19[Q7]*$I$42</f>
        <v>0</v>
      </c>
      <c r="T13" s="75" cm="1">
        <f t="array" ref="T13">Tablo17[[#This Row],[Q1]]/Tablo19[Q1]*$C$43+$G13/Tablo19[Q2]*$D$43+$H13/Tablo19[Q3]*$E$43+$I13/Tablo19[Q4]*$F$43+$J13/Tablo19[Q5]*$G$43+$K13/Tablo19[Q6]*$H$43+$L13/Tablo19[Q7]*$I$43</f>
        <v>0</v>
      </c>
      <c r="U13" s="76" cm="1">
        <f t="array" ref="U13">Tablo17[[#This Row],[Q1]]/Tablo19[Q1]*$C$44+$G13/Tablo19[Q2]*$D$44+$H13/Tablo19[Q3]*$E$44+$I13/Tablo19[Q4]*$F$44+$J13/Tablo19[Q5]*$G$44+$K13/Tablo19[Q6]*$H$44+$L13/Tablo19[Q7]*$I$44</f>
        <v>0</v>
      </c>
      <c r="V13" s="76" cm="1">
        <f t="array" ref="V13">Tablo17[[#This Row],[Q1]]/Tablo19[Q1]*$C$45+$G13/Tablo19[Q2]*$D$45+$H13/Tablo19[Q3]*$E$45+$I13/Tablo19[Q4]*$F$45+$J13/Tablo19[Q5]*$G$45+$K13/Tablo19[Q6]*$H$45+$L13/Tablo19[Q7]*$I$45</f>
        <v>0</v>
      </c>
      <c r="W13" s="76" cm="1">
        <f t="array" ref="W13">Tablo17[[#This Row],[Q1]]/Tablo19[Q1]*$C$46+$G13/Tablo19[Q2]*$D$46+$H13/Tablo19[Q3]*$E$46+$I13/Tablo19[Q4]*$F$46+$J13/Tablo19[Q5]*$G$46+$K13/Tablo19[Q6]*$H$46+$L13/Tablo19[Q7]*$I$46</f>
        <v>0</v>
      </c>
      <c r="X13" s="74">
        <f>SUM(N13:W13)</f>
        <v>39.333333333333329</v>
      </c>
      <c r="Y13" s="8">
        <f>_xlfn.NORM.DIST(Tablo17[[#This Row],[TOTAL GRADE]],$N$62,$O$62,FALSE)</f>
        <v>1.9452754462471328E-2</v>
      </c>
    </row>
    <row r="14" spans="2:25" ht="15.6" thickTop="1" thickBot="1" x14ac:dyDescent="0.35">
      <c r="B14" s="77">
        <v>10</v>
      </c>
      <c r="C14" s="14">
        <v>13</v>
      </c>
      <c r="D14" s="61" t="s">
        <v>110</v>
      </c>
      <c r="E14" s="61" t="s">
        <v>111</v>
      </c>
      <c r="F14" s="1">
        <v>6</v>
      </c>
      <c r="G14" s="1">
        <v>2</v>
      </c>
      <c r="H14" s="1">
        <v>0</v>
      </c>
      <c r="I14" s="1">
        <v>16</v>
      </c>
      <c r="J14" s="1">
        <v>11</v>
      </c>
      <c r="K14" s="1">
        <v>4</v>
      </c>
      <c r="L14" s="1">
        <v>9</v>
      </c>
      <c r="M14" s="12">
        <f>SUM(F14:L14)</f>
        <v>48</v>
      </c>
      <c r="N14" s="74" cm="1">
        <f t="array" ref="N14">Tablo17[[#This Row],[Q1]]/Tablo19[Q1]*$C$37+G14/Tablo19[Q2]*$D$37+H14/Tablo19[Q3]*$E$37+I14/Tablo19[Q4]*$F$37+J14/Tablo19[Q5]*$G$37+K14/Tablo19[Q6]*$H$37+L14/Tablo19[Q7]*$I$37</f>
        <v>11.666666666666666</v>
      </c>
      <c r="O14" s="74" cm="1">
        <f t="array" ref="O14">Tablo17[[#This Row],[Q1]]/Tablo19[Q1]*$C$38+G14/Tablo19[Q2]*$D$38+H14/Tablo19[Q3]*$E$38+I14/Tablo19[Q4]*$F$38+J14/Tablo19[Q5]*$G$38+K14/Tablo19[Q6]*$H$38+L14/Tablo19[Q7]*$I$38</f>
        <v>4.333333333333333</v>
      </c>
      <c r="P14" s="74" cm="1">
        <f t="array" ref="P14">Tablo17[[#This Row],[Q1]]/Tablo19[Q1]*$C$39+G14/Tablo19[Q2]*$D$39+H14/Tablo19[Q3]*$E$39+I14/Tablo19[Q4]*$F$39+J14/Tablo19[Q5]*$G$39+K14/Tablo19[Q6]*$H$39+L14/Tablo19[Q7]*$I$39</f>
        <v>3.6666666666666665</v>
      </c>
      <c r="Q14" s="74" cm="1">
        <f t="array" ref="Q14">Tablo17[[#This Row],[Q1]]/Tablo19[Q1]*$C$40+G14/Tablo19[Q2]*$D$40+H14/Tablo19[Q3]*$E$40+I14/Tablo19[Q4]*$F$40+J14/Tablo19[Q5]*$G$40+K14/Tablo19[Q6]*$H$40+L14/Tablo19[Q7]*$I$40</f>
        <v>25</v>
      </c>
      <c r="R14" s="12" cm="1">
        <f t="array" ref="R14">Tablo17[[#This Row],[Q1]]/Tablo19[Q1]*$C$41+$G14/Tablo19[Q2]*$D$41+$H14/Tablo19[Q3]*$E$41+$I14/Tablo19[Q4]*$F$41+$J14/Tablo19[Q5]*$G$41+$K14/Tablo19[Q6]*$H$41+$L14/Tablo19[Q7]*$I$41</f>
        <v>0</v>
      </c>
      <c r="S14" s="12" cm="1">
        <f t="array" ref="S14">Tablo17[[#This Row],[Q1]]/Tablo19[Q1]*$C$42+$G14/Tablo19[Q2]*$D$42+$H14/Tablo19[Q3]*$E$42+$I14/Tablo19[Q4]*$F$42+$J14/Tablo19[Q5]*$G$42+$K14/Tablo19[Q6]*$H$42+$L14/Tablo19[Q7]*$I$42</f>
        <v>0</v>
      </c>
      <c r="T14" s="75" cm="1">
        <f t="array" ref="T14">Tablo17[[#This Row],[Q1]]/Tablo19[Q1]*$C$43+$G14/Tablo19[Q2]*$D$43+$H14/Tablo19[Q3]*$E$43+$I14/Tablo19[Q4]*$F$43+$J14/Tablo19[Q5]*$G$43+$K14/Tablo19[Q6]*$H$43+$L14/Tablo19[Q7]*$I$43</f>
        <v>0</v>
      </c>
      <c r="U14" s="76" cm="1">
        <f t="array" ref="U14">Tablo17[[#This Row],[Q1]]/Tablo19[Q1]*$C$44+$G14/Tablo19[Q2]*$D$44+$H14/Tablo19[Q3]*$E$44+$I14/Tablo19[Q4]*$F$44+$J14/Tablo19[Q5]*$G$44+$K14/Tablo19[Q6]*$H$44+$L14/Tablo19[Q7]*$I$44</f>
        <v>0</v>
      </c>
      <c r="V14" s="76" cm="1">
        <f t="array" ref="V14">Tablo17[[#This Row],[Q1]]/Tablo19[Q1]*$C$45+$G14/Tablo19[Q2]*$D$45+$H14/Tablo19[Q3]*$E$45+$I14/Tablo19[Q4]*$F$45+$J14/Tablo19[Q5]*$G$45+$K14/Tablo19[Q6]*$H$45+$L14/Tablo19[Q7]*$I$45</f>
        <v>0</v>
      </c>
      <c r="W14" s="76" cm="1">
        <f t="array" ref="W14">Tablo17[[#This Row],[Q1]]/Tablo19[Q1]*$C$46+$G14/Tablo19[Q2]*$D$46+$H14/Tablo19[Q3]*$E$46+$I14/Tablo19[Q4]*$F$46+$J14/Tablo19[Q5]*$G$46+$K14/Tablo19[Q6]*$H$46+$L14/Tablo19[Q7]*$I$46</f>
        <v>0</v>
      </c>
      <c r="X14" s="74">
        <f>SUM(N14:W14)</f>
        <v>44.666666666666671</v>
      </c>
      <c r="Y14" s="8">
        <f>_xlfn.NORM.DIST(Tablo17[[#This Row],[TOTAL GRADE]],$N$62,$O$62,FALSE)</f>
        <v>1.9452754462471328E-2</v>
      </c>
    </row>
    <row r="15" spans="2:25" ht="15.6" thickTop="1" thickBot="1" x14ac:dyDescent="0.35">
      <c r="B15" s="51">
        <v>11</v>
      </c>
      <c r="C15" s="14">
        <v>14</v>
      </c>
      <c r="D15" s="61" t="s">
        <v>110</v>
      </c>
      <c r="E15" s="61" t="s">
        <v>111</v>
      </c>
      <c r="F15" s="1">
        <v>3</v>
      </c>
      <c r="G15" s="1">
        <v>1</v>
      </c>
      <c r="H15" s="1">
        <v>1</v>
      </c>
      <c r="I15" s="1">
        <v>14</v>
      </c>
      <c r="J15" s="1">
        <v>9</v>
      </c>
      <c r="K15" s="1">
        <v>10</v>
      </c>
      <c r="L15" s="1">
        <v>9</v>
      </c>
      <c r="M15" s="12">
        <f>SUM(F15:L15)</f>
        <v>47</v>
      </c>
      <c r="N15" s="74" cm="1">
        <f t="array" ref="N15">Tablo17[[#This Row],[Q1]]/Tablo19[Q1]*$C$37+G15/Tablo19[Q2]*$D$37+H15/Tablo19[Q3]*$E$37+I15/Tablo19[Q4]*$F$37+J15/Tablo19[Q5]*$G$37+K15/Tablo19[Q6]*$H$37+L15/Tablo19[Q7]*$I$37</f>
        <v>7.5</v>
      </c>
      <c r="O15" s="74" cm="1">
        <f t="array" ref="O15">Tablo17[[#This Row],[Q1]]/Tablo19[Q1]*$C$38+G15/Tablo19[Q2]*$D$38+H15/Tablo19[Q3]*$E$38+I15/Tablo19[Q4]*$F$38+J15/Tablo19[Q5]*$G$38+K15/Tablo19[Q6]*$H$38+L15/Tablo19[Q7]*$I$38</f>
        <v>4.833333333333333</v>
      </c>
      <c r="P15" s="74" cm="1">
        <f t="array" ref="P15">Tablo17[[#This Row],[Q1]]/Tablo19[Q1]*$C$39+G15/Tablo19[Q2]*$D$39+H15/Tablo19[Q3]*$E$39+I15/Tablo19[Q4]*$F$39+J15/Tablo19[Q5]*$G$39+K15/Tablo19[Q6]*$H$39+L15/Tablo19[Q7]*$I$39</f>
        <v>3</v>
      </c>
      <c r="Q15" s="74" cm="1">
        <f t="array" ref="Q15">Tablo17[[#This Row],[Q1]]/Tablo19[Q1]*$C$40+G15/Tablo19[Q2]*$D$40+H15/Tablo19[Q3]*$E$40+I15/Tablo19[Q4]*$F$40+J15/Tablo19[Q5]*$G$40+K15/Tablo19[Q6]*$H$40+L15/Tablo19[Q7]*$I$40</f>
        <v>25.333333333333332</v>
      </c>
      <c r="R15" s="12" cm="1">
        <f t="array" ref="R15">Tablo17[[#This Row],[Q1]]/Tablo19[Q1]*$C$41+$G15/Tablo19[Q2]*$D$41+$H15/Tablo19[Q3]*$E$41+$I15/Tablo19[Q4]*$F$41+$J15/Tablo19[Q5]*$G$41+$K15/Tablo19[Q6]*$H$41+$L15/Tablo19[Q7]*$I$41</f>
        <v>0</v>
      </c>
      <c r="S15" s="12" cm="1">
        <f t="array" ref="S15">Tablo17[[#This Row],[Q1]]/Tablo19[Q1]*$C$42+$G15/Tablo19[Q2]*$D$42+$H15/Tablo19[Q3]*$E$42+$I15/Tablo19[Q4]*$F$42+$J15/Tablo19[Q5]*$G$42+$K15/Tablo19[Q6]*$H$42+$L15/Tablo19[Q7]*$I$42</f>
        <v>0</v>
      </c>
      <c r="T15" s="75" cm="1">
        <f t="array" ref="T15">Tablo17[[#This Row],[Q1]]/Tablo19[Q1]*$C$43+$G15/Tablo19[Q2]*$D$43+$H15/Tablo19[Q3]*$E$43+$I15/Tablo19[Q4]*$F$43+$J15/Tablo19[Q5]*$G$43+$K15/Tablo19[Q6]*$H$43+$L15/Tablo19[Q7]*$I$43</f>
        <v>0</v>
      </c>
      <c r="U15" s="76" cm="1">
        <f t="array" ref="U15">Tablo17[[#This Row],[Q1]]/Tablo19[Q1]*$C$44+$G15/Tablo19[Q2]*$D$44+$H15/Tablo19[Q3]*$E$44+$I15/Tablo19[Q4]*$F$44+$J15/Tablo19[Q5]*$G$44+$K15/Tablo19[Q6]*$H$44+$L15/Tablo19[Q7]*$I$44</f>
        <v>0</v>
      </c>
      <c r="V15" s="76" cm="1">
        <f t="array" ref="V15">Tablo17[[#This Row],[Q1]]/Tablo19[Q1]*$C$45+$G15/Tablo19[Q2]*$D$45+$H15/Tablo19[Q3]*$E$45+$I15/Tablo19[Q4]*$F$45+$J15/Tablo19[Q5]*$G$45+$K15/Tablo19[Q6]*$H$45+$L15/Tablo19[Q7]*$I$45</f>
        <v>0</v>
      </c>
      <c r="W15" s="76" cm="1">
        <f t="array" ref="W15">Tablo17[[#This Row],[Q1]]/Tablo19[Q1]*$C$46+$G15/Tablo19[Q2]*$D$46+$H15/Tablo19[Q3]*$E$46+$I15/Tablo19[Q4]*$F$46+$J15/Tablo19[Q5]*$G$46+$K15/Tablo19[Q6]*$H$46+$L15/Tablo19[Q7]*$I$46</f>
        <v>0</v>
      </c>
      <c r="X15" s="74">
        <f>SUM(N15:W15)</f>
        <v>40.666666666666664</v>
      </c>
      <c r="Y15" s="8">
        <f>_xlfn.NORM.DIST(Tablo17[[#This Row],[TOTAL GRADE]],$N$62,$O$62,FALSE)</f>
        <v>2.0033475255327726E-2</v>
      </c>
    </row>
    <row r="16" spans="2:25" ht="15.6" thickTop="1" thickBot="1" x14ac:dyDescent="0.35">
      <c r="B16" s="77">
        <v>12</v>
      </c>
      <c r="C16" s="14">
        <v>15</v>
      </c>
      <c r="D16" s="61" t="s">
        <v>110</v>
      </c>
      <c r="E16" s="61" t="s">
        <v>111</v>
      </c>
      <c r="F16" s="1">
        <v>2</v>
      </c>
      <c r="G16" s="1">
        <v>1</v>
      </c>
      <c r="H16" s="1">
        <v>14</v>
      </c>
      <c r="I16" s="1">
        <v>12</v>
      </c>
      <c r="J16" s="1">
        <v>6</v>
      </c>
      <c r="K16" s="1">
        <v>5</v>
      </c>
      <c r="L16" s="1">
        <v>4</v>
      </c>
      <c r="M16" s="12">
        <f>SUM(F16:L16)</f>
        <v>44</v>
      </c>
      <c r="N16" s="74" cm="1">
        <f t="array" ref="N16">Tablo17[[#This Row],[Q1]]/Tablo19[Q1]*$C$37+G16/Tablo19[Q2]*$D$37+H16/Tablo19[Q3]*$E$37+I16/Tablo19[Q4]*$F$37+J16/Tablo19[Q5]*$G$37+K16/Tablo19[Q6]*$H$37+L16/Tablo19[Q7]*$I$37</f>
        <v>12</v>
      </c>
      <c r="O16" s="74" cm="1">
        <f t="array" ref="O16">Tablo17[[#This Row],[Q1]]/Tablo19[Q1]*$C$38+G16/Tablo19[Q2]*$D$38+H16/Tablo19[Q3]*$E$38+I16/Tablo19[Q4]*$F$38+J16/Tablo19[Q5]*$G$38+K16/Tablo19[Q6]*$H$38+L16/Tablo19[Q7]*$I$38</f>
        <v>2.6666666666666665</v>
      </c>
      <c r="P16" s="74" cm="1">
        <f t="array" ref="P16">Tablo17[[#This Row],[Q1]]/Tablo19[Q1]*$C$39+G16/Tablo19[Q2]*$D$39+H16/Tablo19[Q3]*$E$39+I16/Tablo19[Q4]*$F$39+J16/Tablo19[Q5]*$G$39+K16/Tablo19[Q6]*$H$39+L16/Tablo19[Q7]*$I$39</f>
        <v>2</v>
      </c>
      <c r="Q16" s="74" cm="1">
        <f t="array" ref="Q16">Tablo17[[#This Row],[Q1]]/Tablo19[Q1]*$C$40+G16/Tablo19[Q2]*$D$40+H16/Tablo19[Q3]*$E$40+I16/Tablo19[Q4]*$F$40+J16/Tablo19[Q5]*$G$40+K16/Tablo19[Q6]*$H$40+L16/Tablo19[Q7]*$I$40</f>
        <v>15</v>
      </c>
      <c r="R16" s="12" cm="1">
        <f t="array" ref="R16">Tablo17[[#This Row],[Q1]]/Tablo19[Q1]*$C$41+$G16/Tablo19[Q2]*$D$41+$H16/Tablo19[Q3]*$E$41+$I16/Tablo19[Q4]*$F$41+$J16/Tablo19[Q5]*$G$41+$K16/Tablo19[Q6]*$H$41+$L16/Tablo19[Q7]*$I$41</f>
        <v>0</v>
      </c>
      <c r="S16" s="12" cm="1">
        <f t="array" ref="S16">Tablo17[[#This Row],[Q1]]/Tablo19[Q1]*$C$42+$G16/Tablo19[Q2]*$D$42+$H16/Tablo19[Q3]*$E$42+$I16/Tablo19[Q4]*$F$42+$J16/Tablo19[Q5]*$G$42+$K16/Tablo19[Q6]*$H$42+$L16/Tablo19[Q7]*$I$42</f>
        <v>0</v>
      </c>
      <c r="T16" s="75" cm="1">
        <f t="array" ref="T16">Tablo17[[#This Row],[Q1]]/Tablo19[Q1]*$C$43+$G16/Tablo19[Q2]*$D$43+$H16/Tablo19[Q3]*$E$43+$I16/Tablo19[Q4]*$F$43+$J16/Tablo19[Q5]*$G$43+$K16/Tablo19[Q6]*$H$43+$L16/Tablo19[Q7]*$I$43</f>
        <v>0</v>
      </c>
      <c r="U16" s="76" cm="1">
        <f t="array" ref="U16">Tablo17[[#This Row],[Q1]]/Tablo19[Q1]*$C$44+$G16/Tablo19[Q2]*$D$44+$H16/Tablo19[Q3]*$E$44+$I16/Tablo19[Q4]*$F$44+$J16/Tablo19[Q5]*$G$44+$K16/Tablo19[Q6]*$H$44+$L16/Tablo19[Q7]*$I$44</f>
        <v>0</v>
      </c>
      <c r="V16" s="76" cm="1">
        <f t="array" ref="V16">Tablo17[[#This Row],[Q1]]/Tablo19[Q1]*$C$45+$G16/Tablo19[Q2]*$D$45+$H16/Tablo19[Q3]*$E$45+$I16/Tablo19[Q4]*$F$45+$J16/Tablo19[Q5]*$G$45+$K16/Tablo19[Q6]*$H$45+$L16/Tablo19[Q7]*$I$45</f>
        <v>0</v>
      </c>
      <c r="W16" s="76" cm="1">
        <f t="array" ref="W16">Tablo17[[#This Row],[Q1]]/Tablo19[Q1]*$C$46+$G16/Tablo19[Q2]*$D$46+$H16/Tablo19[Q3]*$E$46+$I16/Tablo19[Q4]*$F$46+$J16/Tablo19[Q5]*$G$46+$K16/Tablo19[Q6]*$H$46+$L16/Tablo19[Q7]*$I$46</f>
        <v>0</v>
      </c>
      <c r="X16" s="74">
        <f>SUM(N16:W16)</f>
        <v>31.666666666666664</v>
      </c>
      <c r="Y16" s="8">
        <f>_xlfn.NORM.DIST(Tablo17[[#This Row],[TOTAL GRADE]],$N$62,$O$62,FALSE)</f>
        <v>2.1464457615725289E-2</v>
      </c>
    </row>
    <row r="17" spans="2:25" ht="15.6" thickTop="1" thickBot="1" x14ac:dyDescent="0.35">
      <c r="B17" s="51">
        <v>13</v>
      </c>
      <c r="C17" s="14">
        <v>16</v>
      </c>
      <c r="D17" s="61" t="s">
        <v>110</v>
      </c>
      <c r="E17" s="61" t="s">
        <v>111</v>
      </c>
      <c r="F17" s="1">
        <v>0</v>
      </c>
      <c r="G17" s="1">
        <v>1</v>
      </c>
      <c r="H17" s="1">
        <v>14</v>
      </c>
      <c r="I17" s="1">
        <v>3</v>
      </c>
      <c r="J17" s="1">
        <v>5</v>
      </c>
      <c r="K17" s="1">
        <v>11</v>
      </c>
      <c r="L17" s="1">
        <v>9</v>
      </c>
      <c r="M17" s="12">
        <f>SUM(F17:L17)</f>
        <v>43</v>
      </c>
      <c r="N17" s="74" cm="1">
        <f t="array" ref="N17">Tablo17[[#This Row],[Q1]]/Tablo19[Q1]*$C$37+G17/Tablo19[Q2]*$D$37+H17/Tablo19[Q3]*$E$37+I17/Tablo19[Q4]*$F$37+J17/Tablo19[Q5]*$G$37+K17/Tablo19[Q6]*$H$37+L17/Tablo19[Q7]*$I$37</f>
        <v>9.6666666666666661</v>
      </c>
      <c r="O17" s="74" cm="1">
        <f t="array" ref="O17">Tablo17[[#This Row],[Q1]]/Tablo19[Q1]*$C$38+G17/Tablo19[Q2]*$D$38+H17/Tablo19[Q3]*$E$38+I17/Tablo19[Q4]*$F$38+J17/Tablo19[Q5]*$G$38+K17/Tablo19[Q6]*$H$38+L17/Tablo19[Q7]*$I$38</f>
        <v>3.6666666666666665</v>
      </c>
      <c r="P17" s="74" cm="1">
        <f t="array" ref="P17">Tablo17[[#This Row],[Q1]]/Tablo19[Q1]*$C$39+G17/Tablo19[Q2]*$D$39+H17/Tablo19[Q3]*$E$39+I17/Tablo19[Q4]*$F$39+J17/Tablo19[Q5]*$G$39+K17/Tablo19[Q6]*$H$39+L17/Tablo19[Q7]*$I$39</f>
        <v>1.6666666666666665</v>
      </c>
      <c r="Q17" s="74" cm="1">
        <f t="array" ref="Q17">Tablo17[[#This Row],[Q1]]/Tablo19[Q1]*$C$40+G17/Tablo19[Q2]*$D$40+H17/Tablo19[Q3]*$E$40+I17/Tablo19[Q4]*$F$40+J17/Tablo19[Q5]*$G$40+K17/Tablo19[Q6]*$H$40+L17/Tablo19[Q7]*$I$40</f>
        <v>18.833333333333332</v>
      </c>
      <c r="R17" s="12" cm="1">
        <f t="array" ref="R17">Tablo17[[#This Row],[Q1]]/Tablo19[Q1]*$C$41+$G17/Tablo19[Q2]*$D$41+$H17/Tablo19[Q3]*$E$41+$I17/Tablo19[Q4]*$F$41+$J17/Tablo19[Q5]*$G$41+$K17/Tablo19[Q6]*$H$41+$L17/Tablo19[Q7]*$I$41</f>
        <v>0</v>
      </c>
      <c r="S17" s="12" cm="1">
        <f t="array" ref="S17">Tablo17[[#This Row],[Q1]]/Tablo19[Q1]*$C$42+$G17/Tablo19[Q2]*$D$42+$H17/Tablo19[Q3]*$E$42+$I17/Tablo19[Q4]*$F$42+$J17/Tablo19[Q5]*$G$42+$K17/Tablo19[Q6]*$H$42+$L17/Tablo19[Q7]*$I$42</f>
        <v>0</v>
      </c>
      <c r="T17" s="75" cm="1">
        <f t="array" ref="T17">Tablo17[[#This Row],[Q1]]/Tablo19[Q1]*$C$43+$G17/Tablo19[Q2]*$D$43+$H17/Tablo19[Q3]*$E$43+$I17/Tablo19[Q4]*$F$43+$J17/Tablo19[Q5]*$G$43+$K17/Tablo19[Q6]*$H$43+$L17/Tablo19[Q7]*$I$43</f>
        <v>0</v>
      </c>
      <c r="U17" s="76" cm="1">
        <f t="array" ref="U17">Tablo17[[#This Row],[Q1]]/Tablo19[Q1]*$C$44+$G17/Tablo19[Q2]*$D$44+$H17/Tablo19[Q3]*$E$44+$I17/Tablo19[Q4]*$F$44+$J17/Tablo19[Q5]*$G$44+$K17/Tablo19[Q6]*$H$44+$L17/Tablo19[Q7]*$I$44</f>
        <v>0</v>
      </c>
      <c r="V17" s="76" cm="1">
        <f t="array" ref="V17">Tablo17[[#This Row],[Q1]]/Tablo19[Q1]*$C$45+$G17/Tablo19[Q2]*$D$45+$H17/Tablo19[Q3]*$E$45+$I17/Tablo19[Q4]*$F$45+$J17/Tablo19[Q5]*$G$45+$K17/Tablo19[Q6]*$H$45+$L17/Tablo19[Q7]*$I$45</f>
        <v>0</v>
      </c>
      <c r="W17" s="76" cm="1">
        <f t="array" ref="W17">Tablo17[[#This Row],[Q1]]/Tablo19[Q1]*$C$46+$G17/Tablo19[Q2]*$D$46+$H17/Tablo19[Q3]*$E$46+$I17/Tablo19[Q4]*$F$46+$J17/Tablo19[Q5]*$G$46+$K17/Tablo19[Q6]*$H$46+$L17/Tablo19[Q7]*$I$46</f>
        <v>0</v>
      </c>
      <c r="X17" s="74">
        <f>SUM(N17:W17)</f>
        <v>33.833333333333329</v>
      </c>
      <c r="Y17" s="8">
        <f>_xlfn.NORM.DIST(Tablo17[[#This Row],[TOTAL GRADE]],$N$62,$O$62,FALSE)</f>
        <v>2.1823302861544693E-2</v>
      </c>
    </row>
    <row r="18" spans="2:25" ht="15.6" thickTop="1" thickBot="1" x14ac:dyDescent="0.35">
      <c r="B18" s="77">
        <v>14</v>
      </c>
      <c r="C18" s="14">
        <v>17</v>
      </c>
      <c r="D18" s="61" t="s">
        <v>110</v>
      </c>
      <c r="E18" s="61" t="s">
        <v>111</v>
      </c>
      <c r="F18" s="1">
        <v>3</v>
      </c>
      <c r="G18" s="1">
        <v>4</v>
      </c>
      <c r="H18" s="1">
        <v>11</v>
      </c>
      <c r="I18" s="1">
        <v>10</v>
      </c>
      <c r="J18" s="1">
        <v>6</v>
      </c>
      <c r="K18" s="1">
        <v>2</v>
      </c>
      <c r="L18" s="1">
        <v>6</v>
      </c>
      <c r="M18" s="12">
        <f>SUM(F18:L18)</f>
        <v>42</v>
      </c>
      <c r="N18" s="74" cm="1">
        <f t="array" ref="N18">Tablo17[[#This Row],[Q1]]/Tablo19[Q1]*$C$37+G18/Tablo19[Q2]*$D$37+H18/Tablo19[Q3]*$E$37+I18/Tablo19[Q4]*$F$37+J18/Tablo19[Q5]*$G$37+K18/Tablo19[Q6]*$H$37+L18/Tablo19[Q7]*$I$37</f>
        <v>14.5</v>
      </c>
      <c r="O18" s="74" cm="1">
        <f t="array" ref="O18">Tablo17[[#This Row],[Q1]]/Tablo19[Q1]*$C$38+G18/Tablo19[Q2]*$D$38+H18/Tablo19[Q3]*$E$38+I18/Tablo19[Q4]*$F$38+J18/Tablo19[Q5]*$G$38+K18/Tablo19[Q6]*$H$38+L18/Tablo19[Q7]*$I$38</f>
        <v>2.1666666666666665</v>
      </c>
      <c r="P18" s="74" cm="1">
        <f t="array" ref="P18">Tablo17[[#This Row],[Q1]]/Tablo19[Q1]*$C$39+G18/Tablo19[Q2]*$D$39+H18/Tablo19[Q3]*$E$39+I18/Tablo19[Q4]*$F$39+J18/Tablo19[Q5]*$G$39+K18/Tablo19[Q6]*$H$39+L18/Tablo19[Q7]*$I$39</f>
        <v>2</v>
      </c>
      <c r="Q18" s="74" cm="1">
        <f t="array" ref="Q18">Tablo17[[#This Row],[Q1]]/Tablo19[Q1]*$C$40+G18/Tablo19[Q2]*$D$40+H18/Tablo19[Q3]*$E$40+I18/Tablo19[Q4]*$F$40+J18/Tablo19[Q5]*$G$40+K18/Tablo19[Q6]*$H$40+L18/Tablo19[Q7]*$I$40</f>
        <v>15.666666666666668</v>
      </c>
      <c r="R18" s="12" cm="1">
        <f t="array" ref="R18">Tablo17[[#This Row],[Q1]]/Tablo19[Q1]*$C$41+$G18/Tablo19[Q2]*$D$41+$H18/Tablo19[Q3]*$E$41+$I18/Tablo19[Q4]*$F$41+$J18/Tablo19[Q5]*$G$41+$K18/Tablo19[Q6]*$H$41+$L18/Tablo19[Q7]*$I$41</f>
        <v>0</v>
      </c>
      <c r="S18" s="12" cm="1">
        <f t="array" ref="S18">Tablo17[[#This Row],[Q1]]/Tablo19[Q1]*$C$42+$G18/Tablo19[Q2]*$D$42+$H18/Tablo19[Q3]*$E$42+$I18/Tablo19[Q4]*$F$42+$J18/Tablo19[Q5]*$G$42+$K18/Tablo19[Q6]*$H$42+$L18/Tablo19[Q7]*$I$42</f>
        <v>0</v>
      </c>
      <c r="T18" s="75" cm="1">
        <f t="array" ref="T18">Tablo17[[#This Row],[Q1]]/Tablo19[Q1]*$C$43+$G18/Tablo19[Q2]*$D$43+$H18/Tablo19[Q3]*$E$43+$I18/Tablo19[Q4]*$F$43+$J18/Tablo19[Q5]*$G$43+$K18/Tablo19[Q6]*$H$43+$L18/Tablo19[Q7]*$I$43</f>
        <v>0</v>
      </c>
      <c r="U18" s="76" cm="1">
        <f t="array" ref="U18">Tablo17[[#This Row],[Q1]]/Tablo19[Q1]*$C$44+$G18/Tablo19[Q2]*$D$44+$H18/Tablo19[Q3]*$E$44+$I18/Tablo19[Q4]*$F$44+$J18/Tablo19[Q5]*$G$44+$K18/Tablo19[Q6]*$H$44+$L18/Tablo19[Q7]*$I$44</f>
        <v>0</v>
      </c>
      <c r="V18" s="76" cm="1">
        <f t="array" ref="V18">Tablo17[[#This Row],[Q1]]/Tablo19[Q1]*$C$45+$G18/Tablo19[Q2]*$D$45+$H18/Tablo19[Q3]*$E$45+$I18/Tablo19[Q4]*$F$45+$J18/Tablo19[Q5]*$G$45+$K18/Tablo19[Q6]*$H$45+$L18/Tablo19[Q7]*$I$45</f>
        <v>0</v>
      </c>
      <c r="W18" s="76" cm="1">
        <f t="array" ref="W18">Tablo17[[#This Row],[Q1]]/Tablo19[Q1]*$C$46+$G18/Tablo19[Q2]*$D$46+$H18/Tablo19[Q3]*$E$46+$I18/Tablo19[Q4]*$F$46+$J18/Tablo19[Q5]*$G$46+$K18/Tablo19[Q6]*$H$46+$L18/Tablo19[Q7]*$I$46</f>
        <v>0</v>
      </c>
      <c r="X18" s="74">
        <f>SUM(N18:W18)</f>
        <v>34.333333333333336</v>
      </c>
      <c r="Y18" s="8">
        <f>_xlfn.NORM.DIST(Tablo17[[#This Row],[TOTAL GRADE]],$N$62,$O$62,FALSE)</f>
        <v>2.2117059375001101E-2</v>
      </c>
    </row>
    <row r="19" spans="2:25" ht="15.6" thickTop="1" thickBot="1" x14ac:dyDescent="0.35">
      <c r="B19" s="51">
        <v>15</v>
      </c>
      <c r="C19" s="14">
        <v>18</v>
      </c>
      <c r="D19" s="61" t="s">
        <v>110</v>
      </c>
      <c r="E19" s="61" t="s">
        <v>111</v>
      </c>
      <c r="F19" s="1">
        <v>0</v>
      </c>
      <c r="G19" s="1">
        <v>0</v>
      </c>
      <c r="H19" s="1">
        <v>7</v>
      </c>
      <c r="I19" s="1">
        <v>15</v>
      </c>
      <c r="J19" s="1">
        <v>6</v>
      </c>
      <c r="K19" s="1">
        <v>10</v>
      </c>
      <c r="L19" s="1">
        <v>4</v>
      </c>
      <c r="M19" s="12">
        <f>SUM(F19:L19)</f>
        <v>42</v>
      </c>
      <c r="N19" s="74" cm="1">
        <f t="array" ref="N19">Tablo17[[#This Row],[Q1]]/Tablo19[Q1]*$C$37+G19/Tablo19[Q2]*$D$37+H19/Tablo19[Q3]*$E$37+I19/Tablo19[Q4]*$F$37+J19/Tablo19[Q5]*$G$37+K19/Tablo19[Q6]*$H$37+L19/Tablo19[Q7]*$I$37</f>
        <v>5.5</v>
      </c>
      <c r="O19" s="74" cm="1">
        <f t="array" ref="O19">Tablo17[[#This Row],[Q1]]/Tablo19[Q1]*$C$38+G19/Tablo19[Q2]*$D$38+H19/Tablo19[Q3]*$E$38+I19/Tablo19[Q4]*$F$38+J19/Tablo19[Q5]*$G$38+K19/Tablo19[Q6]*$H$38+L19/Tablo19[Q7]*$I$38</f>
        <v>3.333333333333333</v>
      </c>
      <c r="P19" s="74" cm="1">
        <f t="array" ref="P19">Tablo17[[#This Row],[Q1]]/Tablo19[Q1]*$C$39+G19/Tablo19[Q2]*$D$39+H19/Tablo19[Q3]*$E$39+I19/Tablo19[Q4]*$F$39+J19/Tablo19[Q5]*$G$39+K19/Tablo19[Q6]*$H$39+L19/Tablo19[Q7]*$I$39</f>
        <v>2</v>
      </c>
      <c r="Q19" s="74" cm="1">
        <f t="array" ref="Q19">Tablo17[[#This Row],[Q1]]/Tablo19[Q1]*$C$40+G19/Tablo19[Q2]*$D$40+H19/Tablo19[Q3]*$E$40+I19/Tablo19[Q4]*$F$40+J19/Tablo19[Q5]*$G$40+K19/Tablo19[Q6]*$H$40+L19/Tablo19[Q7]*$I$40</f>
        <v>18.166666666666664</v>
      </c>
      <c r="R19" s="12" cm="1">
        <f t="array" ref="R19">Tablo17[[#This Row],[Q1]]/Tablo19[Q1]*$C$41+$G19/Tablo19[Q2]*$D$41+$H19/Tablo19[Q3]*$E$41+$I19/Tablo19[Q4]*$F$41+$J19/Tablo19[Q5]*$G$41+$K19/Tablo19[Q6]*$H$41+$L19/Tablo19[Q7]*$I$41</f>
        <v>0</v>
      </c>
      <c r="S19" s="12" cm="1">
        <f t="array" ref="S19">Tablo17[[#This Row],[Q1]]/Tablo19[Q1]*$C$42+$G19/Tablo19[Q2]*$D$42+$H19/Tablo19[Q3]*$E$42+$I19/Tablo19[Q4]*$F$42+$J19/Tablo19[Q5]*$G$42+$K19/Tablo19[Q6]*$H$42+$L19/Tablo19[Q7]*$I$42</f>
        <v>0</v>
      </c>
      <c r="T19" s="75" cm="1">
        <f t="array" ref="T19">Tablo17[[#This Row],[Q1]]/Tablo19[Q1]*$C$43+$G19/Tablo19[Q2]*$D$43+$H19/Tablo19[Q3]*$E$43+$I19/Tablo19[Q4]*$F$43+$J19/Tablo19[Q5]*$G$43+$K19/Tablo19[Q6]*$H$43+$L19/Tablo19[Q7]*$I$43</f>
        <v>0</v>
      </c>
      <c r="U19" s="76" cm="1">
        <f t="array" ref="U19">Tablo17[[#This Row],[Q1]]/Tablo19[Q1]*$C$44+$G19/Tablo19[Q2]*$D$44+$H19/Tablo19[Q3]*$E$44+$I19/Tablo19[Q4]*$F$44+$J19/Tablo19[Q5]*$G$44+$K19/Tablo19[Q6]*$H$44+$L19/Tablo19[Q7]*$I$44</f>
        <v>0</v>
      </c>
      <c r="V19" s="76" cm="1">
        <f t="array" ref="V19">Tablo17[[#This Row],[Q1]]/Tablo19[Q1]*$C$45+$G19/Tablo19[Q2]*$D$45+$H19/Tablo19[Q3]*$E$45+$I19/Tablo19[Q4]*$F$45+$J19/Tablo19[Q5]*$G$45+$K19/Tablo19[Q6]*$H$45+$L19/Tablo19[Q7]*$I$45</f>
        <v>0</v>
      </c>
      <c r="W19" s="76" cm="1">
        <f t="array" ref="W19">Tablo17[[#This Row],[Q1]]/Tablo19[Q1]*$C$46+$G19/Tablo19[Q2]*$D$46+$H19/Tablo19[Q3]*$E$46+$I19/Tablo19[Q4]*$F$46+$J19/Tablo19[Q5]*$G$46+$K19/Tablo19[Q6]*$H$46+$L19/Tablo19[Q7]*$I$46</f>
        <v>0</v>
      </c>
      <c r="X19" s="74">
        <f>SUM(N19:W19)</f>
        <v>28.999999999999996</v>
      </c>
      <c r="Y19" s="8">
        <f>_xlfn.NORM.DIST(Tablo17[[#This Row],[TOTAL GRADE]],$N$62,$O$62,FALSE)</f>
        <v>2.2117059375001101E-2</v>
      </c>
    </row>
    <row r="20" spans="2:25" ht="15.6" thickTop="1" thickBot="1" x14ac:dyDescent="0.35">
      <c r="B20" s="77">
        <v>16</v>
      </c>
      <c r="C20" s="14">
        <v>19</v>
      </c>
      <c r="D20" s="61" t="s">
        <v>110</v>
      </c>
      <c r="E20" s="61" t="s">
        <v>111</v>
      </c>
      <c r="F20" s="1">
        <v>1</v>
      </c>
      <c r="G20" s="1">
        <v>3</v>
      </c>
      <c r="H20" s="1">
        <v>12</v>
      </c>
      <c r="I20" s="1">
        <v>10</v>
      </c>
      <c r="J20" s="1">
        <v>8</v>
      </c>
      <c r="K20" s="1">
        <v>5</v>
      </c>
      <c r="L20" s="1">
        <v>1</v>
      </c>
      <c r="M20" s="12">
        <f>SUM(F20:L20)</f>
        <v>40</v>
      </c>
      <c r="N20" s="74" cm="1">
        <f t="array" ref="N20">Tablo17[[#This Row],[Q1]]/Tablo19[Q1]*$C$37+G20/Tablo19[Q2]*$D$37+H20/Tablo19[Q3]*$E$37+I20/Tablo19[Q4]*$F$37+J20/Tablo19[Q5]*$G$37+K20/Tablo19[Q6]*$H$37+L20/Tablo19[Q7]*$I$37</f>
        <v>12.666666666666666</v>
      </c>
      <c r="O20" s="74" cm="1">
        <f t="array" ref="O20">Tablo17[[#This Row],[Q1]]/Tablo19[Q1]*$C$38+G20/Tablo19[Q2]*$D$38+H20/Tablo19[Q3]*$E$38+I20/Tablo19[Q4]*$F$38+J20/Tablo19[Q5]*$G$38+K20/Tablo19[Q6]*$H$38+L20/Tablo19[Q7]*$I$38</f>
        <v>2.1666666666666665</v>
      </c>
      <c r="P20" s="74" cm="1">
        <f t="array" ref="P20">Tablo17[[#This Row],[Q1]]/Tablo19[Q1]*$C$39+G20/Tablo19[Q2]*$D$39+H20/Tablo19[Q3]*$E$39+I20/Tablo19[Q4]*$F$39+J20/Tablo19[Q5]*$G$39+K20/Tablo19[Q6]*$H$39+L20/Tablo19[Q7]*$I$39</f>
        <v>2.6666666666666665</v>
      </c>
      <c r="Q20" s="74" cm="1">
        <f t="array" ref="Q20">Tablo17[[#This Row],[Q1]]/Tablo19[Q1]*$C$40+G20/Tablo19[Q2]*$D$40+H20/Tablo19[Q3]*$E$40+I20/Tablo19[Q4]*$F$40+J20/Tablo19[Q5]*$G$40+K20/Tablo19[Q6]*$H$40+L20/Tablo19[Q7]*$I$40</f>
        <v>10.666666666666666</v>
      </c>
      <c r="R20" s="12" cm="1">
        <f t="array" ref="R20">Tablo17[[#This Row],[Q1]]/Tablo19[Q1]*$C$41+$G20/Tablo19[Q2]*$D$41+$H20/Tablo19[Q3]*$E$41+$I20/Tablo19[Q4]*$F$41+$J20/Tablo19[Q5]*$G$41+$K20/Tablo19[Q6]*$H$41+$L20/Tablo19[Q7]*$I$41</f>
        <v>0</v>
      </c>
      <c r="S20" s="12" cm="1">
        <f t="array" ref="S20">Tablo17[[#This Row],[Q1]]/Tablo19[Q1]*$C$42+$G20/Tablo19[Q2]*$D$42+$H20/Tablo19[Q3]*$E$42+$I20/Tablo19[Q4]*$F$42+$J20/Tablo19[Q5]*$G$42+$K20/Tablo19[Q6]*$H$42+$L20/Tablo19[Q7]*$I$42</f>
        <v>0</v>
      </c>
      <c r="T20" s="75" cm="1">
        <f t="array" ref="T20">Tablo17[[#This Row],[Q1]]/Tablo19[Q1]*$C$43+$G20/Tablo19[Q2]*$D$43+$H20/Tablo19[Q3]*$E$43+$I20/Tablo19[Q4]*$F$43+$J20/Tablo19[Q5]*$G$43+$K20/Tablo19[Q6]*$H$43+$L20/Tablo19[Q7]*$I$43</f>
        <v>0</v>
      </c>
      <c r="U20" s="76" cm="1">
        <f t="array" ref="U20">Tablo17[[#This Row],[Q1]]/Tablo19[Q1]*$C$44+$G20/Tablo19[Q2]*$D$44+$H20/Tablo19[Q3]*$E$44+$I20/Tablo19[Q4]*$F$44+$J20/Tablo19[Q5]*$G$44+$K20/Tablo19[Q6]*$H$44+$L20/Tablo19[Q7]*$I$44</f>
        <v>0</v>
      </c>
      <c r="V20" s="76" cm="1">
        <f t="array" ref="V20">Tablo17[[#This Row],[Q1]]/Tablo19[Q1]*$C$45+$G20/Tablo19[Q2]*$D$45+$H20/Tablo19[Q3]*$E$45+$I20/Tablo19[Q4]*$F$45+$J20/Tablo19[Q5]*$G$45+$K20/Tablo19[Q6]*$H$45+$L20/Tablo19[Q7]*$I$45</f>
        <v>0</v>
      </c>
      <c r="W20" s="76" cm="1">
        <f t="array" ref="W20">Tablo17[[#This Row],[Q1]]/Tablo19[Q1]*$C$46+$G20/Tablo19[Q2]*$D$46+$H20/Tablo19[Q3]*$E$46+$I20/Tablo19[Q4]*$F$46+$J20/Tablo19[Q5]*$G$46+$K20/Tablo19[Q6]*$H$46+$L20/Tablo19[Q7]*$I$46</f>
        <v>0</v>
      </c>
      <c r="X20" s="74">
        <f>SUM(N20:W20)</f>
        <v>28.166666666666664</v>
      </c>
      <c r="Y20" s="8">
        <f>_xlfn.NORM.DIST(Tablo17[[#This Row],[TOTAL GRADE]],$N$62,$O$62,FALSE)</f>
        <v>2.2498844857807131E-2</v>
      </c>
    </row>
    <row r="21" spans="2:25" ht="15.6" thickTop="1" thickBot="1" x14ac:dyDescent="0.35">
      <c r="B21" s="51">
        <v>17</v>
      </c>
      <c r="C21" s="14">
        <v>20</v>
      </c>
      <c r="D21" s="61" t="s">
        <v>110</v>
      </c>
      <c r="E21" s="61" t="s">
        <v>111</v>
      </c>
      <c r="F21" s="1">
        <v>1</v>
      </c>
      <c r="G21" s="1">
        <v>1</v>
      </c>
      <c r="H21" s="1">
        <v>11</v>
      </c>
      <c r="I21" s="1">
        <v>9</v>
      </c>
      <c r="J21" s="1">
        <v>3</v>
      </c>
      <c r="K21" s="1">
        <v>10</v>
      </c>
      <c r="L21" s="1">
        <v>5</v>
      </c>
      <c r="M21" s="12">
        <f>SUM(F21:L21)</f>
        <v>40</v>
      </c>
      <c r="N21" s="74" cm="1">
        <f t="array" ref="N21">Tablo17[[#This Row],[Q1]]/Tablo19[Q1]*$C$37+G21/Tablo19[Q2]*$D$37+H21/Tablo19[Q3]*$E$37+I21/Tablo19[Q4]*$F$37+J21/Tablo19[Q5]*$G$37+K21/Tablo19[Q6]*$H$37+L21/Tablo19[Q7]*$I$37</f>
        <v>8.5</v>
      </c>
      <c r="O21" s="74" cm="1">
        <f t="array" ref="O21">Tablo17[[#This Row],[Q1]]/Tablo19[Q1]*$C$38+G21/Tablo19[Q2]*$D$38+H21/Tablo19[Q3]*$E$38+I21/Tablo19[Q4]*$F$38+J21/Tablo19[Q5]*$G$38+K21/Tablo19[Q6]*$H$38+L21/Tablo19[Q7]*$I$38</f>
        <v>3.833333333333333</v>
      </c>
      <c r="P21" s="74" cm="1">
        <f t="array" ref="P21">Tablo17[[#This Row],[Q1]]/Tablo19[Q1]*$C$39+G21/Tablo19[Q2]*$D$39+H21/Tablo19[Q3]*$E$39+I21/Tablo19[Q4]*$F$39+J21/Tablo19[Q5]*$G$39+K21/Tablo19[Q6]*$H$39+L21/Tablo19[Q7]*$I$39</f>
        <v>1</v>
      </c>
      <c r="Q21" s="74" cm="1">
        <f t="array" ref="Q21">Tablo17[[#This Row],[Q1]]/Tablo19[Q1]*$C$40+G21/Tablo19[Q2]*$D$40+H21/Tablo19[Q3]*$E$40+I21/Tablo19[Q4]*$F$40+J21/Tablo19[Q5]*$G$40+K21/Tablo19[Q6]*$H$40+L21/Tablo19[Q7]*$I$40</f>
        <v>15.499999999999998</v>
      </c>
      <c r="R21" s="12" cm="1">
        <f t="array" ref="R21">Tablo17[[#This Row],[Q1]]/Tablo19[Q1]*$C$41+$G21/Tablo19[Q2]*$D$41+$H21/Tablo19[Q3]*$E$41+$I21/Tablo19[Q4]*$F$41+$J21/Tablo19[Q5]*$G$41+$K21/Tablo19[Q6]*$H$41+$L21/Tablo19[Q7]*$I$41</f>
        <v>0</v>
      </c>
      <c r="S21" s="12" cm="1">
        <f t="array" ref="S21">Tablo17[[#This Row],[Q1]]/Tablo19[Q1]*$C$42+$G21/Tablo19[Q2]*$D$42+$H21/Tablo19[Q3]*$E$42+$I21/Tablo19[Q4]*$F$42+$J21/Tablo19[Q5]*$G$42+$K21/Tablo19[Q6]*$H$42+$L21/Tablo19[Q7]*$I$42</f>
        <v>0</v>
      </c>
      <c r="T21" s="75" cm="1">
        <f t="array" ref="T21">Tablo17[[#This Row],[Q1]]/Tablo19[Q1]*$C$43+$G21/Tablo19[Q2]*$D$43+$H21/Tablo19[Q3]*$E$43+$I21/Tablo19[Q4]*$F$43+$J21/Tablo19[Q5]*$G$43+$K21/Tablo19[Q6]*$H$43+$L21/Tablo19[Q7]*$I$43</f>
        <v>0</v>
      </c>
      <c r="U21" s="76" cm="1">
        <f t="array" ref="U21">Tablo17[[#This Row],[Q1]]/Tablo19[Q1]*$C$44+$G21/Tablo19[Q2]*$D$44+$H21/Tablo19[Q3]*$E$44+$I21/Tablo19[Q4]*$F$44+$J21/Tablo19[Q5]*$G$44+$K21/Tablo19[Q6]*$H$44+$L21/Tablo19[Q7]*$I$44</f>
        <v>0</v>
      </c>
      <c r="V21" s="76" cm="1">
        <f t="array" ref="V21">Tablo17[[#This Row],[Q1]]/Tablo19[Q1]*$C$45+$G21/Tablo19[Q2]*$D$45+$H21/Tablo19[Q3]*$E$45+$I21/Tablo19[Q4]*$F$45+$J21/Tablo19[Q5]*$G$45+$K21/Tablo19[Q6]*$H$45+$L21/Tablo19[Q7]*$I$45</f>
        <v>0</v>
      </c>
      <c r="W21" s="76" cm="1">
        <f t="array" ref="W21">Tablo17[[#This Row],[Q1]]/Tablo19[Q1]*$C$46+$G21/Tablo19[Q2]*$D$46+$H21/Tablo19[Q3]*$E$46+$I21/Tablo19[Q4]*$F$46+$J21/Tablo19[Q5]*$G$46+$K21/Tablo19[Q6]*$H$46+$L21/Tablo19[Q7]*$I$46</f>
        <v>0</v>
      </c>
      <c r="X21" s="74">
        <f>SUM(N21:W21)</f>
        <v>28.833333333333329</v>
      </c>
      <c r="Y21" s="8">
        <f>_xlfn.NORM.DIST(Tablo17[[#This Row],[TOTAL GRADE]],$N$62,$O$62,FALSE)</f>
        <v>2.2498844857807131E-2</v>
      </c>
    </row>
    <row r="22" spans="2:25" ht="15.6" thickTop="1" thickBot="1" x14ac:dyDescent="0.35">
      <c r="B22" s="77">
        <v>18</v>
      </c>
      <c r="C22" s="14">
        <v>21</v>
      </c>
      <c r="D22" s="61" t="s">
        <v>110</v>
      </c>
      <c r="E22" s="61" t="s">
        <v>111</v>
      </c>
      <c r="F22" s="1">
        <v>3</v>
      </c>
      <c r="G22" s="1">
        <v>1</v>
      </c>
      <c r="H22" s="1">
        <v>7</v>
      </c>
      <c r="I22" s="1">
        <v>9</v>
      </c>
      <c r="J22" s="1">
        <v>5</v>
      </c>
      <c r="K22" s="1">
        <v>0</v>
      </c>
      <c r="L22" s="1">
        <v>12</v>
      </c>
      <c r="M22" s="12">
        <f>SUM(F22:L22)</f>
        <v>37</v>
      </c>
      <c r="N22" s="74" cm="1">
        <f t="array" ref="N22">Tablo17[[#This Row],[Q1]]/Tablo19[Q1]*$C$37+G22/Tablo19[Q2]*$D$37+H22/Tablo19[Q3]*$E$37+I22/Tablo19[Q4]*$F$37+J22/Tablo19[Q5]*$G$37+K22/Tablo19[Q6]*$H$37+L22/Tablo19[Q7]*$I$37</f>
        <v>9.1666666666666661</v>
      </c>
      <c r="O22" s="74" cm="1">
        <f t="array" ref="O22">Tablo17[[#This Row],[Q1]]/Tablo19[Q1]*$C$38+G22/Tablo19[Q2]*$D$38+H22/Tablo19[Q3]*$E$38+I22/Tablo19[Q4]*$F$38+J22/Tablo19[Q5]*$G$38+K22/Tablo19[Q6]*$H$38+L22/Tablo19[Q7]*$I$38</f>
        <v>1.5</v>
      </c>
      <c r="P22" s="74" cm="1">
        <f t="array" ref="P22">Tablo17[[#This Row],[Q1]]/Tablo19[Q1]*$C$39+G22/Tablo19[Q2]*$D$39+H22/Tablo19[Q3]*$E$39+I22/Tablo19[Q4]*$F$39+J22/Tablo19[Q5]*$G$39+K22/Tablo19[Q6]*$H$39+L22/Tablo19[Q7]*$I$39</f>
        <v>1.6666666666666665</v>
      </c>
      <c r="Q22" s="74" cm="1">
        <f t="array" ref="Q22">Tablo17[[#This Row],[Q1]]/Tablo19[Q1]*$C$40+G22/Tablo19[Q2]*$D$40+H22/Tablo19[Q3]*$E$40+I22/Tablo19[Q4]*$F$40+J22/Tablo19[Q5]*$G$40+K22/Tablo19[Q6]*$H$40+L22/Tablo19[Q7]*$I$40</f>
        <v>22.166666666666664</v>
      </c>
      <c r="R22" s="12" cm="1">
        <f t="array" ref="R22">Tablo17[[#This Row],[Q1]]/Tablo19[Q1]*$C$41+$G22/Tablo19[Q2]*$D$41+$H22/Tablo19[Q3]*$E$41+$I22/Tablo19[Q4]*$F$41+$J22/Tablo19[Q5]*$G$41+$K22/Tablo19[Q6]*$H$41+$L22/Tablo19[Q7]*$I$41</f>
        <v>0</v>
      </c>
      <c r="S22" s="12" cm="1">
        <f t="array" ref="S22">Tablo17[[#This Row],[Q1]]/Tablo19[Q1]*$C$42+$G22/Tablo19[Q2]*$D$42+$H22/Tablo19[Q3]*$E$42+$I22/Tablo19[Q4]*$F$42+$J22/Tablo19[Q5]*$G$42+$K22/Tablo19[Q6]*$H$42+$L22/Tablo19[Q7]*$I$42</f>
        <v>0</v>
      </c>
      <c r="T22" s="75" cm="1">
        <f t="array" ref="T22">Tablo17[[#This Row],[Q1]]/Tablo19[Q1]*$C$43+$G22/Tablo19[Q2]*$D$43+$H22/Tablo19[Q3]*$E$43+$I22/Tablo19[Q4]*$F$43+$J22/Tablo19[Q5]*$G$43+$K22/Tablo19[Q6]*$H$43+$L22/Tablo19[Q7]*$I$43</f>
        <v>0</v>
      </c>
      <c r="U22" s="76" cm="1">
        <f t="array" ref="U22">Tablo17[[#This Row],[Q1]]/Tablo19[Q1]*$C$44+$G22/Tablo19[Q2]*$D$44+$H22/Tablo19[Q3]*$E$44+$I22/Tablo19[Q4]*$F$44+$J22/Tablo19[Q5]*$G$44+$K22/Tablo19[Q6]*$H$44+$L22/Tablo19[Q7]*$I$44</f>
        <v>0</v>
      </c>
      <c r="V22" s="76" cm="1">
        <f t="array" ref="V22">Tablo17[[#This Row],[Q1]]/Tablo19[Q1]*$C$45+$G22/Tablo19[Q2]*$D$45+$H22/Tablo19[Q3]*$E$45+$I22/Tablo19[Q4]*$F$45+$J22/Tablo19[Q5]*$G$45+$K22/Tablo19[Q6]*$H$45+$L22/Tablo19[Q7]*$I$45</f>
        <v>0</v>
      </c>
      <c r="W22" s="76" cm="1">
        <f t="array" ref="W22">Tablo17[[#This Row],[Q1]]/Tablo19[Q1]*$C$46+$G22/Tablo19[Q2]*$D$46+$H22/Tablo19[Q3]*$E$46+$I22/Tablo19[Q4]*$F$46+$J22/Tablo19[Q5]*$G$46+$K22/Tablo19[Q6]*$H$46+$L22/Tablo19[Q7]*$I$46</f>
        <v>0</v>
      </c>
      <c r="X22" s="74">
        <f>SUM(N22:W22)</f>
        <v>34.5</v>
      </c>
      <c r="Y22" s="8">
        <f>_xlfn.NORM.DIST(Tablo17[[#This Row],[TOTAL GRADE]],$N$62,$O$62,FALSE)</f>
        <v>2.2534973385693352E-2</v>
      </c>
    </row>
    <row r="23" spans="2:25" ht="15.6" thickTop="1" thickBot="1" x14ac:dyDescent="0.35">
      <c r="B23" s="51">
        <v>19</v>
      </c>
      <c r="C23" s="14">
        <v>22</v>
      </c>
      <c r="D23" s="66" t="s">
        <v>110</v>
      </c>
      <c r="E23" s="61" t="s">
        <v>111</v>
      </c>
      <c r="F23" s="1">
        <v>0</v>
      </c>
      <c r="G23" s="1">
        <v>2</v>
      </c>
      <c r="H23" s="1">
        <v>14</v>
      </c>
      <c r="I23" s="1">
        <v>9</v>
      </c>
      <c r="J23" s="1">
        <v>6</v>
      </c>
      <c r="K23" s="1">
        <v>0</v>
      </c>
      <c r="L23" s="1">
        <v>5</v>
      </c>
      <c r="M23" s="12">
        <f>SUM(F23:L23)</f>
        <v>36</v>
      </c>
      <c r="N23" s="74" cm="1">
        <f t="array" ref="N23">Tablo17[[#This Row],[Q1]]/Tablo19[Q1]*$C$37+G23/Tablo19[Q2]*$D$37+H23/Tablo19[Q3]*$E$37+I23/Tablo19[Q4]*$F$37+J23/Tablo19[Q5]*$G$37+K23/Tablo19[Q6]*$H$37+L23/Tablo19[Q7]*$I$37</f>
        <v>11</v>
      </c>
      <c r="O23" s="74" cm="1">
        <f t="array" ref="O23">Tablo17[[#This Row],[Q1]]/Tablo19[Q1]*$C$38+G23/Tablo19[Q2]*$D$38+H23/Tablo19[Q3]*$E$38+I23/Tablo19[Q4]*$F$38+J23/Tablo19[Q5]*$G$38+K23/Tablo19[Q6]*$H$38+L23/Tablo19[Q7]*$I$38</f>
        <v>0</v>
      </c>
      <c r="P23" s="74" cm="1">
        <f t="array" ref="P23">Tablo17[[#This Row],[Q1]]/Tablo19[Q1]*$C$39+G23/Tablo19[Q2]*$D$39+H23/Tablo19[Q3]*$E$39+I23/Tablo19[Q4]*$F$39+J23/Tablo19[Q5]*$G$39+K23/Tablo19[Q6]*$H$39+L23/Tablo19[Q7]*$I$39</f>
        <v>2</v>
      </c>
      <c r="Q23" s="74" cm="1">
        <f t="array" ref="Q23">Tablo17[[#This Row],[Q1]]/Tablo19[Q1]*$C$40+G23/Tablo19[Q2]*$D$40+H23/Tablo19[Q3]*$E$40+I23/Tablo19[Q4]*$F$40+J23/Tablo19[Q5]*$G$40+K23/Tablo19[Q6]*$H$40+L23/Tablo19[Q7]*$I$40</f>
        <v>13.166666666666666</v>
      </c>
      <c r="R23" s="12" cm="1">
        <f t="array" ref="R23">Tablo17[[#This Row],[Q1]]/Tablo19[Q1]*$C$41+$G23/Tablo19[Q2]*$D$41+$H23/Tablo19[Q3]*$E$41+$I23/Tablo19[Q4]*$F$41+$J23/Tablo19[Q5]*$G$41+$K23/Tablo19[Q6]*$H$41+$L23/Tablo19[Q7]*$I$41</f>
        <v>0</v>
      </c>
      <c r="S23" s="12" cm="1">
        <f t="array" ref="S23">Tablo17[[#This Row],[Q1]]/Tablo19[Q1]*$C$42+$G23/Tablo19[Q2]*$D$42+$H23/Tablo19[Q3]*$E$42+$I23/Tablo19[Q4]*$F$42+$J23/Tablo19[Q5]*$G$42+$K23/Tablo19[Q6]*$H$42+$L23/Tablo19[Q7]*$I$42</f>
        <v>0</v>
      </c>
      <c r="T23" s="75" cm="1">
        <f t="array" ref="T23">Tablo17[[#This Row],[Q1]]/Tablo19[Q1]*$C$43+$G23/Tablo19[Q2]*$D$43+$H23/Tablo19[Q3]*$E$43+$I23/Tablo19[Q4]*$F$43+$J23/Tablo19[Q5]*$G$43+$K23/Tablo19[Q6]*$H$43+$L23/Tablo19[Q7]*$I$43</f>
        <v>0</v>
      </c>
      <c r="U23" s="76" cm="1">
        <f t="array" ref="U23">Tablo17[[#This Row],[Q1]]/Tablo19[Q1]*$C$44+$G23/Tablo19[Q2]*$D$44+$H23/Tablo19[Q3]*$E$44+$I23/Tablo19[Q4]*$F$44+$J23/Tablo19[Q5]*$G$44+$K23/Tablo19[Q6]*$H$44+$L23/Tablo19[Q7]*$I$44</f>
        <v>0</v>
      </c>
      <c r="V23" s="76" cm="1">
        <f t="array" ref="V23">Tablo17[[#This Row],[Q1]]/Tablo19[Q1]*$C$45+$G23/Tablo19[Q2]*$D$45+$H23/Tablo19[Q3]*$E$45+$I23/Tablo19[Q4]*$F$45+$J23/Tablo19[Q5]*$G$45+$K23/Tablo19[Q6]*$H$45+$L23/Tablo19[Q7]*$I$45</f>
        <v>0</v>
      </c>
      <c r="W23" s="76" cm="1">
        <f t="array" ref="W23">Tablo17[[#This Row],[Q1]]/Tablo19[Q1]*$C$46+$G23/Tablo19[Q2]*$D$46+$H23/Tablo19[Q3]*$E$46+$I23/Tablo19[Q4]*$F$46+$J23/Tablo19[Q5]*$G$46+$K23/Tablo19[Q6]*$H$46+$L23/Tablo19[Q7]*$I$46</f>
        <v>0</v>
      </c>
      <c r="X23" s="74">
        <f>SUM(N23:W23)</f>
        <v>26.166666666666664</v>
      </c>
      <c r="Y23" s="8">
        <f>_xlfn.NORM.DIST(Tablo17[[#This Row],[TOTAL GRADE]],$N$62,$O$62,FALSE)</f>
        <v>2.2402785038806165E-2</v>
      </c>
    </row>
    <row r="24" spans="2:25" ht="15.6" thickTop="1" thickBot="1" x14ac:dyDescent="0.35">
      <c r="B24" s="77">
        <v>20</v>
      </c>
      <c r="C24" s="14">
        <v>23</v>
      </c>
      <c r="D24" s="61" t="s">
        <v>110</v>
      </c>
      <c r="E24" s="61" t="s">
        <v>111</v>
      </c>
      <c r="F24" s="1">
        <v>5</v>
      </c>
      <c r="G24" s="1">
        <v>2</v>
      </c>
      <c r="H24" s="1">
        <v>7</v>
      </c>
      <c r="I24" s="1">
        <v>12</v>
      </c>
      <c r="J24" s="1">
        <v>6</v>
      </c>
      <c r="K24" s="1">
        <v>3</v>
      </c>
      <c r="L24" s="1">
        <v>1</v>
      </c>
      <c r="M24" s="12">
        <f>SUM(F24:L24)</f>
        <v>36</v>
      </c>
      <c r="N24" s="74" cm="1">
        <f t="array" ref="N24">Tablo17[[#This Row],[Q1]]/Tablo19[Q1]*$C$37+G24/Tablo19[Q2]*$D$37+H24/Tablo19[Q3]*$E$37+I24/Tablo19[Q4]*$F$37+J24/Tablo19[Q5]*$G$37+K24/Tablo19[Q6]*$H$37+L24/Tablo19[Q7]*$I$37</f>
        <v>12.5</v>
      </c>
      <c r="O24" s="74" cm="1">
        <f t="array" ref="O24">Tablo17[[#This Row],[Q1]]/Tablo19[Q1]*$C$38+G24/Tablo19[Q2]*$D$38+H24/Tablo19[Q3]*$E$38+I24/Tablo19[Q4]*$F$38+J24/Tablo19[Q5]*$G$38+K24/Tablo19[Q6]*$H$38+L24/Tablo19[Q7]*$I$38</f>
        <v>3.5</v>
      </c>
      <c r="P24" s="74" cm="1">
        <f t="array" ref="P24">Tablo17[[#This Row],[Q1]]/Tablo19[Q1]*$C$39+G24/Tablo19[Q2]*$D$39+H24/Tablo19[Q3]*$E$39+I24/Tablo19[Q4]*$F$39+J24/Tablo19[Q5]*$G$39+K24/Tablo19[Q6]*$H$39+L24/Tablo19[Q7]*$I$39</f>
        <v>2</v>
      </c>
      <c r="Q24" s="74" cm="1">
        <f t="array" ref="Q24">Tablo17[[#This Row],[Q1]]/Tablo19[Q1]*$C$40+G24/Tablo19[Q2]*$D$40+H24/Tablo19[Q3]*$E$40+I24/Tablo19[Q4]*$F$40+J24/Tablo19[Q5]*$G$40+K24/Tablo19[Q6]*$H$40+L24/Tablo19[Q7]*$I$40</f>
        <v>10.333333333333334</v>
      </c>
      <c r="R24" s="12" cm="1">
        <f t="array" ref="R24">Tablo17[[#This Row],[Q1]]/Tablo19[Q1]*$C$41+$G24/Tablo19[Q2]*$D$41+$H24/Tablo19[Q3]*$E$41+$I24/Tablo19[Q4]*$F$41+$J24/Tablo19[Q5]*$G$41+$K24/Tablo19[Q6]*$H$41+$L24/Tablo19[Q7]*$I$41</f>
        <v>0</v>
      </c>
      <c r="S24" s="12" cm="1">
        <f t="array" ref="S24">Tablo17[[#This Row],[Q1]]/Tablo19[Q1]*$C$42+$G24/Tablo19[Q2]*$D$42+$H24/Tablo19[Q3]*$E$42+$I24/Tablo19[Q4]*$F$42+$J24/Tablo19[Q5]*$G$42+$K24/Tablo19[Q6]*$H$42+$L24/Tablo19[Q7]*$I$42</f>
        <v>0</v>
      </c>
      <c r="T24" s="75" cm="1">
        <f t="array" ref="T24">Tablo17[[#This Row],[Q1]]/Tablo19[Q1]*$C$43+$G24/Tablo19[Q2]*$D$43+$H24/Tablo19[Q3]*$E$43+$I24/Tablo19[Q4]*$F$43+$J24/Tablo19[Q5]*$G$43+$K24/Tablo19[Q6]*$H$43+$L24/Tablo19[Q7]*$I$43</f>
        <v>0</v>
      </c>
      <c r="U24" s="76" cm="1">
        <f t="array" ref="U24">Tablo17[[#This Row],[Q1]]/Tablo19[Q1]*$C$44+$G24/Tablo19[Q2]*$D$44+$H24/Tablo19[Q3]*$E$44+$I24/Tablo19[Q4]*$F$44+$J24/Tablo19[Q5]*$G$44+$K24/Tablo19[Q6]*$H$44+$L24/Tablo19[Q7]*$I$44</f>
        <v>0</v>
      </c>
      <c r="V24" s="76" cm="1">
        <f t="array" ref="V24">Tablo17[[#This Row],[Q1]]/Tablo19[Q1]*$C$45+$G24/Tablo19[Q2]*$D$45+$H24/Tablo19[Q3]*$E$45+$I24/Tablo19[Q4]*$F$45+$J24/Tablo19[Q5]*$G$45+$K24/Tablo19[Q6]*$H$45+$L24/Tablo19[Q7]*$I$45</f>
        <v>0</v>
      </c>
      <c r="W24" s="76" cm="1">
        <f t="array" ref="W24">Tablo17[[#This Row],[Q1]]/Tablo19[Q1]*$C$46+$G24/Tablo19[Q2]*$D$46+$H24/Tablo19[Q3]*$E$46+$I24/Tablo19[Q4]*$F$46+$J24/Tablo19[Q5]*$G$46+$K24/Tablo19[Q6]*$H$46+$L24/Tablo19[Q7]*$I$46</f>
        <v>0</v>
      </c>
      <c r="X24" s="74">
        <f>SUM(N24:W24)</f>
        <v>28.333333333333336</v>
      </c>
      <c r="Y24" s="8">
        <f>_xlfn.NORM.DIST(Tablo17[[#This Row],[TOTAL GRADE]],$N$62,$O$62,FALSE)</f>
        <v>2.2402785038806165E-2</v>
      </c>
    </row>
    <row r="25" spans="2:25" ht="15.6" thickTop="1" thickBot="1" x14ac:dyDescent="0.35">
      <c r="B25" s="51">
        <v>21</v>
      </c>
      <c r="C25" s="14">
        <v>24</v>
      </c>
      <c r="D25" s="61" t="s">
        <v>110</v>
      </c>
      <c r="E25" s="61" t="s">
        <v>111</v>
      </c>
      <c r="F25" s="1">
        <v>8</v>
      </c>
      <c r="G25" s="1">
        <v>1</v>
      </c>
      <c r="H25" s="1">
        <v>10</v>
      </c>
      <c r="I25" s="1">
        <v>2</v>
      </c>
      <c r="J25" s="1">
        <v>2</v>
      </c>
      <c r="K25" s="1">
        <v>5</v>
      </c>
      <c r="L25" s="1">
        <v>7</v>
      </c>
      <c r="M25" s="12">
        <f>SUM(F25:L25)</f>
        <v>35</v>
      </c>
      <c r="N25" s="74" cm="1">
        <f t="array" ref="N25">Tablo17[[#This Row],[Q1]]/Tablo19[Q1]*$C$37+G25/Tablo19[Q2]*$D$37+H25/Tablo19[Q3]*$E$37+I25/Tablo19[Q4]*$F$37+J25/Tablo19[Q5]*$G$37+K25/Tablo19[Q6]*$H$37+L25/Tablo19[Q7]*$I$37</f>
        <v>14.666666666666666</v>
      </c>
      <c r="O25" s="74" cm="1">
        <f t="array" ref="O25">Tablo17[[#This Row],[Q1]]/Tablo19[Q1]*$C$38+G25/Tablo19[Q2]*$D$38+H25/Tablo19[Q3]*$E$38+I25/Tablo19[Q4]*$F$38+J25/Tablo19[Q5]*$G$38+K25/Tablo19[Q6]*$H$38+L25/Tablo19[Q7]*$I$38</f>
        <v>5.6666666666666661</v>
      </c>
      <c r="P25" s="74" cm="1">
        <f t="array" ref="P25">Tablo17[[#This Row],[Q1]]/Tablo19[Q1]*$C$39+G25/Tablo19[Q2]*$D$39+H25/Tablo19[Q3]*$E$39+I25/Tablo19[Q4]*$F$39+J25/Tablo19[Q5]*$G$39+K25/Tablo19[Q6]*$H$39+L25/Tablo19[Q7]*$I$39</f>
        <v>0.66666666666666663</v>
      </c>
      <c r="Q25" s="74" cm="1">
        <f t="array" ref="Q25">Tablo17[[#This Row],[Q1]]/Tablo19[Q1]*$C$40+G25/Tablo19[Q2]*$D$40+H25/Tablo19[Q3]*$E$40+I25/Tablo19[Q4]*$F$40+J25/Tablo19[Q5]*$G$40+K25/Tablo19[Q6]*$H$40+L25/Tablo19[Q7]*$I$40</f>
        <v>12.666666666666668</v>
      </c>
      <c r="R25" s="12" cm="1">
        <f t="array" ref="R25">Tablo17[[#This Row],[Q1]]/Tablo19[Q1]*$C$41+$G25/Tablo19[Q2]*$D$41+$H25/Tablo19[Q3]*$E$41+$I25/Tablo19[Q4]*$F$41+$J25/Tablo19[Q5]*$G$41+$K25/Tablo19[Q6]*$H$41+$L25/Tablo19[Q7]*$I$41</f>
        <v>0</v>
      </c>
      <c r="S25" s="12" cm="1">
        <f t="array" ref="S25">Tablo17[[#This Row],[Q1]]/Tablo19[Q1]*$C$42+$G25/Tablo19[Q2]*$D$42+$H25/Tablo19[Q3]*$E$42+$I25/Tablo19[Q4]*$F$42+$J25/Tablo19[Q5]*$G$42+$K25/Tablo19[Q6]*$H$42+$L25/Tablo19[Q7]*$I$42</f>
        <v>0</v>
      </c>
      <c r="T25" s="75" cm="1">
        <f t="array" ref="T25">Tablo17[[#This Row],[Q1]]/Tablo19[Q1]*$C$43+$G25/Tablo19[Q2]*$D$43+$H25/Tablo19[Q3]*$E$43+$I25/Tablo19[Q4]*$F$43+$J25/Tablo19[Q5]*$G$43+$K25/Tablo19[Q6]*$H$43+$L25/Tablo19[Q7]*$I$43</f>
        <v>0</v>
      </c>
      <c r="U25" s="76" cm="1">
        <f t="array" ref="U25">Tablo17[[#This Row],[Q1]]/Tablo19[Q1]*$C$44+$G25/Tablo19[Q2]*$D$44+$H25/Tablo19[Q3]*$E$44+$I25/Tablo19[Q4]*$F$44+$J25/Tablo19[Q5]*$G$44+$K25/Tablo19[Q6]*$H$44+$L25/Tablo19[Q7]*$I$44</f>
        <v>0</v>
      </c>
      <c r="V25" s="76" cm="1">
        <f t="array" ref="V25">Tablo17[[#This Row],[Q1]]/Tablo19[Q1]*$C$45+$G25/Tablo19[Q2]*$D$45+$H25/Tablo19[Q3]*$E$45+$I25/Tablo19[Q4]*$F$45+$J25/Tablo19[Q5]*$G$45+$K25/Tablo19[Q6]*$H$45+$L25/Tablo19[Q7]*$I$45</f>
        <v>0</v>
      </c>
      <c r="W25" s="76" cm="1">
        <f t="array" ref="W25">Tablo17[[#This Row],[Q1]]/Tablo19[Q1]*$C$46+$G25/Tablo19[Q2]*$D$46+$H25/Tablo19[Q3]*$E$46+$I25/Tablo19[Q4]*$F$46+$J25/Tablo19[Q5]*$G$46+$K25/Tablo19[Q6]*$H$46+$L25/Tablo19[Q7]*$I$46</f>
        <v>0</v>
      </c>
      <c r="X25" s="74">
        <f>SUM(N25:W25)</f>
        <v>33.666666666666671</v>
      </c>
      <c r="Y25" s="8">
        <f>_xlfn.NORM.DIST(Tablo17[[#This Row],[TOTAL GRADE]],$N$62,$O$62,FALSE)</f>
        <v>2.2200017508738453E-2</v>
      </c>
    </row>
    <row r="26" spans="2:25" ht="15.6" thickTop="1" thickBot="1" x14ac:dyDescent="0.35">
      <c r="B26" s="77">
        <v>22</v>
      </c>
      <c r="C26" s="14">
        <v>25</v>
      </c>
      <c r="D26" s="61" t="s">
        <v>110</v>
      </c>
      <c r="E26" s="61" t="s">
        <v>111</v>
      </c>
      <c r="F26" s="1">
        <v>0</v>
      </c>
      <c r="G26" s="1">
        <v>2</v>
      </c>
      <c r="H26" s="1">
        <v>7</v>
      </c>
      <c r="I26" s="1">
        <v>8</v>
      </c>
      <c r="J26" s="1">
        <v>8</v>
      </c>
      <c r="K26" s="1">
        <v>3</v>
      </c>
      <c r="L26" s="1">
        <v>0</v>
      </c>
      <c r="M26" s="12">
        <f>SUM(F26:L26)</f>
        <v>28</v>
      </c>
      <c r="N26" s="74" cm="1">
        <f t="array" ref="N26">Tablo17[[#This Row],[Q1]]/Tablo19[Q1]*$C$37+G26/Tablo19[Q2]*$D$37+H26/Tablo19[Q3]*$E$37+I26/Tablo19[Q4]*$F$37+J26/Tablo19[Q5]*$G$37+K26/Tablo19[Q6]*$H$37+L26/Tablo19[Q7]*$I$37</f>
        <v>8.1666666666666661</v>
      </c>
      <c r="O26" s="74" cm="1">
        <f t="array" ref="O26">Tablo17[[#This Row],[Q1]]/Tablo19[Q1]*$C$38+G26/Tablo19[Q2]*$D$38+H26/Tablo19[Q3]*$E$38+I26/Tablo19[Q4]*$F$38+J26/Tablo19[Q5]*$G$38+K26/Tablo19[Q6]*$H$38+L26/Tablo19[Q7]*$I$38</f>
        <v>1</v>
      </c>
      <c r="P26" s="74" cm="1">
        <f t="array" ref="P26">Tablo17[[#This Row],[Q1]]/Tablo19[Q1]*$C$39+G26/Tablo19[Q2]*$D$39+H26/Tablo19[Q3]*$E$39+I26/Tablo19[Q4]*$F$39+J26/Tablo19[Q5]*$G$39+K26/Tablo19[Q6]*$H$39+L26/Tablo19[Q7]*$I$39</f>
        <v>2.6666666666666665</v>
      </c>
      <c r="Q26" s="74" cm="1">
        <f t="array" ref="Q26">Tablo17[[#This Row],[Q1]]/Tablo19[Q1]*$C$40+G26/Tablo19[Q2]*$D$40+H26/Tablo19[Q3]*$E$40+I26/Tablo19[Q4]*$F$40+J26/Tablo19[Q5]*$G$40+K26/Tablo19[Q6]*$H$40+L26/Tablo19[Q7]*$I$40</f>
        <v>7.6666666666666661</v>
      </c>
      <c r="R26" s="12" cm="1">
        <f t="array" ref="R26">Tablo17[[#This Row],[Q1]]/Tablo19[Q1]*$C$41+$G26/Tablo19[Q2]*$D$41+$H26/Tablo19[Q3]*$E$41+$I26/Tablo19[Q4]*$F$41+$J26/Tablo19[Q5]*$G$41+$K26/Tablo19[Q6]*$H$41+$L26/Tablo19[Q7]*$I$41</f>
        <v>0</v>
      </c>
      <c r="S26" s="12" cm="1">
        <f t="array" ref="S26">Tablo17[[#This Row],[Q1]]/Tablo19[Q1]*$C$42+$G26/Tablo19[Q2]*$D$42+$H26/Tablo19[Q3]*$E$42+$I26/Tablo19[Q4]*$F$42+$J26/Tablo19[Q5]*$G$42+$K26/Tablo19[Q6]*$H$42+$L26/Tablo19[Q7]*$I$42</f>
        <v>0</v>
      </c>
      <c r="T26" s="75" cm="1">
        <f t="array" ref="T26">Tablo17[[#This Row],[Q1]]/Tablo19[Q1]*$C$43+$G26/Tablo19[Q2]*$D$43+$H26/Tablo19[Q3]*$E$43+$I26/Tablo19[Q4]*$F$43+$J26/Tablo19[Q5]*$G$43+$K26/Tablo19[Q6]*$H$43+$L26/Tablo19[Q7]*$I$43</f>
        <v>0</v>
      </c>
      <c r="U26" s="76" cm="1">
        <f t="array" ref="U26">Tablo17[[#This Row],[Q1]]/Tablo19[Q1]*$C$44+$G26/Tablo19[Q2]*$D$44+$H26/Tablo19[Q3]*$E$44+$I26/Tablo19[Q4]*$F$44+$J26/Tablo19[Q5]*$G$44+$K26/Tablo19[Q6]*$H$44+$L26/Tablo19[Q7]*$I$44</f>
        <v>0</v>
      </c>
      <c r="V26" s="76" cm="1">
        <f t="array" ref="V26">Tablo17[[#This Row],[Q1]]/Tablo19[Q1]*$C$45+$G26/Tablo19[Q2]*$D$45+$H26/Tablo19[Q3]*$E$45+$I26/Tablo19[Q4]*$F$45+$J26/Tablo19[Q5]*$G$45+$K26/Tablo19[Q6]*$H$45+$L26/Tablo19[Q7]*$I$45</f>
        <v>0</v>
      </c>
      <c r="W26" s="76" cm="1">
        <f t="array" ref="W26">Tablo17[[#This Row],[Q1]]/Tablo19[Q1]*$C$46+$G26/Tablo19[Q2]*$D$46+$H26/Tablo19[Q3]*$E$46+$I26/Tablo19[Q4]*$F$46+$J26/Tablo19[Q5]*$G$46+$K26/Tablo19[Q6]*$H$46+$L26/Tablo19[Q7]*$I$46</f>
        <v>0</v>
      </c>
      <c r="X26" s="74">
        <f>SUM(N26:W26)</f>
        <v>19.5</v>
      </c>
      <c r="Y26" s="8">
        <f>_xlfn.NORM.DIST(Tablo17[[#This Row],[TOTAL GRADE]],$N$62,$O$62,FALSE)</f>
        <v>1.9041013396597483E-2</v>
      </c>
    </row>
    <row r="27" spans="2:25" ht="15.6" thickTop="1" thickBot="1" x14ac:dyDescent="0.35">
      <c r="B27" s="51">
        <v>23</v>
      </c>
      <c r="C27" s="14">
        <v>29</v>
      </c>
      <c r="D27" s="61" t="s">
        <v>110</v>
      </c>
      <c r="E27" s="61" t="s">
        <v>111</v>
      </c>
      <c r="F27" s="1">
        <v>0</v>
      </c>
      <c r="G27" s="1">
        <v>5</v>
      </c>
      <c r="H27" s="1">
        <v>5</v>
      </c>
      <c r="I27" s="1">
        <v>0</v>
      </c>
      <c r="J27" s="1">
        <v>6</v>
      </c>
      <c r="K27" s="1">
        <v>5</v>
      </c>
      <c r="L27" s="1">
        <v>5</v>
      </c>
      <c r="M27" s="12">
        <f>SUM(F27:L27)</f>
        <v>26</v>
      </c>
      <c r="N27" s="74" cm="1">
        <f t="array" ref="N27">Tablo17[[#This Row],[Q1]]/Tablo19[Q1]*$C$37+G27/Tablo19[Q2]*$D$37+H27/Tablo19[Q3]*$E$37+I27/Tablo19[Q4]*$F$37+J27/Tablo19[Q5]*$G$37+K27/Tablo19[Q6]*$H$37+L27/Tablo19[Q7]*$I$37</f>
        <v>9.5</v>
      </c>
      <c r="O27" s="74" cm="1">
        <f t="array" ref="O27">Tablo17[[#This Row],[Q1]]/Tablo19[Q1]*$C$38+G27/Tablo19[Q2]*$D$38+H27/Tablo19[Q3]*$E$38+I27/Tablo19[Q4]*$F$38+J27/Tablo19[Q5]*$G$38+K27/Tablo19[Q6]*$H$38+L27/Tablo19[Q7]*$I$38</f>
        <v>1.6666666666666665</v>
      </c>
      <c r="P27" s="74" cm="1">
        <f t="array" ref="P27">Tablo17[[#This Row],[Q1]]/Tablo19[Q1]*$C$39+G27/Tablo19[Q2]*$D$39+H27/Tablo19[Q3]*$E$39+I27/Tablo19[Q4]*$F$39+J27/Tablo19[Q5]*$G$39+K27/Tablo19[Q6]*$H$39+L27/Tablo19[Q7]*$I$39</f>
        <v>2</v>
      </c>
      <c r="Q27" s="74" cm="1">
        <f t="array" ref="Q27">Tablo17[[#This Row],[Q1]]/Tablo19[Q1]*$C$40+G27/Tablo19[Q2]*$D$40+H27/Tablo19[Q3]*$E$40+I27/Tablo19[Q4]*$F$40+J27/Tablo19[Q5]*$G$40+K27/Tablo19[Q6]*$H$40+L27/Tablo19[Q7]*$I$40</f>
        <v>10.333333333333332</v>
      </c>
      <c r="R27" s="12" cm="1">
        <f t="array" ref="R27">Tablo17[[#This Row],[Q1]]/Tablo19[Q1]*$C$41+$G27/Tablo19[Q2]*$D$41+$H27/Tablo19[Q3]*$E$41+$I27/Tablo19[Q4]*$F$41+$J27/Tablo19[Q5]*$G$41+$K27/Tablo19[Q6]*$H$41+$L27/Tablo19[Q7]*$I$41</f>
        <v>0</v>
      </c>
      <c r="S27" s="12" cm="1">
        <f t="array" ref="S27">Tablo17[[#This Row],[Q1]]/Tablo19[Q1]*$C$42+$G27/Tablo19[Q2]*$D$42+$H27/Tablo19[Q3]*$E$42+$I27/Tablo19[Q4]*$F$42+$J27/Tablo19[Q5]*$G$42+$K27/Tablo19[Q6]*$H$42+$L27/Tablo19[Q7]*$I$42</f>
        <v>0</v>
      </c>
      <c r="T27" s="75" cm="1">
        <f t="array" ref="T27">Tablo17[[#This Row],[Q1]]/Tablo19[Q1]*$C$43+$G27/Tablo19[Q2]*$D$43+$H27/Tablo19[Q3]*$E$43+$I27/Tablo19[Q4]*$F$43+$J27/Tablo19[Q5]*$G$43+$K27/Tablo19[Q6]*$H$43+$L27/Tablo19[Q7]*$I$43</f>
        <v>0</v>
      </c>
      <c r="U27" s="76" cm="1">
        <f t="array" ref="U27">Tablo17[[#This Row],[Q1]]/Tablo19[Q1]*$C$44+$G27/Tablo19[Q2]*$D$44+$H27/Tablo19[Q3]*$E$44+$I27/Tablo19[Q4]*$F$44+$J27/Tablo19[Q5]*$G$44+$K27/Tablo19[Q6]*$H$44+$L27/Tablo19[Q7]*$I$44</f>
        <v>0</v>
      </c>
      <c r="V27" s="76" cm="1">
        <f t="array" ref="V27">Tablo17[[#This Row],[Q1]]/Tablo19[Q1]*$C$45+$G27/Tablo19[Q2]*$D$45+$H27/Tablo19[Q3]*$E$45+$I27/Tablo19[Q4]*$F$45+$J27/Tablo19[Q5]*$G$45+$K27/Tablo19[Q6]*$H$45+$L27/Tablo19[Q7]*$I$45</f>
        <v>0</v>
      </c>
      <c r="W27" s="76" cm="1">
        <f t="array" ref="W27">Tablo17[[#This Row],[Q1]]/Tablo19[Q1]*$C$46+$G27/Tablo19[Q2]*$D$46+$H27/Tablo19[Q3]*$E$46+$I27/Tablo19[Q4]*$F$46+$J27/Tablo19[Q5]*$G$46+$K27/Tablo19[Q6]*$H$46+$L27/Tablo19[Q7]*$I$46</f>
        <v>0</v>
      </c>
      <c r="X27" s="74">
        <f>SUM(N27:W27)</f>
        <v>23.5</v>
      </c>
      <c r="Y27" s="8">
        <f>_xlfn.NORM.DIST(Tablo17[[#This Row],[TOTAL GRADE]],$N$62,$O$62,FALSE)</f>
        <v>1.7705186287628478E-2</v>
      </c>
    </row>
    <row r="28" spans="2:25" ht="15.6" thickTop="1" thickBot="1" x14ac:dyDescent="0.35">
      <c r="B28" s="77">
        <v>24</v>
      </c>
      <c r="C28" s="14">
        <v>26</v>
      </c>
      <c r="D28" s="66" t="s">
        <v>110</v>
      </c>
      <c r="E28" s="61" t="s">
        <v>111</v>
      </c>
      <c r="F28" s="1">
        <v>0</v>
      </c>
      <c r="G28" s="1">
        <v>2</v>
      </c>
      <c r="H28" s="1">
        <v>8</v>
      </c>
      <c r="I28" s="1">
        <v>5</v>
      </c>
      <c r="J28" s="1">
        <v>5</v>
      </c>
      <c r="K28" s="1">
        <v>3</v>
      </c>
      <c r="L28" s="1">
        <v>2</v>
      </c>
      <c r="M28" s="12">
        <f>SUM(F28:L28)</f>
        <v>25</v>
      </c>
      <c r="N28" s="74" cm="1">
        <f t="array" ref="N28">Tablo17[[#This Row],[Q1]]/Tablo19[Q1]*$C$37+G28/Tablo19[Q2]*$D$37+H28/Tablo19[Q3]*$E$37+I28/Tablo19[Q4]*$F$37+J28/Tablo19[Q5]*$G$37+K28/Tablo19[Q6]*$H$37+L28/Tablo19[Q7]*$I$37</f>
        <v>7.6666666666666661</v>
      </c>
      <c r="O28" s="74" cm="1">
        <f t="array" ref="O28">Tablo17[[#This Row],[Q1]]/Tablo19[Q1]*$C$38+G28/Tablo19[Q2]*$D$38+H28/Tablo19[Q3]*$E$38+I28/Tablo19[Q4]*$F$38+J28/Tablo19[Q5]*$G$38+K28/Tablo19[Q6]*$H$38+L28/Tablo19[Q7]*$I$38</f>
        <v>1</v>
      </c>
      <c r="P28" s="74" cm="1">
        <f t="array" ref="P28">Tablo17[[#This Row],[Q1]]/Tablo19[Q1]*$C$39+G28/Tablo19[Q2]*$D$39+H28/Tablo19[Q3]*$E$39+I28/Tablo19[Q4]*$F$39+J28/Tablo19[Q5]*$G$39+K28/Tablo19[Q6]*$H$39+L28/Tablo19[Q7]*$I$39</f>
        <v>1.6666666666666665</v>
      </c>
      <c r="Q28" s="74" cm="1">
        <f t="array" ref="Q28">Tablo17[[#This Row],[Q1]]/Tablo19[Q1]*$C$40+G28/Tablo19[Q2]*$D$40+H28/Tablo19[Q3]*$E$40+I28/Tablo19[Q4]*$F$40+J28/Tablo19[Q5]*$G$40+K28/Tablo19[Q6]*$H$40+L28/Tablo19[Q7]*$I$40</f>
        <v>7.8333333333333321</v>
      </c>
      <c r="R28" s="12" cm="1">
        <f t="array" ref="R28">Tablo17[[#This Row],[Q1]]/Tablo19[Q1]*$C$41+$G28/Tablo19[Q2]*$D$41+$H28/Tablo19[Q3]*$E$41+$I28/Tablo19[Q4]*$F$41+$J28/Tablo19[Q5]*$G$41+$K28/Tablo19[Q6]*$H$41+$L28/Tablo19[Q7]*$I$41</f>
        <v>0</v>
      </c>
      <c r="S28" s="12" cm="1">
        <f t="array" ref="S28">Tablo17[[#This Row],[Q1]]/Tablo19[Q1]*$C$42+$G28/Tablo19[Q2]*$D$42+$H28/Tablo19[Q3]*$E$42+$I28/Tablo19[Q4]*$F$42+$J28/Tablo19[Q5]*$G$42+$K28/Tablo19[Q6]*$H$42+$L28/Tablo19[Q7]*$I$42</f>
        <v>0</v>
      </c>
      <c r="T28" s="75" cm="1">
        <f t="array" ref="T28">Tablo17[[#This Row],[Q1]]/Tablo19[Q1]*$C$43+$G28/Tablo19[Q2]*$D$43+$H28/Tablo19[Q3]*$E$43+$I28/Tablo19[Q4]*$F$43+$J28/Tablo19[Q5]*$G$43+$K28/Tablo19[Q6]*$H$43+$L28/Tablo19[Q7]*$I$43</f>
        <v>0</v>
      </c>
      <c r="U28" s="76" cm="1">
        <f t="array" ref="U28">Tablo17[[#This Row],[Q1]]/Tablo19[Q1]*$C$44+$G28/Tablo19[Q2]*$D$44+$H28/Tablo19[Q3]*$E$44+$I28/Tablo19[Q4]*$F$44+$J28/Tablo19[Q5]*$G$44+$K28/Tablo19[Q6]*$H$44+$L28/Tablo19[Q7]*$I$44</f>
        <v>0</v>
      </c>
      <c r="V28" s="76" cm="1">
        <f t="array" ref="V28">Tablo17[[#This Row],[Q1]]/Tablo19[Q1]*$C$45+$G28/Tablo19[Q2]*$D$45+$H28/Tablo19[Q3]*$E$45+$I28/Tablo19[Q4]*$F$45+$J28/Tablo19[Q5]*$G$45+$K28/Tablo19[Q6]*$H$45+$L28/Tablo19[Q7]*$I$45</f>
        <v>0</v>
      </c>
      <c r="W28" s="76" cm="1">
        <f t="array" ref="W28">Tablo17[[#This Row],[Q1]]/Tablo19[Q1]*$C$46+$G28/Tablo19[Q2]*$D$46+$H28/Tablo19[Q3]*$E$46+$I28/Tablo19[Q4]*$F$46+$J28/Tablo19[Q5]*$G$46+$K28/Tablo19[Q6]*$H$46+$L28/Tablo19[Q7]*$I$46</f>
        <v>0</v>
      </c>
      <c r="X28" s="74">
        <f>SUM(N28:W28)</f>
        <v>18.166666666666664</v>
      </c>
      <c r="Y28" s="8">
        <f>_xlfn.NORM.DIST(Tablo17[[#This Row],[TOTAL GRADE]],$N$62,$O$62,FALSE)</f>
        <v>1.6990855099063465E-2</v>
      </c>
    </row>
    <row r="29" spans="2:25" ht="15.6" thickTop="1" thickBot="1" x14ac:dyDescent="0.35">
      <c r="B29" s="51">
        <v>25</v>
      </c>
      <c r="C29" s="14">
        <v>27</v>
      </c>
      <c r="D29" s="61" t="s">
        <v>110</v>
      </c>
      <c r="E29" s="61" t="s">
        <v>111</v>
      </c>
      <c r="F29" s="1">
        <v>0</v>
      </c>
      <c r="G29" s="1">
        <v>0</v>
      </c>
      <c r="H29" s="1">
        <v>6</v>
      </c>
      <c r="I29" s="1">
        <v>6</v>
      </c>
      <c r="J29" s="1">
        <v>2</v>
      </c>
      <c r="K29" s="1">
        <v>5</v>
      </c>
      <c r="L29" s="1">
        <v>5</v>
      </c>
      <c r="M29" s="12">
        <f>SUM(F29:L29)</f>
        <v>24</v>
      </c>
      <c r="N29" s="74" cm="1">
        <f t="array" ref="N29">Tablo17[[#This Row],[Q1]]/Tablo19[Q1]*$C$37+G29/Tablo19[Q2]*$D$37+H29/Tablo19[Q3]*$E$37+I29/Tablo19[Q4]*$F$37+J29/Tablo19[Q5]*$G$37+K29/Tablo19[Q6]*$H$37+L29/Tablo19[Q7]*$I$37</f>
        <v>3.6666666666666665</v>
      </c>
      <c r="O29" s="74" cm="1">
        <f t="array" ref="O29">Tablo17[[#This Row],[Q1]]/Tablo19[Q1]*$C$38+G29/Tablo19[Q2]*$D$38+H29/Tablo19[Q3]*$E$38+I29/Tablo19[Q4]*$F$38+J29/Tablo19[Q5]*$G$38+K29/Tablo19[Q6]*$H$38+L29/Tablo19[Q7]*$I$38</f>
        <v>1.6666666666666665</v>
      </c>
      <c r="P29" s="74" cm="1">
        <f t="array" ref="P29">Tablo17[[#This Row],[Q1]]/Tablo19[Q1]*$C$39+G29/Tablo19[Q2]*$D$39+H29/Tablo19[Q3]*$E$39+I29/Tablo19[Q4]*$F$39+J29/Tablo19[Q5]*$G$39+K29/Tablo19[Q6]*$H$39+L29/Tablo19[Q7]*$I$39</f>
        <v>0.66666666666666663</v>
      </c>
      <c r="Q29" s="74" cm="1">
        <f t="array" ref="Q29">Tablo17[[#This Row],[Q1]]/Tablo19[Q1]*$C$40+G29/Tablo19[Q2]*$D$40+H29/Tablo19[Q3]*$E$40+I29/Tablo19[Q4]*$F$40+J29/Tablo19[Q5]*$G$40+K29/Tablo19[Q6]*$H$40+L29/Tablo19[Q7]*$I$40</f>
        <v>12</v>
      </c>
      <c r="R29" s="12" cm="1">
        <f t="array" ref="R29">Tablo17[[#This Row],[Q1]]/Tablo19[Q1]*$C$41+$G29/Tablo19[Q2]*$D$41+$H29/Tablo19[Q3]*$E$41+$I29/Tablo19[Q4]*$F$41+$J29/Tablo19[Q5]*$G$41+$K29/Tablo19[Q6]*$H$41+$L29/Tablo19[Q7]*$I$41</f>
        <v>0</v>
      </c>
      <c r="S29" s="12" cm="1">
        <f t="array" ref="S29">Tablo17[[#This Row],[Q1]]/Tablo19[Q1]*$C$42+$G29/Tablo19[Q2]*$D$42+$H29/Tablo19[Q3]*$E$42+$I29/Tablo19[Q4]*$F$42+$J29/Tablo19[Q5]*$G$42+$K29/Tablo19[Q6]*$H$42+$L29/Tablo19[Q7]*$I$42</f>
        <v>0</v>
      </c>
      <c r="T29" s="75" cm="1">
        <f t="array" ref="T29">Tablo17[[#This Row],[Q1]]/Tablo19[Q1]*$C$43+$G29/Tablo19[Q2]*$D$43+$H29/Tablo19[Q3]*$E$43+$I29/Tablo19[Q4]*$F$43+$J29/Tablo19[Q5]*$G$43+$K29/Tablo19[Q6]*$H$43+$L29/Tablo19[Q7]*$I$43</f>
        <v>0</v>
      </c>
      <c r="U29" s="76" cm="1">
        <f t="array" ref="U29">Tablo17[[#This Row],[Q1]]/Tablo19[Q1]*$C$44+$G29/Tablo19[Q2]*$D$44+$H29/Tablo19[Q3]*$E$44+$I29/Tablo19[Q4]*$F$44+$J29/Tablo19[Q5]*$G$44+$K29/Tablo19[Q6]*$H$44+$L29/Tablo19[Q7]*$I$44</f>
        <v>0</v>
      </c>
      <c r="V29" s="76" cm="1">
        <f t="array" ref="V29">Tablo17[[#This Row],[Q1]]/Tablo19[Q1]*$C$45+$G29/Tablo19[Q2]*$D$45+$H29/Tablo19[Q3]*$E$45+$I29/Tablo19[Q4]*$F$45+$J29/Tablo19[Q5]*$G$45+$K29/Tablo19[Q6]*$H$45+$L29/Tablo19[Q7]*$I$45</f>
        <v>0</v>
      </c>
      <c r="W29" s="76" cm="1">
        <f t="array" ref="W29">Tablo17[[#This Row],[Q1]]/Tablo19[Q1]*$C$46+$G29/Tablo19[Q2]*$D$46+$H29/Tablo19[Q3]*$E$46+$I29/Tablo19[Q4]*$F$46+$J29/Tablo19[Q5]*$G$46+$K29/Tablo19[Q6]*$H$46+$L29/Tablo19[Q7]*$I$46</f>
        <v>0</v>
      </c>
      <c r="X29" s="74">
        <f>SUM(N29:W29)</f>
        <v>18</v>
      </c>
      <c r="Y29" s="8">
        <f>_xlfn.NORM.DIST(Tablo17[[#This Row],[TOTAL GRADE]],$N$62,$O$62,FALSE)</f>
        <v>1.6253104016129061E-2</v>
      </c>
    </row>
    <row r="30" spans="2:25" ht="15.6" thickTop="1" thickBot="1" x14ac:dyDescent="0.35">
      <c r="B30" s="77">
        <v>26</v>
      </c>
      <c r="C30" s="14">
        <v>28</v>
      </c>
      <c r="D30" s="61" t="s">
        <v>110</v>
      </c>
      <c r="E30" s="61" t="s">
        <v>111</v>
      </c>
      <c r="F30" s="1">
        <v>1</v>
      </c>
      <c r="G30" s="1">
        <v>1</v>
      </c>
      <c r="H30" s="1">
        <v>7</v>
      </c>
      <c r="I30" s="1">
        <v>5</v>
      </c>
      <c r="J30" s="1">
        <v>6</v>
      </c>
      <c r="K30" s="1">
        <v>0</v>
      </c>
      <c r="L30" s="1">
        <v>2</v>
      </c>
      <c r="M30" s="12">
        <f>SUM(F30:L30)</f>
        <v>22</v>
      </c>
      <c r="N30" s="74" cm="1">
        <f t="array" ref="N30">Tablo17[[#This Row],[Q1]]/Tablo19[Q1]*$C$37+G30/Tablo19[Q2]*$D$37+H30/Tablo19[Q3]*$E$37+I30/Tablo19[Q4]*$F$37+J30/Tablo19[Q5]*$G$37+K30/Tablo19[Q6]*$H$37+L30/Tablo19[Q7]*$I$37</f>
        <v>7.5</v>
      </c>
      <c r="O30" s="74" cm="1">
        <f t="array" ref="O30">Tablo17[[#This Row],[Q1]]/Tablo19[Q1]*$C$38+G30/Tablo19[Q2]*$D$38+H30/Tablo19[Q3]*$E$38+I30/Tablo19[Q4]*$F$38+J30/Tablo19[Q5]*$G$38+K30/Tablo19[Q6]*$H$38+L30/Tablo19[Q7]*$I$38</f>
        <v>0.5</v>
      </c>
      <c r="P30" s="74" cm="1">
        <f t="array" ref="P30">Tablo17[[#This Row],[Q1]]/Tablo19[Q1]*$C$39+G30/Tablo19[Q2]*$D$39+H30/Tablo19[Q3]*$E$39+I30/Tablo19[Q4]*$F$39+J30/Tablo19[Q5]*$G$39+K30/Tablo19[Q6]*$H$39+L30/Tablo19[Q7]*$I$39</f>
        <v>2</v>
      </c>
      <c r="Q30" s="74" cm="1">
        <f t="array" ref="Q30">Tablo17[[#This Row],[Q1]]/Tablo19[Q1]*$C$40+G30/Tablo19[Q2]*$D$40+H30/Tablo19[Q3]*$E$40+I30/Tablo19[Q4]*$F$40+J30/Tablo19[Q5]*$G$40+K30/Tablo19[Q6]*$H$40+L30/Tablo19[Q7]*$I$40</f>
        <v>7.1666666666666661</v>
      </c>
      <c r="R30" s="12" cm="1">
        <f t="array" ref="R30">Tablo17[[#This Row],[Q1]]/Tablo19[Q1]*$C$41+$G30/Tablo19[Q2]*$D$41+$H30/Tablo19[Q3]*$E$41+$I30/Tablo19[Q4]*$F$41+$J30/Tablo19[Q5]*$G$41+$K30/Tablo19[Q6]*$H$41+$L30/Tablo19[Q7]*$I$41</f>
        <v>0</v>
      </c>
      <c r="S30" s="12" cm="1">
        <f t="array" ref="S30">Tablo17[[#This Row],[Q1]]/Tablo19[Q1]*$C$42+$G30/Tablo19[Q2]*$D$42+$H30/Tablo19[Q3]*$E$42+$I30/Tablo19[Q4]*$F$42+$J30/Tablo19[Q5]*$G$42+$K30/Tablo19[Q6]*$H$42+$L30/Tablo19[Q7]*$I$42</f>
        <v>0</v>
      </c>
      <c r="T30" s="75" cm="1">
        <f t="array" ref="T30">Tablo17[[#This Row],[Q1]]/Tablo19[Q1]*$C$43+$G30/Tablo19[Q2]*$D$43+$H30/Tablo19[Q3]*$E$43+$I30/Tablo19[Q4]*$F$43+$J30/Tablo19[Q5]*$G$43+$K30/Tablo19[Q6]*$H$43+$L30/Tablo19[Q7]*$I$43</f>
        <v>0</v>
      </c>
      <c r="U30" s="76" cm="1">
        <f t="array" ref="U30">Tablo17[[#This Row],[Q1]]/Tablo19[Q1]*$C$44+$G30/Tablo19[Q2]*$D$44+$H30/Tablo19[Q3]*$E$44+$I30/Tablo19[Q4]*$F$44+$J30/Tablo19[Q5]*$G$44+$K30/Tablo19[Q6]*$H$44+$L30/Tablo19[Q7]*$I$44</f>
        <v>0</v>
      </c>
      <c r="V30" s="76" cm="1">
        <f t="array" ref="V30">Tablo17[[#This Row],[Q1]]/Tablo19[Q1]*$C$45+$G30/Tablo19[Q2]*$D$45+$H30/Tablo19[Q3]*$E$45+$I30/Tablo19[Q4]*$F$45+$J30/Tablo19[Q5]*$G$45+$K30/Tablo19[Q6]*$H$45+$L30/Tablo19[Q7]*$I$45</f>
        <v>0</v>
      </c>
      <c r="W30" s="76" cm="1">
        <f t="array" ref="W30">Tablo17[[#This Row],[Q1]]/Tablo19[Q1]*$C$46+$G30/Tablo19[Q2]*$D$46+$H30/Tablo19[Q3]*$E$46+$I30/Tablo19[Q4]*$F$46+$J30/Tablo19[Q5]*$G$46+$K30/Tablo19[Q6]*$H$46+$L30/Tablo19[Q7]*$I$46</f>
        <v>0</v>
      </c>
      <c r="X30" s="74">
        <f>SUM(N30:W30)</f>
        <v>17.166666666666664</v>
      </c>
      <c r="Y30" s="8">
        <f>_xlfn.NORM.DIST(Tablo17[[#This Row],[TOTAL GRADE]],$N$62,$O$62,FALSE)</f>
        <v>1.4729822077923579E-2</v>
      </c>
    </row>
    <row r="31" spans="2:25" ht="15.6" thickTop="1" thickBot="1" x14ac:dyDescent="0.35">
      <c r="B31" s="51">
        <v>27</v>
      </c>
      <c r="C31" s="14">
        <v>30</v>
      </c>
      <c r="D31" s="61" t="s">
        <v>110</v>
      </c>
      <c r="E31" s="61" t="s">
        <v>111</v>
      </c>
      <c r="F31" s="1">
        <v>2</v>
      </c>
      <c r="G31" s="1">
        <v>1</v>
      </c>
      <c r="H31" s="1">
        <v>0</v>
      </c>
      <c r="I31" s="1">
        <v>4</v>
      </c>
      <c r="J31" s="1">
        <v>3</v>
      </c>
      <c r="K31" s="1">
        <v>1</v>
      </c>
      <c r="L31" s="1">
        <v>6</v>
      </c>
      <c r="M31" s="12">
        <f>SUM(F31:L31)</f>
        <v>17</v>
      </c>
      <c r="N31" s="74" cm="1">
        <f t="array" ref="N31">Tablo17[[#This Row],[Q1]]/Tablo19[Q1]*$C$37+G31/Tablo19[Q2]*$D$37+H31/Tablo19[Q3]*$E$37+I31/Tablo19[Q4]*$F$37+J31/Tablo19[Q5]*$G$37+K31/Tablo19[Q6]*$H$37+L31/Tablo19[Q7]*$I$37</f>
        <v>4</v>
      </c>
      <c r="O31" s="74" cm="1">
        <f t="array" ref="O31">Tablo17[[#This Row],[Q1]]/Tablo19[Q1]*$C$38+G31/Tablo19[Q2]*$D$38+H31/Tablo19[Q3]*$E$38+I31/Tablo19[Q4]*$F$38+J31/Tablo19[Q5]*$G$38+K31/Tablo19[Q6]*$H$38+L31/Tablo19[Q7]*$I$38</f>
        <v>1.3333333333333333</v>
      </c>
      <c r="P31" s="74" cm="1">
        <f t="array" ref="P31">Tablo17[[#This Row],[Q1]]/Tablo19[Q1]*$C$39+G31/Tablo19[Q2]*$D$39+H31/Tablo19[Q3]*$E$39+I31/Tablo19[Q4]*$F$39+J31/Tablo19[Q5]*$G$39+K31/Tablo19[Q6]*$H$39+L31/Tablo19[Q7]*$I$39</f>
        <v>1</v>
      </c>
      <c r="Q31" s="74" cm="1">
        <f t="array" ref="Q31">Tablo17[[#This Row],[Q1]]/Tablo19[Q1]*$C$40+G31/Tablo19[Q2]*$D$40+H31/Tablo19[Q3]*$E$40+I31/Tablo19[Q4]*$F$40+J31/Tablo19[Q5]*$G$40+K31/Tablo19[Q6]*$H$40+L31/Tablo19[Q7]*$I$40</f>
        <v>11.333333333333334</v>
      </c>
      <c r="R31" s="12" cm="1">
        <f t="array" ref="R31">Tablo17[[#This Row],[Q1]]/Tablo19[Q1]*$C$41+$G31/Tablo19[Q2]*$D$41+$H31/Tablo19[Q3]*$E$41+$I31/Tablo19[Q4]*$F$41+$J31/Tablo19[Q5]*$G$41+$K31/Tablo19[Q6]*$H$41+$L31/Tablo19[Q7]*$I$41</f>
        <v>0</v>
      </c>
      <c r="S31" s="12" cm="1">
        <f t="array" ref="S31">Tablo17[[#This Row],[Q1]]/Tablo19[Q1]*$C$42+$G31/Tablo19[Q2]*$D$42+$H31/Tablo19[Q3]*$E$42+$I31/Tablo19[Q4]*$F$42+$J31/Tablo19[Q5]*$G$42+$K31/Tablo19[Q6]*$H$42+$L31/Tablo19[Q7]*$I$42</f>
        <v>0</v>
      </c>
      <c r="T31" s="75" cm="1">
        <f t="array" ref="T31">Tablo17[[#This Row],[Q1]]/Tablo19[Q1]*$C$43+$G31/Tablo19[Q2]*$D$43+$H31/Tablo19[Q3]*$E$43+$I31/Tablo19[Q4]*$F$43+$J31/Tablo19[Q5]*$G$43+$K31/Tablo19[Q6]*$H$43+$L31/Tablo19[Q7]*$I$43</f>
        <v>0</v>
      </c>
      <c r="U31" s="76" cm="1">
        <f t="array" ref="U31">Tablo17[[#This Row],[Q1]]/Tablo19[Q1]*$C$44+$G31/Tablo19[Q2]*$D$44+$H31/Tablo19[Q3]*$E$44+$I31/Tablo19[Q4]*$F$44+$J31/Tablo19[Q5]*$G$44+$K31/Tablo19[Q6]*$H$44+$L31/Tablo19[Q7]*$I$44</f>
        <v>0</v>
      </c>
      <c r="V31" s="76" cm="1">
        <f t="array" ref="V31">Tablo17[[#This Row],[Q1]]/Tablo19[Q1]*$C$45+$G31/Tablo19[Q2]*$D$45+$H31/Tablo19[Q3]*$E$45+$I31/Tablo19[Q4]*$F$45+$J31/Tablo19[Q5]*$G$45+$K31/Tablo19[Q6]*$H$45+$L31/Tablo19[Q7]*$I$45</f>
        <v>0</v>
      </c>
      <c r="W31" s="76" cm="1">
        <f t="array" ref="W31">Tablo17[[#This Row],[Q1]]/Tablo19[Q1]*$C$46+$G31/Tablo19[Q2]*$D$46+$H31/Tablo19[Q3]*$E$46+$I31/Tablo19[Q4]*$F$46+$J31/Tablo19[Q5]*$G$46+$K31/Tablo19[Q6]*$H$46+$L31/Tablo19[Q7]*$I$46</f>
        <v>0</v>
      </c>
      <c r="X31" s="74">
        <f>SUM(N31:W31)</f>
        <v>17.666666666666668</v>
      </c>
      <c r="Y31" s="8">
        <f>_xlfn.NORM.DIST(Tablo17[[#This Row],[TOTAL GRADE]],$N$62,$O$62,FALSE)</f>
        <v>1.0888334885206871E-2</v>
      </c>
    </row>
    <row r="32" spans="2:25" ht="15.6" thickTop="1" thickBot="1" x14ac:dyDescent="0.35">
      <c r="B32" s="77">
        <v>28</v>
      </c>
      <c r="C32" s="14">
        <v>1</v>
      </c>
      <c r="D32" s="61" t="s">
        <v>110</v>
      </c>
      <c r="E32" s="61" t="s">
        <v>111</v>
      </c>
      <c r="F32" s="1">
        <v>0</v>
      </c>
      <c r="G32" s="1">
        <v>5</v>
      </c>
      <c r="H32" s="1">
        <v>0</v>
      </c>
      <c r="I32" s="1">
        <v>0</v>
      </c>
      <c r="J32" s="1">
        <v>0</v>
      </c>
      <c r="K32" s="1">
        <v>0</v>
      </c>
      <c r="L32" s="1">
        <v>0</v>
      </c>
      <c r="M32" s="12">
        <f>SUM(F32:L32)</f>
        <v>5</v>
      </c>
      <c r="N32" s="74" cm="1">
        <f t="array" ref="N32">Tablo17[[#This Row],[Q1]]/Tablo19[Q1]*$C$37+G32/Tablo19[Q2]*$D$37+H32/Tablo19[Q3]*$E$37+I32/Tablo19[Q4]*$F$37+J32/Tablo19[Q5]*$G$37+K32/Tablo19[Q6]*$H$37+L32/Tablo19[Q7]*$I$37</f>
        <v>5</v>
      </c>
      <c r="O32" s="74" cm="1">
        <f t="array" ref="O32">Tablo17[[#This Row],[Q1]]/Tablo19[Q1]*$C$38+G32/Tablo19[Q2]*$D$38+H32/Tablo19[Q3]*$E$38+I32/Tablo19[Q4]*$F$38+J32/Tablo19[Q5]*$G$38+K32/Tablo19[Q6]*$H$38+L32/Tablo19[Q7]*$I$38</f>
        <v>0</v>
      </c>
      <c r="P32" s="74" cm="1">
        <f t="array" ref="P32">Tablo17[[#This Row],[Q1]]/Tablo19[Q1]*$C$39+G32/Tablo19[Q2]*$D$39+H32/Tablo19[Q3]*$E$39+I32/Tablo19[Q4]*$F$39+J32/Tablo19[Q5]*$G$39+K32/Tablo19[Q6]*$H$39+L32/Tablo19[Q7]*$I$39</f>
        <v>0</v>
      </c>
      <c r="Q32" s="74" cm="1">
        <f t="array" ref="Q32">Tablo17[[#This Row],[Q1]]/Tablo19[Q1]*$C$40+G32/Tablo19[Q2]*$D$40+H32/Tablo19[Q3]*$E$40+I32/Tablo19[Q4]*$F$40+J32/Tablo19[Q5]*$G$40+K32/Tablo19[Q6]*$H$40+L32/Tablo19[Q7]*$I$40</f>
        <v>0</v>
      </c>
      <c r="R32" s="12" cm="1">
        <f t="array" ref="R32">Tablo17[[#This Row],[Q1]]/Tablo19[Q1]*$C$41+$G32/Tablo19[Q2]*$D$41+$H32/Tablo19[Q3]*$E$41+$I32/Tablo19[Q4]*$F$41+$J32/Tablo19[Q5]*$G$41+$K32/Tablo19[Q6]*$H$41+$L32/Tablo19[Q7]*$I$41</f>
        <v>0</v>
      </c>
      <c r="S32" s="12" cm="1">
        <f t="array" ref="S32">Tablo17[[#This Row],[Q1]]/Tablo19[Q1]*$C$42+$G32/Tablo19[Q2]*$D$42+$H32/Tablo19[Q3]*$E$42+$I32/Tablo19[Q4]*$F$42+$J32/Tablo19[Q5]*$G$42+$K32/Tablo19[Q6]*$H$42+$L32/Tablo19[Q7]*$I$42</f>
        <v>0</v>
      </c>
      <c r="T32" s="75" cm="1">
        <f t="array" ref="T32">Tablo17[[#This Row],[Q1]]/Tablo19[Q1]*$C$43+$G32/Tablo19[Q2]*$D$43+$H32/Tablo19[Q3]*$E$43+$I32/Tablo19[Q4]*$F$43+$J32/Tablo19[Q5]*$G$43+$K32/Tablo19[Q6]*$H$43+$L32/Tablo19[Q7]*$I$43</f>
        <v>0</v>
      </c>
      <c r="U32" s="76" cm="1">
        <f t="array" ref="U32">Tablo17[[#This Row],[Q1]]/Tablo19[Q1]*$C$44+$G32/Tablo19[Q2]*$D$44+$H32/Tablo19[Q3]*$E$44+$I32/Tablo19[Q4]*$F$44+$J32/Tablo19[Q5]*$G$44+$K32/Tablo19[Q6]*$H$44+$L32/Tablo19[Q7]*$I$44</f>
        <v>0</v>
      </c>
      <c r="V32" s="76" cm="1">
        <f t="array" ref="V32">Tablo17[[#This Row],[Q1]]/Tablo19[Q1]*$C$45+$G32/Tablo19[Q2]*$D$45+$H32/Tablo19[Q3]*$E$45+$I32/Tablo19[Q4]*$F$45+$J32/Tablo19[Q5]*$G$45+$K32/Tablo19[Q6]*$H$45+$L32/Tablo19[Q7]*$I$45</f>
        <v>0</v>
      </c>
      <c r="W32" s="76" cm="1">
        <f t="array" ref="W32">Tablo17[[#This Row],[Q1]]/Tablo19[Q1]*$C$46+$G32/Tablo19[Q2]*$D$46+$H32/Tablo19[Q3]*$E$46+$I32/Tablo19[Q4]*$F$46+$J32/Tablo19[Q5]*$G$46+$K32/Tablo19[Q6]*$H$46+$L32/Tablo19[Q7]*$I$46</f>
        <v>0</v>
      </c>
      <c r="X32" s="74">
        <f>SUM(N32:W32)</f>
        <v>5</v>
      </c>
      <c r="Y32" s="8">
        <f>_xlfn.NORM.DIST(Tablo17[[#This Row],[TOTAL GRADE]],$N$62,$O$62,FALSE)</f>
        <v>3.8005109106011492E-3</v>
      </c>
    </row>
    <row r="33" spans="2:25" ht="15.6" thickTop="1" thickBot="1" x14ac:dyDescent="0.35">
      <c r="B33" s="51">
        <v>29</v>
      </c>
      <c r="C33" s="14">
        <v>2</v>
      </c>
      <c r="D33" s="61" t="s">
        <v>110</v>
      </c>
      <c r="E33" s="61" t="s">
        <v>111</v>
      </c>
      <c r="F33" s="1">
        <v>0</v>
      </c>
      <c r="G33" s="1">
        <v>0</v>
      </c>
      <c r="H33" s="1">
        <v>0</v>
      </c>
      <c r="I33" s="1">
        <v>0</v>
      </c>
      <c r="J33" s="1">
        <v>0</v>
      </c>
      <c r="K33" s="1">
        <v>0</v>
      </c>
      <c r="L33" s="1">
        <v>0</v>
      </c>
      <c r="M33" s="12">
        <f>SUM(F33:L33)</f>
        <v>0</v>
      </c>
      <c r="N33" s="74" cm="1">
        <f t="array" ref="N33">Tablo17[[#This Row],[Q1]]/Tablo19[Q1]*$C$37+G33/Tablo19[Q2]*$D$37+H33/Tablo19[Q3]*$E$37+I33/Tablo19[Q4]*$F$37+J33/Tablo19[Q5]*$G$37+K33/Tablo19[Q6]*$H$37+L33/Tablo19[Q7]*$I$37</f>
        <v>0</v>
      </c>
      <c r="O33" s="74" cm="1">
        <f t="array" ref="O33">Tablo17[[#This Row],[Q1]]/Tablo19[Q1]*$C$38+G33/Tablo19[Q2]*$D$38+H33/Tablo19[Q3]*$E$38+I33/Tablo19[Q4]*$F$38+J33/Tablo19[Q5]*$G$38+K33/Tablo19[Q6]*$H$38+L33/Tablo19[Q7]*$I$38</f>
        <v>0</v>
      </c>
      <c r="P33" s="74" cm="1">
        <f t="array" ref="P33">Tablo17[[#This Row],[Q1]]/Tablo19[Q1]*$C$39+G33/Tablo19[Q2]*$D$39+H33/Tablo19[Q3]*$E$39+I33/Tablo19[Q4]*$F$39+J33/Tablo19[Q5]*$G$39+K33/Tablo19[Q6]*$H$39+L33/Tablo19[Q7]*$I$39</f>
        <v>0</v>
      </c>
      <c r="Q33" s="74" cm="1">
        <f t="array" ref="Q33">Tablo17[[#This Row],[Q1]]/Tablo19[Q1]*$C$40+G33/Tablo19[Q2]*$D$40+H33/Tablo19[Q3]*$E$40+I33/Tablo19[Q4]*$F$40+J33/Tablo19[Q5]*$G$40+K33/Tablo19[Q6]*$H$40+L33/Tablo19[Q7]*$I$40</f>
        <v>0</v>
      </c>
      <c r="R33" s="12" cm="1">
        <f t="array" ref="R33">Tablo17[[#This Row],[Q1]]/Tablo19[Q1]*$C$41+$G33/Tablo19[Q2]*$D$41+$H33/Tablo19[Q3]*$E$41+$I33/Tablo19[Q4]*$F$41+$J33/Tablo19[Q5]*$G$41+$K33/Tablo19[Q6]*$H$41+$L33/Tablo19[Q7]*$I$41</f>
        <v>0</v>
      </c>
      <c r="S33" s="12" cm="1">
        <f t="array" ref="S33">Tablo17[[#This Row],[Q1]]/Tablo19[Q1]*$C$42+$G33/Tablo19[Q2]*$D$42+$H33/Tablo19[Q3]*$E$42+$I33/Tablo19[Q4]*$F$42+$J33/Tablo19[Q5]*$G$42+$K33/Tablo19[Q6]*$H$42+$L33/Tablo19[Q7]*$I$42</f>
        <v>0</v>
      </c>
      <c r="T33" s="75" cm="1">
        <f t="array" ref="T33">Tablo17[[#This Row],[Q1]]/Tablo19[Q1]*$C$43+$G33/Tablo19[Q2]*$D$43+$H33/Tablo19[Q3]*$E$43+$I33/Tablo19[Q4]*$F$43+$J33/Tablo19[Q5]*$G$43+$K33/Tablo19[Q6]*$H$43+$L33/Tablo19[Q7]*$I$43</f>
        <v>0</v>
      </c>
      <c r="U33" s="76" cm="1">
        <f t="array" ref="U33">Tablo17[[#This Row],[Q1]]/Tablo19[Q1]*$C$44+$G33/Tablo19[Q2]*$D$44+$H33/Tablo19[Q3]*$E$44+$I33/Tablo19[Q4]*$F$44+$J33/Tablo19[Q5]*$G$44+$K33/Tablo19[Q6]*$H$44+$L33/Tablo19[Q7]*$I$44</f>
        <v>0</v>
      </c>
      <c r="V33" s="76" cm="1">
        <f t="array" ref="V33">Tablo17[[#This Row],[Q1]]/Tablo19[Q1]*$C$45+$G33/Tablo19[Q2]*$D$45+$H33/Tablo19[Q3]*$E$45+$I33/Tablo19[Q4]*$F$45+$J33/Tablo19[Q5]*$G$45+$K33/Tablo19[Q6]*$H$45+$L33/Tablo19[Q7]*$I$45</f>
        <v>0</v>
      </c>
      <c r="W33" s="76" cm="1">
        <f t="array" ref="W33">Tablo17[[#This Row],[Q1]]/Tablo19[Q1]*$C$46+$G33/Tablo19[Q2]*$D$46+$H33/Tablo19[Q3]*$E$46+$I33/Tablo19[Q4]*$F$46+$J33/Tablo19[Q5]*$G$46+$K33/Tablo19[Q6]*$H$46+$L33/Tablo19[Q7]*$I$46</f>
        <v>0</v>
      </c>
      <c r="X33" s="74">
        <f>SUM(N33:W33)</f>
        <v>0</v>
      </c>
      <c r="Y33" s="8">
        <f>_xlfn.NORM.DIST(Tablo17[[#This Row],[TOTAL GRADE]],$N$62,$O$62,FALSE)</f>
        <v>2.138676561731587E-3</v>
      </c>
    </row>
    <row r="34" spans="2:25" ht="15.6" thickTop="1" thickBot="1" x14ac:dyDescent="0.35">
      <c r="B34" s="77">
        <v>30</v>
      </c>
      <c r="C34" s="14">
        <v>3</v>
      </c>
      <c r="D34" s="61" t="s">
        <v>110</v>
      </c>
      <c r="E34" s="61" t="s">
        <v>111</v>
      </c>
      <c r="F34" s="1">
        <v>0</v>
      </c>
      <c r="G34" s="1">
        <v>0</v>
      </c>
      <c r="H34" s="1">
        <v>0</v>
      </c>
      <c r="I34" s="1">
        <v>0</v>
      </c>
      <c r="J34" s="1">
        <v>0</v>
      </c>
      <c r="K34" s="1">
        <v>0</v>
      </c>
      <c r="L34" s="1">
        <v>0</v>
      </c>
      <c r="M34" s="12">
        <f>SUM(F34:L34)</f>
        <v>0</v>
      </c>
      <c r="N34" s="74" cm="1">
        <f t="array" ref="N34">Tablo17[[#This Row],[Q1]]/Tablo19[Q1]*$C$37+G34/Tablo19[Q2]*$D$37+H34/Tablo19[Q3]*$E$37+I34/Tablo19[Q4]*$F$37+J34/Tablo19[Q5]*$G$37+K34/Tablo19[Q6]*$H$37+L34/Tablo19[Q7]*$I$37</f>
        <v>0</v>
      </c>
      <c r="O34" s="74" cm="1">
        <f t="array" ref="O34">Tablo17[[#This Row],[Q1]]/Tablo19[Q1]*$C$38+G34/Tablo19[Q2]*$D$38+H34/Tablo19[Q3]*$E$38+I34/Tablo19[Q4]*$F$38+J34/Tablo19[Q5]*$G$38+K34/Tablo19[Q6]*$H$38+L34/Tablo19[Q7]*$I$38</f>
        <v>0</v>
      </c>
      <c r="P34" s="74" cm="1">
        <f t="array" ref="P34">Tablo17[[#This Row],[Q1]]/Tablo19[Q1]*$C$39+G34/Tablo19[Q2]*$D$39+H34/Tablo19[Q3]*$E$39+I34/Tablo19[Q4]*$F$39+J34/Tablo19[Q5]*$G$39+K34/Tablo19[Q6]*$H$39+L34/Tablo19[Q7]*$I$39</f>
        <v>0</v>
      </c>
      <c r="Q34" s="74" cm="1">
        <f t="array" ref="Q34">Tablo17[[#This Row],[Q1]]/Tablo19[Q1]*$C$40+G34/Tablo19[Q2]*$D$40+H34/Tablo19[Q3]*$E$40+I34/Tablo19[Q4]*$F$40+J34/Tablo19[Q5]*$G$40+K34/Tablo19[Q6]*$H$40+L34/Tablo19[Q7]*$I$40</f>
        <v>0</v>
      </c>
      <c r="R34" s="12" cm="1">
        <f t="array" ref="R34">Tablo17[[#This Row],[Q1]]/Tablo19[Q1]*$C$41+$G34/Tablo19[Q2]*$D$41+$H34/Tablo19[Q3]*$E$41+$I34/Tablo19[Q4]*$F$41+$J34/Tablo19[Q5]*$G$41+$K34/Tablo19[Q6]*$H$41+$L34/Tablo19[Q7]*$I$41</f>
        <v>0</v>
      </c>
      <c r="S34" s="12" cm="1">
        <f t="array" ref="S34">Tablo17[[#This Row],[Q1]]/Tablo19[Q1]*$C$42+$G34/Tablo19[Q2]*$D$42+$H34/Tablo19[Q3]*$E$42+$I34/Tablo19[Q4]*$F$42+$J34/Tablo19[Q5]*$G$42+$K34/Tablo19[Q6]*$H$42+$L34/Tablo19[Q7]*$I$42</f>
        <v>0</v>
      </c>
      <c r="T34" s="75" cm="1">
        <f t="array" ref="T34">Tablo17[[#This Row],[Q1]]/Tablo19[Q1]*$C$43+$G34/Tablo19[Q2]*$D$43+$H34/Tablo19[Q3]*$E$43+$I34/Tablo19[Q4]*$F$43+$J34/Tablo19[Q5]*$G$43+$K34/Tablo19[Q6]*$H$43+$L34/Tablo19[Q7]*$I$43</f>
        <v>0</v>
      </c>
      <c r="U34" s="76" cm="1">
        <f t="array" ref="U34">Tablo17[[#This Row],[Q1]]/Tablo19[Q1]*$C$44+$G34/Tablo19[Q2]*$D$44+$H34/Tablo19[Q3]*$E$44+$I34/Tablo19[Q4]*$F$44+$J34/Tablo19[Q5]*$G$44+$K34/Tablo19[Q6]*$H$44+$L34/Tablo19[Q7]*$I$44</f>
        <v>0</v>
      </c>
      <c r="V34" s="76" cm="1">
        <f t="array" ref="V34">Tablo17[[#This Row],[Q1]]/Tablo19[Q1]*$C$45+$G34/Tablo19[Q2]*$D$45+$H34/Tablo19[Q3]*$E$45+$I34/Tablo19[Q4]*$F$45+$J34/Tablo19[Q5]*$G$45+$K34/Tablo19[Q6]*$H$45+$L34/Tablo19[Q7]*$I$45</f>
        <v>0</v>
      </c>
      <c r="W34" s="76" cm="1">
        <f t="array" ref="W34">Tablo17[[#This Row],[Q1]]/Tablo19[Q1]*$C$46+$G34/Tablo19[Q2]*$D$46+$H34/Tablo19[Q3]*$E$46+$I34/Tablo19[Q4]*$F$46+$J34/Tablo19[Q5]*$G$46+$K34/Tablo19[Q6]*$H$46+$L34/Tablo19[Q7]*$I$46</f>
        <v>0</v>
      </c>
      <c r="X34" s="74">
        <f>SUM(N34:W34)</f>
        <v>0</v>
      </c>
      <c r="Y34" s="8">
        <f>_xlfn.NORM.DIST(Tablo17[[#This Row],[TOTAL GRADE]],$N$62,$O$62,FALSE)</f>
        <v>2.138676561731587E-3</v>
      </c>
    </row>
    <row r="35" spans="2:25" ht="15" thickTop="1" x14ac:dyDescent="0.3">
      <c r="E35" s="5"/>
      <c r="F35" s="5"/>
      <c r="G35" s="5"/>
      <c r="H35" s="5"/>
      <c r="I35" s="5"/>
      <c r="J35" s="5"/>
      <c r="L35" s="5"/>
      <c r="M35" s="14"/>
      <c r="N35" s="14"/>
      <c r="O35" s="14"/>
      <c r="P35" s="14"/>
    </row>
    <row r="36" spans="2:25" ht="15" thickBot="1" x14ac:dyDescent="0.35">
      <c r="B36" s="6" t="s">
        <v>85</v>
      </c>
      <c r="C36" s="10" t="s">
        <v>19</v>
      </c>
      <c r="D36" s="10" t="s">
        <v>20</v>
      </c>
      <c r="E36" s="10" t="s">
        <v>21</v>
      </c>
      <c r="F36" s="10" t="s">
        <v>22</v>
      </c>
      <c r="G36" s="10" t="s">
        <v>23</v>
      </c>
      <c r="H36" s="10" t="s">
        <v>24</v>
      </c>
      <c r="I36" s="10" t="s">
        <v>29</v>
      </c>
      <c r="J36" s="31" t="s">
        <v>86</v>
      </c>
      <c r="K36" s="11" t="s">
        <v>87</v>
      </c>
      <c r="L36" s="6" t="s">
        <v>88</v>
      </c>
      <c r="N36" s="27" t="s">
        <v>77</v>
      </c>
      <c r="O36" s="27" t="s">
        <v>78</v>
      </c>
    </row>
    <row r="37" spans="2:25" ht="15.6" thickTop="1" thickBot="1" x14ac:dyDescent="0.35">
      <c r="B37" s="29">
        <v>1</v>
      </c>
      <c r="C37" s="32">
        <v>10</v>
      </c>
      <c r="D37" s="32">
        <v>5</v>
      </c>
      <c r="E37" s="32">
        <v>10</v>
      </c>
      <c r="F37" s="32">
        <v>0</v>
      </c>
      <c r="G37" s="32">
        <v>5</v>
      </c>
      <c r="H37" s="32">
        <v>0</v>
      </c>
      <c r="I37" s="32">
        <v>0</v>
      </c>
      <c r="J37" s="33">
        <f>SUM(Tablo16[[#This Row],[Q1]:[Q7]])</f>
        <v>30</v>
      </c>
      <c r="K37" s="34">
        <f>IF($J37=0,"0",SUM(Tablo17[DÇ1])/(30*J37))</f>
        <v>0.3221296296296296</v>
      </c>
      <c r="L37" s="33">
        <f t="shared" ref="L37:L46" si="0">$K37*$J37</f>
        <v>9.6638888888888879</v>
      </c>
      <c r="N37" s="30">
        <v>1</v>
      </c>
      <c r="O37" s="5" t="str">
        <f>MAIN!R51</f>
        <v>Çıktı-1</v>
      </c>
    </row>
    <row r="38" spans="2:25" ht="15.6" thickTop="1" thickBot="1" x14ac:dyDescent="0.35">
      <c r="B38" s="14">
        <v>2</v>
      </c>
      <c r="C38" s="35">
        <v>5</v>
      </c>
      <c r="D38" s="35">
        <v>0</v>
      </c>
      <c r="E38" s="35">
        <v>0</v>
      </c>
      <c r="F38" s="35">
        <v>0</v>
      </c>
      <c r="G38" s="35">
        <v>0</v>
      </c>
      <c r="H38" s="35">
        <v>5</v>
      </c>
      <c r="I38" s="35">
        <v>0</v>
      </c>
      <c r="J38" s="33">
        <f>SUM(Tablo16[[#This Row],[Q1]:[Q7]])</f>
        <v>10</v>
      </c>
      <c r="K38" s="34">
        <f>IF($J38=0,"0",SUM(Tablo17[DÇ2])/(30*J38))</f>
        <v>0.28055555555555556</v>
      </c>
      <c r="L38" s="33">
        <f t="shared" si="0"/>
        <v>2.8055555555555554</v>
      </c>
      <c r="M38" s="14"/>
      <c r="N38" s="30">
        <v>2</v>
      </c>
      <c r="O38" s="5" t="str">
        <f>MAIN!R52</f>
        <v>Çıktı-2</v>
      </c>
    </row>
    <row r="39" spans="2:25" ht="15.6" thickTop="1" thickBot="1" x14ac:dyDescent="0.35">
      <c r="B39" s="14">
        <v>3</v>
      </c>
      <c r="C39" s="35">
        <v>0</v>
      </c>
      <c r="D39" s="35">
        <v>0</v>
      </c>
      <c r="E39" s="35">
        <v>0</v>
      </c>
      <c r="F39" s="35">
        <v>0</v>
      </c>
      <c r="G39" s="35">
        <v>5</v>
      </c>
      <c r="H39" s="35">
        <v>0</v>
      </c>
      <c r="I39" s="35">
        <v>0</v>
      </c>
      <c r="J39" s="33">
        <f>SUM(Tablo16[[#This Row],[Q1]:[Q7]])</f>
        <v>5</v>
      </c>
      <c r="K39" s="34">
        <f>IF($J39=0,"0",SUM(Tablo17[DÇ3])/(30*J39))</f>
        <v>0.40444444444444433</v>
      </c>
      <c r="L39" s="33">
        <f t="shared" si="0"/>
        <v>2.0222222222222217</v>
      </c>
      <c r="M39" s="14"/>
      <c r="N39" s="30">
        <v>3</v>
      </c>
      <c r="O39" s="5" t="str">
        <f>MAIN!R53</f>
        <v>Çıktı-3</v>
      </c>
      <c r="P39" s="14"/>
    </row>
    <row r="40" spans="2:25" ht="15.6" thickTop="1" thickBot="1" x14ac:dyDescent="0.35">
      <c r="B40" s="14">
        <v>4</v>
      </c>
      <c r="C40" s="35">
        <v>0</v>
      </c>
      <c r="D40" s="35">
        <v>0</v>
      </c>
      <c r="E40" s="35">
        <v>0</v>
      </c>
      <c r="F40" s="35">
        <v>10</v>
      </c>
      <c r="G40" s="35">
        <v>5</v>
      </c>
      <c r="H40" s="35">
        <v>5</v>
      </c>
      <c r="I40" s="35">
        <v>20</v>
      </c>
      <c r="J40" s="33">
        <f>SUM(Tablo16[[#This Row],[Q1]:[Q7]])</f>
        <v>40</v>
      </c>
      <c r="K40" s="34">
        <f>IF($J40=0,"0",SUM(Tablo17[DÇ4])/(30*J40))</f>
        <v>0.41305555555555562</v>
      </c>
      <c r="L40" s="33">
        <f t="shared" si="0"/>
        <v>16.522222222222226</v>
      </c>
      <c r="M40" s="14"/>
      <c r="N40" s="1">
        <v>4</v>
      </c>
      <c r="O40" s="5" t="str">
        <f>MAIN!R54</f>
        <v>Çıktı-4</v>
      </c>
      <c r="P40" s="14"/>
    </row>
    <row r="41" spans="2:25" ht="15.6" thickTop="1" thickBot="1" x14ac:dyDescent="0.35">
      <c r="B41" s="31">
        <v>5</v>
      </c>
      <c r="C41" s="35">
        <v>0</v>
      </c>
      <c r="D41" s="35">
        <v>0</v>
      </c>
      <c r="E41" s="35">
        <v>0</v>
      </c>
      <c r="F41" s="35">
        <v>0</v>
      </c>
      <c r="G41" s="35">
        <v>0</v>
      </c>
      <c r="H41" s="35">
        <v>0</v>
      </c>
      <c r="I41" s="35">
        <v>0</v>
      </c>
      <c r="J41" s="9">
        <f>SUM(Tablo16[[#This Row],[Q1]:[Q7]])</f>
        <v>0</v>
      </c>
      <c r="K41" s="78" t="str">
        <f>IF($J41=0,"0",SUM(Tablo17[DÇ5])/(30*J41))</f>
        <v>0</v>
      </c>
      <c r="L41" s="79">
        <f t="shared" si="0"/>
        <v>0</v>
      </c>
      <c r="M41" s="14"/>
      <c r="N41" s="30">
        <v>5</v>
      </c>
      <c r="O41" s="5" t="str">
        <f>MAIN!R55</f>
        <v>Çıktı-5</v>
      </c>
      <c r="P41" s="14"/>
    </row>
    <row r="42" spans="2:25" ht="15.6" thickTop="1" thickBot="1" x14ac:dyDescent="0.35">
      <c r="B42" s="14">
        <v>6</v>
      </c>
      <c r="C42" s="35">
        <v>0</v>
      </c>
      <c r="D42" s="35">
        <v>0</v>
      </c>
      <c r="E42" s="35">
        <v>0</v>
      </c>
      <c r="F42" s="35">
        <v>0</v>
      </c>
      <c r="G42" s="35">
        <v>0</v>
      </c>
      <c r="H42" s="35">
        <v>0</v>
      </c>
      <c r="I42" s="35">
        <v>0</v>
      </c>
      <c r="J42" s="9">
        <f>SUM(Tablo16[[#This Row],[Q1]:[Q7]])</f>
        <v>0</v>
      </c>
      <c r="K42" s="78" t="str">
        <f>IF($J42=0,"0",SUM(Tablo17[DÇ6])/(30*J42))</f>
        <v>0</v>
      </c>
      <c r="L42" s="80">
        <f t="shared" si="0"/>
        <v>0</v>
      </c>
      <c r="N42" s="30">
        <v>6</v>
      </c>
      <c r="O42" s="5" t="str">
        <f>MAIN!R56</f>
        <v>Çıktı-6</v>
      </c>
      <c r="P42" s="14"/>
    </row>
    <row r="43" spans="2:25" ht="15.6" thickTop="1" thickBot="1" x14ac:dyDescent="0.35">
      <c r="B43" s="14">
        <v>7</v>
      </c>
      <c r="C43" s="35">
        <v>0</v>
      </c>
      <c r="D43" s="35">
        <v>0</v>
      </c>
      <c r="E43" s="35">
        <v>0</v>
      </c>
      <c r="F43" s="35">
        <v>0</v>
      </c>
      <c r="G43" s="35">
        <v>0</v>
      </c>
      <c r="H43" s="35">
        <v>0</v>
      </c>
      <c r="I43" s="35">
        <v>0</v>
      </c>
      <c r="J43" s="9">
        <f>SUM(Tablo16[[#This Row],[Q1]:[Q7]])</f>
        <v>0</v>
      </c>
      <c r="K43" s="78" t="str">
        <f>IF($J43=0,"0",SUM(Tablo17[DÇ7])/(30*J43))</f>
        <v>0</v>
      </c>
      <c r="L43" s="80">
        <f t="shared" si="0"/>
        <v>0</v>
      </c>
      <c r="N43" s="30">
        <v>7</v>
      </c>
      <c r="O43" s="5" t="str">
        <f>MAIN!R57</f>
        <v>Çıktı-7</v>
      </c>
      <c r="P43" s="14"/>
    </row>
    <row r="44" spans="2:25" ht="15.6" thickTop="1" thickBot="1" x14ac:dyDescent="0.35">
      <c r="B44" s="14">
        <v>8</v>
      </c>
      <c r="C44" s="35">
        <v>0</v>
      </c>
      <c r="D44" s="35">
        <v>0</v>
      </c>
      <c r="E44" s="35">
        <v>0</v>
      </c>
      <c r="F44" s="35">
        <v>0</v>
      </c>
      <c r="G44" s="35">
        <v>0</v>
      </c>
      <c r="H44" s="35">
        <v>0</v>
      </c>
      <c r="I44" s="35">
        <v>0</v>
      </c>
      <c r="J44" s="9">
        <f>SUM(Tablo16[[#This Row],[Q1]:[Q7]])</f>
        <v>0</v>
      </c>
      <c r="K44" s="78" t="str">
        <f>IF($J44=0,"0",SUM(Tablo17[DÇ8])/(30*J44))</f>
        <v>0</v>
      </c>
      <c r="L44" s="80">
        <f t="shared" si="0"/>
        <v>0</v>
      </c>
      <c r="N44" s="30">
        <v>8</v>
      </c>
      <c r="O44" s="5" t="str">
        <f>MAIN!R58</f>
        <v>Çıktı-8</v>
      </c>
      <c r="P44" s="14"/>
    </row>
    <row r="45" spans="2:25" ht="15.6" thickTop="1" thickBot="1" x14ac:dyDescent="0.35">
      <c r="B45" s="81">
        <v>9</v>
      </c>
      <c r="C45" s="35">
        <v>0</v>
      </c>
      <c r="D45" s="35">
        <v>0</v>
      </c>
      <c r="E45" s="35">
        <v>0</v>
      </c>
      <c r="F45" s="35">
        <v>0</v>
      </c>
      <c r="G45" s="35">
        <v>0</v>
      </c>
      <c r="H45" s="35">
        <v>0</v>
      </c>
      <c r="I45" s="35">
        <v>0</v>
      </c>
      <c r="J45" s="9">
        <f>SUM(Tablo16[[#This Row],[Q1]:[Q7]])</f>
        <v>0</v>
      </c>
      <c r="K45" s="82" t="str">
        <f>IF($J45=0,"0",SUM(Tablo17[DÇ9])/(30*J45))</f>
        <v>0</v>
      </c>
      <c r="L45" s="80">
        <f t="shared" si="0"/>
        <v>0</v>
      </c>
      <c r="N45" s="30">
        <v>9</v>
      </c>
      <c r="O45" s="5" t="str">
        <f>MAIN!R59</f>
        <v>Çıktı-9</v>
      </c>
      <c r="P45" s="14"/>
    </row>
    <row r="46" spans="2:25" ht="15.6" thickTop="1" thickBot="1" x14ac:dyDescent="0.35">
      <c r="B46" s="81">
        <v>10</v>
      </c>
      <c r="C46" s="35">
        <v>0</v>
      </c>
      <c r="D46" s="35">
        <v>0</v>
      </c>
      <c r="E46" s="35">
        <v>0</v>
      </c>
      <c r="F46" s="35">
        <v>0</v>
      </c>
      <c r="G46" s="35">
        <v>0</v>
      </c>
      <c r="H46" s="35">
        <v>0</v>
      </c>
      <c r="I46" s="35">
        <v>0</v>
      </c>
      <c r="J46" s="9">
        <f>SUM(Tablo16[[#This Row],[Q1]:[Q7]])</f>
        <v>0</v>
      </c>
      <c r="K46" s="82" t="str">
        <f>IF($J46=0,"0",SUM(Tablo17[DÇ10])/(30*J46))</f>
        <v>0</v>
      </c>
      <c r="L46" s="80">
        <f t="shared" si="0"/>
        <v>0</v>
      </c>
      <c r="N46" s="30">
        <v>10</v>
      </c>
      <c r="O46" s="5" t="str">
        <f>MAIN!R60</f>
        <v>Çıktı-10</v>
      </c>
      <c r="P46" s="14"/>
    </row>
    <row r="47" spans="2:25" ht="15" thickTop="1" x14ac:dyDescent="0.3">
      <c r="P47" s="14"/>
    </row>
    <row r="48" spans="2:25" x14ac:dyDescent="0.3">
      <c r="B48" s="5" t="s">
        <v>28</v>
      </c>
      <c r="C48" s="10" t="s">
        <v>19</v>
      </c>
      <c r="D48" s="10" t="s">
        <v>20</v>
      </c>
      <c r="E48" s="10" t="s">
        <v>21</v>
      </c>
      <c r="F48" s="10" t="s">
        <v>22</v>
      </c>
      <c r="G48" s="10" t="s">
        <v>23</v>
      </c>
      <c r="H48" s="10" t="s">
        <v>24</v>
      </c>
      <c r="I48" s="10" t="s">
        <v>29</v>
      </c>
      <c r="J48" s="11" t="s">
        <v>30</v>
      </c>
      <c r="M48" s="14"/>
      <c r="N48" s="14"/>
      <c r="O48" s="14"/>
      <c r="P48" s="14"/>
    </row>
    <row r="49" spans="2:16" x14ac:dyDescent="0.3">
      <c r="B49" s="6" t="s">
        <v>32</v>
      </c>
      <c r="C49" s="1">
        <v>10</v>
      </c>
      <c r="D49" s="1">
        <v>5</v>
      </c>
      <c r="E49" s="1">
        <v>20</v>
      </c>
      <c r="F49" s="1">
        <v>20</v>
      </c>
      <c r="G49" s="1">
        <v>15</v>
      </c>
      <c r="H49" s="1">
        <v>15</v>
      </c>
      <c r="I49" s="1">
        <v>15</v>
      </c>
      <c r="J49" s="1">
        <f>SUM(C49:I49)</f>
        <v>100</v>
      </c>
      <c r="M49" s="14"/>
      <c r="N49" s="14"/>
      <c r="O49" s="14"/>
      <c r="P49" s="14"/>
    </row>
    <row r="50" spans="2:16" x14ac:dyDescent="0.3">
      <c r="M50" s="14"/>
      <c r="N50" s="14"/>
      <c r="O50" s="14"/>
      <c r="P50" s="14"/>
    </row>
    <row r="53" spans="2:16" x14ac:dyDescent="0.3">
      <c r="M53" s="14"/>
      <c r="N53" s="14"/>
      <c r="O53" s="14"/>
      <c r="P53" s="14"/>
    </row>
    <row r="54" spans="2:16" x14ac:dyDescent="0.3">
      <c r="M54" s="14"/>
      <c r="N54" s="14"/>
      <c r="O54" s="14"/>
      <c r="P54" s="14"/>
    </row>
    <row r="55" spans="2:16" x14ac:dyDescent="0.3">
      <c r="M55" s="14"/>
      <c r="N55" s="14"/>
      <c r="O55" s="14"/>
      <c r="P55" s="14"/>
    </row>
    <row r="56" spans="2:16" x14ac:dyDescent="0.3">
      <c r="M56" s="14"/>
      <c r="N56" s="14"/>
      <c r="O56" s="14"/>
      <c r="P56" s="14"/>
    </row>
    <row r="57" spans="2:16" x14ac:dyDescent="0.3">
      <c r="M57" s="14"/>
      <c r="N57" s="14"/>
      <c r="O57" s="14"/>
      <c r="P57" s="14"/>
    </row>
    <row r="58" spans="2:16" x14ac:dyDescent="0.3">
      <c r="M58" s="14"/>
      <c r="N58" s="14"/>
      <c r="O58" s="14"/>
      <c r="P58" s="14"/>
    </row>
    <row r="59" spans="2:16" x14ac:dyDescent="0.3">
      <c r="B59" s="30"/>
      <c r="C59" s="30"/>
      <c r="K59" s="1"/>
      <c r="M59" s="14"/>
      <c r="N59" s="14"/>
      <c r="O59" s="14"/>
      <c r="P59" s="14"/>
    </row>
    <row r="60" spans="2:16" x14ac:dyDescent="0.3">
      <c r="B60" s="30"/>
      <c r="C60" s="30"/>
      <c r="K60" s="1"/>
      <c r="M60" s="14"/>
      <c r="N60" s="14"/>
      <c r="O60" s="14"/>
      <c r="P60" s="14"/>
    </row>
    <row r="61" spans="2:16" x14ac:dyDescent="0.3">
      <c r="B61" s="30"/>
      <c r="C61" s="30"/>
      <c r="K61" s="1"/>
      <c r="M61" s="14"/>
      <c r="N61" s="29" t="s">
        <v>117</v>
      </c>
      <c r="O61" s="29" t="s">
        <v>118</v>
      </c>
      <c r="P61" s="14"/>
    </row>
    <row r="62" spans="2:16" x14ac:dyDescent="0.3">
      <c r="B62" s="30"/>
      <c r="C62" s="30"/>
      <c r="K62" s="1"/>
      <c r="M62" s="14"/>
      <c r="N62" s="14">
        <f>AVERAGE(Tablo17[TOTAL GRADE])</f>
        <v>38.333333333333336</v>
      </c>
      <c r="O62" s="14">
        <f>_xlfn.STDEV.P(Tablo17[TOTAL GRADE])</f>
        <v>17.652824766088351</v>
      </c>
      <c r="P62" s="14"/>
    </row>
    <row r="63" spans="2:16" x14ac:dyDescent="0.3">
      <c r="B63" s="30"/>
      <c r="C63" s="30"/>
      <c r="K63" s="1"/>
      <c r="M63" s="14"/>
      <c r="N63" s="14"/>
      <c r="O63" s="14"/>
      <c r="P63" s="14"/>
    </row>
    <row r="64" spans="2:16" x14ac:dyDescent="0.3">
      <c r="B64" s="30"/>
      <c r="C64" s="30"/>
      <c r="K64" s="1"/>
      <c r="M64" s="14"/>
      <c r="N64" s="14"/>
      <c r="O64" s="14"/>
      <c r="P64" s="14"/>
    </row>
    <row r="65" spans="2:16" x14ac:dyDescent="0.3">
      <c r="B65" s="30"/>
      <c r="C65" s="30"/>
      <c r="K65" s="1"/>
      <c r="M65" s="14"/>
      <c r="N65" s="14"/>
      <c r="O65" s="14"/>
      <c r="P65" s="14"/>
    </row>
    <row r="66" spans="2:16" x14ac:dyDescent="0.3">
      <c r="B66" s="30"/>
      <c r="C66" s="30"/>
      <c r="K66" s="1"/>
      <c r="M66" s="14"/>
      <c r="N66" s="14"/>
      <c r="O66" s="14"/>
      <c r="P66" s="14"/>
    </row>
    <row r="67" spans="2:16" x14ac:dyDescent="0.3">
      <c r="B67" s="30"/>
      <c r="C67" s="30"/>
      <c r="K67" s="1"/>
      <c r="M67" s="14"/>
      <c r="N67" s="14"/>
      <c r="O67" s="14"/>
      <c r="P67" s="14"/>
    </row>
    <row r="68" spans="2:16" x14ac:dyDescent="0.3">
      <c r="B68" s="30"/>
      <c r="C68" s="30"/>
      <c r="K68" s="1"/>
      <c r="M68" s="14"/>
      <c r="N68" s="14"/>
      <c r="O68" s="14"/>
      <c r="P68" s="14"/>
    </row>
    <row r="69" spans="2:16" x14ac:dyDescent="0.3">
      <c r="B69" s="30"/>
      <c r="C69" s="30"/>
      <c r="K69" s="1"/>
      <c r="M69" s="14"/>
      <c r="N69" s="14"/>
      <c r="O69" s="14"/>
      <c r="P69" s="14"/>
    </row>
    <row r="70" spans="2:16" x14ac:dyDescent="0.3">
      <c r="B70" s="140" t="s">
        <v>116</v>
      </c>
      <c r="C70" s="140"/>
      <c r="D70" s="140"/>
      <c r="E70" s="140"/>
      <c r="F70" s="140"/>
      <c r="G70" s="140"/>
      <c r="H70" s="140"/>
      <c r="I70" s="140"/>
      <c r="J70" s="140"/>
      <c r="K70" s="140"/>
      <c r="L70" s="140"/>
      <c r="M70" s="14"/>
      <c r="N70" s="14"/>
      <c r="O70" s="14"/>
      <c r="P70" s="14"/>
    </row>
    <row r="71" spans="2:16" x14ac:dyDescent="0.3">
      <c r="B71" s="140"/>
      <c r="C71" s="140"/>
      <c r="D71" s="140"/>
      <c r="E71" s="140"/>
      <c r="F71" s="140"/>
      <c r="G71" s="140"/>
      <c r="H71" s="140"/>
      <c r="I71" s="140"/>
      <c r="J71" s="140"/>
      <c r="K71" s="140"/>
      <c r="L71" s="140"/>
      <c r="M71" s="14"/>
      <c r="N71" s="14"/>
      <c r="O71" s="14"/>
      <c r="P71" s="14"/>
    </row>
    <row r="72" spans="2:16" x14ac:dyDescent="0.3">
      <c r="B72" s="30"/>
      <c r="C72" s="30"/>
      <c r="K72" s="1"/>
      <c r="M72" s="14"/>
      <c r="N72" s="14"/>
      <c r="O72" s="14"/>
      <c r="P72" s="14"/>
    </row>
    <row r="73" spans="2:16" x14ac:dyDescent="0.3">
      <c r="B73" s="30"/>
      <c r="C73" s="30"/>
      <c r="K73" s="1"/>
      <c r="M73" s="14"/>
      <c r="N73" s="14"/>
      <c r="O73" s="14"/>
      <c r="P73" s="14"/>
    </row>
    <row r="74" spans="2:16" x14ac:dyDescent="0.3">
      <c r="B74" s="30"/>
      <c r="C74" s="30"/>
      <c r="K74" s="1"/>
      <c r="M74" s="14"/>
      <c r="N74" s="14"/>
      <c r="O74" s="14"/>
      <c r="P74" s="14"/>
    </row>
    <row r="75" spans="2:16" x14ac:dyDescent="0.3">
      <c r="B75" s="30"/>
      <c r="C75" s="30"/>
      <c r="K75" s="1"/>
      <c r="M75" s="14"/>
      <c r="N75" s="14"/>
      <c r="O75" s="14"/>
      <c r="P75" s="14"/>
    </row>
    <row r="76" spans="2:16" x14ac:dyDescent="0.3">
      <c r="B76" s="30"/>
      <c r="C76" s="30"/>
      <c r="K76" s="1"/>
      <c r="M76" s="14"/>
      <c r="N76" s="14"/>
      <c r="O76" s="14"/>
      <c r="P76" s="14"/>
    </row>
    <row r="77" spans="2:16" x14ac:dyDescent="0.3">
      <c r="B77" s="30"/>
      <c r="C77" s="30"/>
      <c r="K77" s="1"/>
      <c r="M77" s="14"/>
      <c r="N77" s="14"/>
      <c r="O77" s="14"/>
      <c r="P77" s="14"/>
    </row>
    <row r="78" spans="2:16" x14ac:dyDescent="0.3">
      <c r="B78" s="30"/>
      <c r="C78" s="30"/>
      <c r="K78" s="1"/>
      <c r="M78" s="14"/>
      <c r="N78" s="14"/>
      <c r="O78" s="14"/>
      <c r="P78" s="14"/>
    </row>
    <row r="79" spans="2:16" x14ac:dyDescent="0.3">
      <c r="B79" s="30"/>
      <c r="C79" s="30"/>
      <c r="K79" s="1"/>
      <c r="M79" s="14"/>
      <c r="N79" s="14"/>
      <c r="O79" s="14"/>
      <c r="P79" s="14"/>
    </row>
    <row r="80" spans="2:16" x14ac:dyDescent="0.3">
      <c r="B80" s="30"/>
      <c r="C80" s="30"/>
      <c r="K80" s="1"/>
      <c r="M80" s="14"/>
      <c r="N80" s="14"/>
      <c r="O80" s="14"/>
      <c r="P80" s="14"/>
    </row>
    <row r="81" spans="2:16" x14ac:dyDescent="0.3">
      <c r="B81" s="30"/>
      <c r="C81" s="30"/>
      <c r="K81" s="1"/>
      <c r="M81" s="14"/>
      <c r="N81" s="14"/>
      <c r="O81" s="14"/>
      <c r="P81" s="14"/>
    </row>
    <row r="82" spans="2:16" x14ac:dyDescent="0.3">
      <c r="B82" s="30"/>
      <c r="C82" s="30"/>
      <c r="K82" s="1"/>
      <c r="M82" s="14"/>
      <c r="N82" s="14"/>
      <c r="O82" s="14"/>
      <c r="P82" s="14"/>
    </row>
    <row r="83" spans="2:16" x14ac:dyDescent="0.3">
      <c r="B83" s="30"/>
      <c r="C83" s="30"/>
      <c r="K83" s="1"/>
      <c r="M83" s="14"/>
      <c r="N83" s="14"/>
      <c r="O83" s="14"/>
      <c r="P83" s="14"/>
    </row>
    <row r="84" spans="2:16" x14ac:dyDescent="0.3">
      <c r="B84" s="30"/>
      <c r="C84" s="30"/>
      <c r="K84" s="1"/>
      <c r="M84" s="14"/>
      <c r="N84" s="14"/>
      <c r="O84" s="14"/>
      <c r="P84" s="14"/>
    </row>
    <row r="85" spans="2:16" x14ac:dyDescent="0.3">
      <c r="B85" s="30"/>
      <c r="C85" s="30"/>
      <c r="K85" s="1"/>
      <c r="M85" s="14"/>
      <c r="N85" s="14"/>
      <c r="O85" s="14"/>
      <c r="P85" s="14"/>
    </row>
    <row r="86" spans="2:16" x14ac:dyDescent="0.3">
      <c r="B86" s="30"/>
      <c r="C86" s="30"/>
      <c r="K86" s="1"/>
      <c r="M86" s="14"/>
      <c r="N86" s="14"/>
      <c r="O86" s="14"/>
      <c r="P86" s="14"/>
    </row>
    <row r="87" spans="2:16" x14ac:dyDescent="0.3">
      <c r="B87" s="30"/>
      <c r="C87" s="30"/>
      <c r="K87" s="1"/>
      <c r="M87" s="14"/>
      <c r="N87" s="14"/>
      <c r="O87" s="14"/>
      <c r="P87" s="14"/>
    </row>
    <row r="88" spans="2:16" x14ac:dyDescent="0.3">
      <c r="B88" s="30"/>
      <c r="C88" s="30"/>
      <c r="K88" s="1"/>
      <c r="M88" s="14"/>
      <c r="N88" s="14"/>
      <c r="O88" s="14"/>
      <c r="P88" s="14"/>
    </row>
    <row r="89" spans="2:16" x14ac:dyDescent="0.3">
      <c r="B89" s="30"/>
      <c r="C89" s="30"/>
      <c r="K89" s="1"/>
      <c r="M89" s="14"/>
      <c r="N89" s="14"/>
      <c r="O89" s="14"/>
      <c r="P89" s="14"/>
    </row>
    <row r="90" spans="2:16" x14ac:dyDescent="0.3">
      <c r="B90" s="30"/>
      <c r="C90" s="30"/>
      <c r="K90" s="1"/>
      <c r="M90" s="14"/>
      <c r="N90" s="14"/>
      <c r="O90" s="14"/>
      <c r="P90" s="14"/>
    </row>
    <row r="91" spans="2:16" x14ac:dyDescent="0.3">
      <c r="B91" s="30"/>
      <c r="C91" s="30"/>
      <c r="K91" s="1"/>
      <c r="M91" s="14"/>
      <c r="N91" s="14"/>
      <c r="O91" s="14"/>
      <c r="P91" s="14"/>
    </row>
    <row r="92" spans="2:16" x14ac:dyDescent="0.3">
      <c r="B92" s="30"/>
      <c r="C92" s="30"/>
      <c r="K92" s="1"/>
      <c r="M92" s="14"/>
      <c r="N92" s="14"/>
      <c r="O92" s="14"/>
      <c r="P92" s="14"/>
    </row>
    <row r="93" spans="2:16" x14ac:dyDescent="0.3">
      <c r="B93" s="30"/>
      <c r="C93" s="30"/>
      <c r="K93" s="1"/>
      <c r="M93" s="14"/>
      <c r="N93" s="14"/>
      <c r="O93" s="14"/>
      <c r="P93" s="14"/>
    </row>
    <row r="94" spans="2:16" x14ac:dyDescent="0.3">
      <c r="B94" s="30"/>
      <c r="C94" s="30"/>
      <c r="K94" s="1"/>
      <c r="M94" s="14"/>
      <c r="N94" s="14"/>
      <c r="O94" s="14"/>
      <c r="P94" s="14"/>
    </row>
    <row r="95" spans="2:16" x14ac:dyDescent="0.3">
      <c r="B95" s="30"/>
      <c r="C95" s="30"/>
      <c r="K95" s="1"/>
      <c r="M95" s="14"/>
      <c r="N95" s="14"/>
      <c r="O95" s="14"/>
      <c r="P95" s="14"/>
    </row>
    <row r="96" spans="2:16" x14ac:dyDescent="0.3">
      <c r="B96" s="30"/>
      <c r="C96" s="30"/>
      <c r="K96" s="1"/>
      <c r="M96" s="14"/>
      <c r="N96" s="14"/>
      <c r="O96" s="14"/>
      <c r="P96" s="14"/>
    </row>
  </sheetData>
  <mergeCells count="2">
    <mergeCell ref="B1:V1"/>
    <mergeCell ref="B70:L71"/>
  </mergeCells>
  <conditionalFormatting sqref="F5:L34">
    <cfRule type="cellIs" dxfId="44" priority="7" operator="lessThan">
      <formula>0</formula>
    </cfRule>
  </conditionalFormatting>
  <conditionalFormatting sqref="F5:F34">
    <cfRule type="cellIs" dxfId="43" priority="6" operator="greaterThan">
      <formula>"0$T$10"</formula>
    </cfRule>
  </conditionalFormatting>
  <conditionalFormatting sqref="M5:M34">
    <cfRule type="cellIs" dxfId="42" priority="4" operator="greaterThan">
      <formula>100</formula>
    </cfRule>
    <cfRule type="cellIs" dxfId="41" priority="5" operator="lessThan">
      <formula>0</formula>
    </cfRule>
  </conditionalFormatting>
  <conditionalFormatting sqref="J37:J46">
    <cfRule type="cellIs" dxfId="40" priority="1" operator="equal">
      <formula>0</formula>
    </cfRule>
    <cfRule type="cellIs" dxfId="39" priority="2" operator="lessThan">
      <formula>0</formula>
    </cfRule>
    <cfRule type="cellIs" dxfId="38" priority="3" operator="greaterThan">
      <formula>0</formula>
    </cfRule>
  </conditionalFormatting>
  <conditionalFormatting sqref="Q5:Q34">
    <cfRule type="cellIs" dxfId="37" priority="8" operator="greaterThan">
      <formula>$J$40</formula>
    </cfRule>
  </conditionalFormatting>
  <conditionalFormatting sqref="N5:N34">
    <cfRule type="cellIs" dxfId="36" priority="9" operator="greaterThan">
      <formula>$J$37</formula>
    </cfRule>
  </conditionalFormatting>
  <conditionalFormatting sqref="O5:O34">
    <cfRule type="cellIs" dxfId="35" priority="10" operator="greaterThan">
      <formula>$J$38</formula>
    </cfRule>
  </conditionalFormatting>
  <conditionalFormatting sqref="P5:P34">
    <cfRule type="cellIs" dxfId="34" priority="11" operator="greaterThan">
      <formula>$J$39</formula>
    </cfRule>
  </conditionalFormatting>
  <conditionalFormatting sqref="G5:G34">
    <cfRule type="cellIs" dxfId="33" priority="12" operator="greaterThan">
      <formula>$D$49</formula>
    </cfRule>
  </conditionalFormatting>
  <conditionalFormatting sqref="H5:H34">
    <cfRule type="cellIs" dxfId="32" priority="13" operator="greaterThan">
      <formula>$E$49</formula>
    </cfRule>
  </conditionalFormatting>
  <conditionalFormatting sqref="I5:I34">
    <cfRule type="cellIs" dxfId="31" priority="14" operator="greaterThan">
      <formula>$F$49</formula>
    </cfRule>
  </conditionalFormatting>
  <conditionalFormatting sqref="J5:J34">
    <cfRule type="cellIs" dxfId="30" priority="15" operator="greaterThan">
      <formula>$G$49</formula>
    </cfRule>
  </conditionalFormatting>
  <conditionalFormatting sqref="K5:K34">
    <cfRule type="cellIs" dxfId="29" priority="16" operator="greaterThan">
      <formula>$H$49</formula>
    </cfRule>
  </conditionalFormatting>
  <conditionalFormatting sqref="L5:L34">
    <cfRule type="cellIs" dxfId="28" priority="17" operator="greaterThan">
      <formula>$I$49</formula>
    </cfRule>
  </conditionalFormatting>
  <pageMargins left="0.7" right="0.7" top="0.75" bottom="0.75" header="0.511811023622047" footer="0.511811023622047"/>
  <pageSetup paperSize="9" orientation="portrait" horizontalDpi="300" verticalDpi="300" r:id="rId1"/>
  <drawing r:id="rId2"/>
  <legacyDrawing r:id="rId3"/>
  <tableParts count="6">
    <tablePart r:id="rId4"/>
    <tablePart r:id="rId5"/>
    <tablePart r:id="rId6"/>
    <tablePart r:id="rId7"/>
    <tablePart r:id="rId8"/>
    <tablePart r:id="rId9"/>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88B3CB-303D-4BF9-BBB6-E70E934E435C}">
  <dimension ref="B1:AG97"/>
  <sheetViews>
    <sheetView topLeftCell="A46" zoomScale="70" zoomScaleNormal="70" workbookViewId="0">
      <selection activeCell="B69" sqref="B69:L70"/>
    </sheetView>
  </sheetViews>
  <sheetFormatPr defaultColWidth="8.5546875" defaultRowHeight="14.4" x14ac:dyDescent="0.3"/>
  <cols>
    <col min="1" max="1" width="15.109375" style="5" customWidth="1"/>
    <col min="2" max="2" width="16.88671875" style="5" bestFit="1" customWidth="1"/>
    <col min="3" max="3" width="18.33203125" style="1" bestFit="1" customWidth="1"/>
    <col min="4" max="4" width="23.88671875" style="1" bestFit="1" customWidth="1"/>
    <col min="5" max="5" width="18" style="1" bestFit="1" customWidth="1"/>
    <col min="6" max="6" width="10" style="1" bestFit="1" customWidth="1"/>
    <col min="7" max="7" width="10.44140625" style="88" bestFit="1" customWidth="1"/>
    <col min="8" max="9" width="10" style="1" bestFit="1" customWidth="1"/>
    <col min="10" max="10" width="14.88671875" style="1" bestFit="1" customWidth="1"/>
    <col min="11" max="11" width="15.6640625" style="1" bestFit="1" customWidth="1"/>
    <col min="12" max="12" width="17.44140625" style="88" bestFit="1" customWidth="1"/>
    <col min="13" max="13" width="19.33203125" style="88" bestFit="1" customWidth="1"/>
    <col min="14" max="14" width="12.33203125" style="88" bestFit="1" customWidth="1"/>
    <col min="15" max="15" width="14.88671875" style="88" bestFit="1" customWidth="1"/>
    <col min="16" max="17" width="10.88671875" style="88" bestFit="1" customWidth="1"/>
    <col min="18" max="18" width="10.6640625" style="88" bestFit="1" customWidth="1"/>
    <col min="19" max="19" width="10.88671875" style="88" bestFit="1" customWidth="1"/>
    <col min="20" max="22" width="10.88671875" style="5" bestFit="1" customWidth="1"/>
    <col min="23" max="23" width="12" style="5" bestFit="1" customWidth="1"/>
    <col min="24" max="24" width="10.6640625" style="5" bestFit="1" customWidth="1"/>
    <col min="25" max="25" width="14.5546875" style="5" bestFit="1" customWidth="1"/>
    <col min="26" max="29" width="4.44140625" style="5" bestFit="1" customWidth="1"/>
    <col min="30" max="30" width="5.33203125" style="5" bestFit="1" customWidth="1"/>
    <col min="31" max="31" width="6.109375" style="5" customWidth="1"/>
    <col min="32" max="32" width="2.6640625" style="5" customWidth="1"/>
    <col min="33" max="33" width="5.33203125" style="5" customWidth="1"/>
    <col min="34" max="16384" width="8.5546875" style="5"/>
  </cols>
  <sheetData>
    <row r="1" spans="2:33" ht="33.6" x14ac:dyDescent="0.3">
      <c r="B1" s="137" t="s">
        <v>144</v>
      </c>
      <c r="C1" s="137"/>
      <c r="D1" s="137"/>
      <c r="E1" s="137"/>
      <c r="F1" s="137"/>
      <c r="G1" s="137"/>
      <c r="H1" s="137"/>
      <c r="I1" s="137"/>
      <c r="J1" s="137"/>
      <c r="K1" s="137"/>
      <c r="L1" s="137"/>
      <c r="M1" s="137"/>
      <c r="N1" s="137"/>
      <c r="O1" s="137"/>
      <c r="P1" s="137"/>
      <c r="Q1" s="137"/>
      <c r="R1" s="137"/>
      <c r="S1" s="137"/>
      <c r="T1" s="137"/>
      <c r="U1" s="137"/>
      <c r="V1" s="137"/>
      <c r="W1" s="73"/>
      <c r="X1" s="73"/>
    </row>
    <row r="2" spans="2:33" x14ac:dyDescent="0.3">
      <c r="C2" s="5"/>
      <c r="D2" s="5"/>
      <c r="G2" s="1"/>
      <c r="K2" s="5"/>
      <c r="L2" s="1"/>
      <c r="M2" s="5"/>
      <c r="N2" s="5"/>
      <c r="O2" s="5"/>
      <c r="P2" s="5"/>
      <c r="Q2" s="5"/>
      <c r="R2" s="5"/>
      <c r="S2" s="5"/>
      <c r="AA2" s="1"/>
      <c r="AB2" s="1"/>
      <c r="AC2" s="1"/>
      <c r="AD2" s="1"/>
    </row>
    <row r="3" spans="2:33" x14ac:dyDescent="0.3">
      <c r="C3" s="5"/>
      <c r="D3" s="5"/>
      <c r="G3" s="1"/>
      <c r="K3" s="5"/>
      <c r="L3" s="1"/>
      <c r="M3" s="14"/>
      <c r="N3" s="14"/>
      <c r="O3" s="14"/>
      <c r="P3" s="14"/>
      <c r="Q3" s="5"/>
      <c r="R3" s="5"/>
      <c r="S3" s="5"/>
      <c r="AA3" s="83"/>
      <c r="AB3" s="83"/>
      <c r="AC3" s="83"/>
      <c r="AD3" s="83"/>
      <c r="AE3" s="84"/>
    </row>
    <row r="4" spans="2:33" ht="15" thickBot="1" x14ac:dyDescent="0.35">
      <c r="B4" s="47" t="s">
        <v>94</v>
      </c>
      <c r="C4" s="31" t="s">
        <v>109</v>
      </c>
      <c r="D4" s="31" t="s">
        <v>110</v>
      </c>
      <c r="E4" s="29" t="s">
        <v>111</v>
      </c>
      <c r="F4" s="10" t="s">
        <v>19</v>
      </c>
      <c r="G4" s="10" t="s">
        <v>20</v>
      </c>
      <c r="H4" s="10" t="s">
        <v>21</v>
      </c>
      <c r="I4" s="10" t="s">
        <v>22</v>
      </c>
      <c r="J4" s="10" t="s">
        <v>23</v>
      </c>
      <c r="K4" s="10" t="s">
        <v>24</v>
      </c>
      <c r="L4" s="10" t="s">
        <v>29</v>
      </c>
      <c r="M4" s="11" t="s">
        <v>112</v>
      </c>
      <c r="N4" s="10" t="s">
        <v>72</v>
      </c>
      <c r="O4" s="10" t="s">
        <v>73</v>
      </c>
      <c r="P4" s="10" t="s">
        <v>74</v>
      </c>
      <c r="Q4" s="10" t="s">
        <v>75</v>
      </c>
      <c r="R4" s="10" t="s">
        <v>135</v>
      </c>
      <c r="S4" s="10" t="s">
        <v>136</v>
      </c>
      <c r="T4" s="10" t="s">
        <v>137</v>
      </c>
      <c r="U4" s="10" t="s">
        <v>138</v>
      </c>
      <c r="V4" s="10" t="s">
        <v>139</v>
      </c>
      <c r="W4" s="10" t="s">
        <v>140</v>
      </c>
      <c r="X4" s="10" t="s">
        <v>142</v>
      </c>
      <c r="Y4" s="6" t="s">
        <v>143</v>
      </c>
      <c r="AA4" s="35"/>
      <c r="AB4" s="35"/>
      <c r="AC4" s="35"/>
      <c r="AD4" s="35"/>
      <c r="AE4" s="85"/>
      <c r="AG4" s="27"/>
    </row>
    <row r="5" spans="2:33" ht="15.6" thickTop="1" thickBot="1" x14ac:dyDescent="0.35">
      <c r="B5" s="51">
        <v>1</v>
      </c>
      <c r="C5" s="14">
        <v>1</v>
      </c>
      <c r="D5" s="61" t="s">
        <v>110</v>
      </c>
      <c r="E5" s="61" t="s">
        <v>111</v>
      </c>
      <c r="F5" s="1">
        <v>0</v>
      </c>
      <c r="G5" s="1">
        <v>0</v>
      </c>
      <c r="H5" s="1">
        <v>0</v>
      </c>
      <c r="I5" s="1">
        <v>0</v>
      </c>
      <c r="J5" s="1">
        <v>0</v>
      </c>
      <c r="K5" s="1">
        <v>0</v>
      </c>
      <c r="L5" s="1">
        <v>0</v>
      </c>
      <c r="M5" s="12">
        <f t="shared" ref="M5:M34" si="0">SUM(F5:L5)</f>
        <v>0</v>
      </c>
      <c r="N5" s="74" cm="1">
        <f t="array" ref="N5">Tablo1744[[#This Row],[Q1]]/Tablo1945[Q1]*$C$37+G5/Tablo1945[Q2]*$D$37+H5/Tablo1945[Q3]*$E$37+I5/Tablo1945[Q4]*$F$37+J5/Tablo1945[Q5]*$G$37+K5/Tablo1945[Q6]*$H$37+L5/Tablo1945[Q7]*$I$37</f>
        <v>0</v>
      </c>
      <c r="O5" s="74" cm="1">
        <f t="array" ref="O5">Tablo1744[[#This Row],[Q1]]/Tablo1945[Q1]*$C$38+G5/Tablo1945[Q2]*$D$38+H5/Tablo1945[Q3]*$E$38+I5/Tablo1945[Q4]*$F$38+J5/Tablo1945[Q5]*$G$38+K5/Tablo1945[Q6]*$H$38+L5/Tablo1945[Q7]*$I$38</f>
        <v>0</v>
      </c>
      <c r="P5" s="74" cm="1">
        <f t="array" ref="P5">Tablo1744[[#This Row],[Q1]]/Tablo1945[Q1]*$C$39+G5/Tablo1945[Q2]*$D$39+H5/Tablo1945[Q3]*$E$39+I5/Tablo1945[Q4]*$F$39+J5/Tablo1945[Q5]*$G$39+K5/Tablo1945[Q6]*$H$39+L5/Tablo1945[Q7]*$I$39</f>
        <v>0</v>
      </c>
      <c r="Q5" s="74" cm="1">
        <f t="array" ref="Q5">Tablo1744[[#This Row],[Q1]]/Tablo1945[Q1]*$C$40+G5/Tablo1945[Q2]*$D$40+H5/Tablo1945[Q3]*$E$40+I5/Tablo1945[Q4]*$F$40+J5/Tablo1945[Q5]*$G$40+K5/Tablo1945[Q6]*$H$40+L5/Tablo1945[Q7]*$I$40</f>
        <v>0</v>
      </c>
      <c r="R5" s="12" cm="1">
        <f t="array" ref="R5">Tablo1744[[#This Row],[Q1]]/Tablo1945[Q1]*$C$41+$G5/Tablo1945[Q2]*$D$41+$H5/Tablo1945[Q3]*$E$41+$I5/Tablo1945[Q4]*$F$41+$J5/Tablo1945[Q5]*$G$41+$K5/Tablo1945[Q6]*$H$41+$L5/Tablo1945[Q7]*$I$41</f>
        <v>0</v>
      </c>
      <c r="S5" s="12" cm="1">
        <f t="array" ref="S5">Tablo1744[[#This Row],[Q1]]/Tablo1945[Q1]*$C$42+$G5/Tablo1945[Q2]*$D$42+$H5/Tablo1945[Q3]*$E$42+$I5/Tablo1945[Q4]*$F$42+$J5/Tablo1945[Q5]*$G$42+$K5/Tablo1945[Q6]*$H$42+$L5/Tablo1945[Q7]*$I$42</f>
        <v>0</v>
      </c>
      <c r="T5" s="75" cm="1">
        <f t="array" ref="T5">Tablo1744[[#This Row],[Q1]]/Tablo1945[Q1]*$C$43+$G5/Tablo1945[Q2]*$D$43+$H5/Tablo1945[Q3]*$E$43+$I5/Tablo1945[Q4]*$F$43+$J5/Tablo1945[Q5]*$G$43+$K5/Tablo1945[Q6]*$H$43+$L5/Tablo1945[Q7]*$I$43</f>
        <v>0</v>
      </c>
      <c r="U5" s="76" cm="1">
        <f t="array" ref="U5">Tablo1744[[#This Row],[Q1]]/Tablo1945[Q1]*$C$44+$G5/Tablo1945[Q2]*$D$44+$H5/Tablo1945[Q3]*$E$44+$I5/Tablo1945[Q4]*$F$44+$J5/Tablo1945[Q5]*$G$44+$K5/Tablo1945[Q6]*$H$44+$L5/Tablo1945[Q7]*$I$44</f>
        <v>0</v>
      </c>
      <c r="V5" s="76" cm="1">
        <f t="array" ref="V5">Tablo1744[[#This Row],[Q1]]/Tablo1945[Q1]*$C$45+$G5/Tablo1945[Q2]*$D$45+$H5/Tablo1945[Q3]*$E$45+$I5/Tablo1945[Q4]*$F$45+$J5/Tablo1945[Q5]*$G$45+$K5/Tablo1945[Q6]*$H$45+$L5/Tablo1945[Q7]*$I$45</f>
        <v>0</v>
      </c>
      <c r="W5" s="76" cm="1">
        <f t="array" ref="W5">Tablo1744[[#This Row],[Q1]]/Tablo1945[Q1]*$C$46+$G5/Tablo1945[Q2]*$D$46+$H5/Tablo1945[Q3]*$E$46+$I5/Tablo1945[Q4]*$F$46+$J5/Tablo1945[Q5]*$G$46+$K5/Tablo1945[Q6]*$H$46+$L5/Tablo1945[Q7]*$I$46</f>
        <v>0</v>
      </c>
      <c r="X5" s="74">
        <f t="shared" ref="X5:X34" si="1">SUM(N5:W5)</f>
        <v>0</v>
      </c>
      <c r="Y5" s="8">
        <f>_xlfn.NORM.DIST(Tablo1744[[#This Row],[TOTAL GRADE]],$N$62,$O$62,FALSE)</f>
        <v>2.3722787081170982E-3</v>
      </c>
      <c r="AA5" s="35"/>
      <c r="AB5" s="35"/>
      <c r="AC5" s="35"/>
      <c r="AD5" s="35"/>
      <c r="AE5" s="85"/>
      <c r="AG5" s="30"/>
    </row>
    <row r="6" spans="2:33" ht="15.6" thickTop="1" thickBot="1" x14ac:dyDescent="0.35">
      <c r="B6" s="77">
        <v>2</v>
      </c>
      <c r="C6" s="14">
        <v>2</v>
      </c>
      <c r="D6" s="61" t="s">
        <v>110</v>
      </c>
      <c r="E6" s="61" t="s">
        <v>111</v>
      </c>
      <c r="F6" s="1">
        <v>0</v>
      </c>
      <c r="G6" s="1">
        <v>0</v>
      </c>
      <c r="H6" s="1">
        <v>0</v>
      </c>
      <c r="I6" s="1">
        <v>0</v>
      </c>
      <c r="J6" s="1">
        <v>0</v>
      </c>
      <c r="K6" s="1">
        <v>0</v>
      </c>
      <c r="L6" s="1">
        <v>0</v>
      </c>
      <c r="M6" s="12">
        <f t="shared" si="0"/>
        <v>0</v>
      </c>
      <c r="N6" s="74" cm="1">
        <f t="array" ref="N6">Tablo1744[[#This Row],[Q1]]/Tablo1945[Q1]*$C$37+G6/Tablo1945[Q2]*$D$37+H6/Tablo1945[Q3]*$E$37+I6/Tablo1945[Q4]*$F$37+J6/Tablo1945[Q5]*$G$37+K6/Tablo1945[Q6]*$H$37+L6/Tablo1945[Q7]*$I$37</f>
        <v>0</v>
      </c>
      <c r="O6" s="74" cm="1">
        <f t="array" ref="O6">Tablo1744[[#This Row],[Q1]]/Tablo1945[Q1]*$C$38+G6/Tablo1945[Q2]*$D$38+H6/Tablo1945[Q3]*$E$38+I6/Tablo1945[Q4]*$F$38+J6/Tablo1945[Q5]*$G$38+K6/Tablo1945[Q6]*$H$38+L6/Tablo1945[Q7]*$I$38</f>
        <v>0</v>
      </c>
      <c r="P6" s="74" cm="1">
        <f t="array" ref="P6">Tablo1744[[#This Row],[Q1]]/Tablo1945[Q1]*$C$39+G6/Tablo1945[Q2]*$D$39+H6/Tablo1945[Q3]*$E$39+I6/Tablo1945[Q4]*$F$39+J6/Tablo1945[Q5]*$G$39+K6/Tablo1945[Q6]*$H$39+L6/Tablo1945[Q7]*$I$39</f>
        <v>0</v>
      </c>
      <c r="Q6" s="74" cm="1">
        <f t="array" ref="Q6">Tablo1744[[#This Row],[Q1]]/Tablo1945[Q1]*$C$40+G6/Tablo1945[Q2]*$D$40+H6/Tablo1945[Q3]*$E$40+I6/Tablo1945[Q4]*$F$40+J6/Tablo1945[Q5]*$G$40+K6/Tablo1945[Q6]*$H$40+L6/Tablo1945[Q7]*$I$40</f>
        <v>0</v>
      </c>
      <c r="R6" s="12" cm="1">
        <f t="array" ref="R6">Tablo1744[[#This Row],[Q1]]/Tablo1945[Q1]*$C$41+$G6/Tablo1945[Q2]*$D$41+$H6/Tablo1945[Q3]*$E$41+$I6/Tablo1945[Q4]*$F$41+$J6/Tablo1945[Q5]*$G$41+$K6/Tablo1945[Q6]*$H$41+$L6/Tablo1945[Q7]*$I$41</f>
        <v>0</v>
      </c>
      <c r="S6" s="12" cm="1">
        <f t="array" ref="S6">Tablo1744[[#This Row],[Q1]]/Tablo1945[Q1]*$C$42+$G6/Tablo1945[Q2]*$D$42+$H6/Tablo1945[Q3]*$E$42+$I6/Tablo1945[Q4]*$F$42+$J6/Tablo1945[Q5]*$G$42+$K6/Tablo1945[Q6]*$H$42+$L6/Tablo1945[Q7]*$I$42</f>
        <v>0</v>
      </c>
      <c r="T6" s="75" cm="1">
        <f t="array" ref="T6">Tablo1744[[#This Row],[Q1]]/Tablo1945[Q1]*$C$43+$G6/Tablo1945[Q2]*$D$43+$H6/Tablo1945[Q3]*$E$43+$I6/Tablo1945[Q4]*$F$43+$J6/Tablo1945[Q5]*$G$43+$K6/Tablo1945[Q6]*$H$43+$L6/Tablo1945[Q7]*$I$43</f>
        <v>0</v>
      </c>
      <c r="U6" s="76" cm="1">
        <f t="array" ref="U6">Tablo1744[[#This Row],[Q1]]/Tablo1945[Q1]*$C$44+$G6/Tablo1945[Q2]*$D$44+$H6/Tablo1945[Q3]*$E$44+$I6/Tablo1945[Q4]*$F$44+$J6/Tablo1945[Q5]*$G$44+$K6/Tablo1945[Q6]*$H$44+$L6/Tablo1945[Q7]*$I$44</f>
        <v>0</v>
      </c>
      <c r="V6" s="76" cm="1">
        <f t="array" ref="V6">Tablo1744[[#This Row],[Q1]]/Tablo1945[Q1]*$C$45+$G6/Tablo1945[Q2]*$D$45+$H6/Tablo1945[Q3]*$E$45+$I6/Tablo1945[Q4]*$F$45+$J6/Tablo1945[Q5]*$G$45+$K6/Tablo1945[Q6]*$H$45+$L6/Tablo1945[Q7]*$I$45</f>
        <v>0</v>
      </c>
      <c r="W6" s="76" cm="1">
        <f t="array" ref="W6">Tablo1744[[#This Row],[Q1]]/Tablo1945[Q1]*$C$46+$G6/Tablo1945[Q2]*$D$46+$H6/Tablo1945[Q3]*$E$46+$I6/Tablo1945[Q4]*$F$46+$J6/Tablo1945[Q5]*$G$46+$K6/Tablo1945[Q6]*$H$46+$L6/Tablo1945[Q7]*$I$46</f>
        <v>0</v>
      </c>
      <c r="X6" s="74">
        <f t="shared" si="1"/>
        <v>0</v>
      </c>
      <c r="Y6" s="8">
        <f>_xlfn.NORM.DIST(Tablo1744[[#This Row],[TOTAL GRADE]],$N$62,$O$62,FALSE)</f>
        <v>2.3722787081170982E-3</v>
      </c>
      <c r="AA6" s="35"/>
      <c r="AB6" s="35"/>
      <c r="AC6" s="35"/>
      <c r="AD6" s="35"/>
      <c r="AE6" s="85"/>
      <c r="AG6" s="30"/>
    </row>
    <row r="7" spans="2:33" ht="15.6" thickTop="1" thickBot="1" x14ac:dyDescent="0.35">
      <c r="B7" s="51">
        <v>3</v>
      </c>
      <c r="C7" s="14">
        <v>3</v>
      </c>
      <c r="D7" s="61" t="s">
        <v>110</v>
      </c>
      <c r="E7" s="61" t="s">
        <v>111</v>
      </c>
      <c r="F7" s="1">
        <v>0</v>
      </c>
      <c r="G7" s="1">
        <v>0</v>
      </c>
      <c r="H7" s="1">
        <v>0</v>
      </c>
      <c r="I7" s="1">
        <v>0</v>
      </c>
      <c r="J7" s="1">
        <v>0</v>
      </c>
      <c r="K7" s="1">
        <v>0</v>
      </c>
      <c r="L7" s="1">
        <v>0</v>
      </c>
      <c r="M7" s="12">
        <f t="shared" si="0"/>
        <v>0</v>
      </c>
      <c r="N7" s="74" cm="1">
        <f t="array" ref="N7">Tablo1744[[#This Row],[Q1]]/Tablo1945[Q1]*$C$37+G7/Tablo1945[Q2]*$D$37+H7/Tablo1945[Q3]*$E$37+I7/Tablo1945[Q4]*$F$37+J7/Tablo1945[Q5]*$G$37+K7/Tablo1945[Q6]*$H$37+L7/Tablo1945[Q7]*$I$37</f>
        <v>0</v>
      </c>
      <c r="O7" s="74" cm="1">
        <f t="array" ref="O7">Tablo1744[[#This Row],[Q1]]/Tablo1945[Q1]*$C$38+G7/Tablo1945[Q2]*$D$38+H7/Tablo1945[Q3]*$E$38+I7/Tablo1945[Q4]*$F$38+J7/Tablo1945[Q5]*$G$38+K7/Tablo1945[Q6]*$H$38+L7/Tablo1945[Q7]*$I$38</f>
        <v>0</v>
      </c>
      <c r="P7" s="74" cm="1">
        <f t="array" ref="P7">Tablo1744[[#This Row],[Q1]]/Tablo1945[Q1]*$C$39+G7/Tablo1945[Q2]*$D$39+H7/Tablo1945[Q3]*$E$39+I7/Tablo1945[Q4]*$F$39+J7/Tablo1945[Q5]*$G$39+K7/Tablo1945[Q6]*$H$39+L7/Tablo1945[Q7]*$I$39</f>
        <v>0</v>
      </c>
      <c r="Q7" s="74" cm="1">
        <f t="array" ref="Q7">Tablo1744[[#This Row],[Q1]]/Tablo1945[Q1]*$C$40+G7/Tablo1945[Q2]*$D$40+H7/Tablo1945[Q3]*$E$40+I7/Tablo1945[Q4]*$F$40+J7/Tablo1945[Q5]*$G$40+K7/Tablo1945[Q6]*$H$40+L7/Tablo1945[Q7]*$I$40</f>
        <v>0</v>
      </c>
      <c r="R7" s="12" cm="1">
        <f t="array" ref="R7">Tablo1744[[#This Row],[Q1]]/Tablo1945[Q1]*$C$41+$G7/Tablo1945[Q2]*$D$41+$H7/Tablo1945[Q3]*$E$41+$I7/Tablo1945[Q4]*$F$41+$J7/Tablo1945[Q5]*$G$41+$K7/Tablo1945[Q6]*$H$41+$L7/Tablo1945[Q7]*$I$41</f>
        <v>0</v>
      </c>
      <c r="S7" s="12" cm="1">
        <f t="array" ref="S7">Tablo1744[[#This Row],[Q1]]/Tablo1945[Q1]*$C$42+$G7/Tablo1945[Q2]*$D$42+$H7/Tablo1945[Q3]*$E$42+$I7/Tablo1945[Q4]*$F$42+$J7/Tablo1945[Q5]*$G$42+$K7/Tablo1945[Q6]*$H$42+$L7/Tablo1945[Q7]*$I$42</f>
        <v>0</v>
      </c>
      <c r="T7" s="75" cm="1">
        <f t="array" ref="T7">Tablo1744[[#This Row],[Q1]]/Tablo1945[Q1]*$C$43+$G7/Tablo1945[Q2]*$D$43+$H7/Tablo1945[Q3]*$E$43+$I7/Tablo1945[Q4]*$F$43+$J7/Tablo1945[Q5]*$G$43+$K7/Tablo1945[Q6]*$H$43+$L7/Tablo1945[Q7]*$I$43</f>
        <v>0</v>
      </c>
      <c r="U7" s="76" cm="1">
        <f t="array" ref="U7">Tablo1744[[#This Row],[Q1]]/Tablo1945[Q1]*$C$44+$G7/Tablo1945[Q2]*$D$44+$H7/Tablo1945[Q3]*$E$44+$I7/Tablo1945[Q4]*$F$44+$J7/Tablo1945[Q5]*$G$44+$K7/Tablo1945[Q6]*$H$44+$L7/Tablo1945[Q7]*$I$44</f>
        <v>0</v>
      </c>
      <c r="V7" s="76" cm="1">
        <f t="array" ref="V7">Tablo1744[[#This Row],[Q1]]/Tablo1945[Q1]*$C$45+$G7/Tablo1945[Q2]*$D$45+$H7/Tablo1945[Q3]*$E$45+$I7/Tablo1945[Q4]*$F$45+$J7/Tablo1945[Q5]*$G$45+$K7/Tablo1945[Q6]*$H$45+$L7/Tablo1945[Q7]*$I$45</f>
        <v>0</v>
      </c>
      <c r="W7" s="76" cm="1">
        <f t="array" ref="W7">Tablo1744[[#This Row],[Q1]]/Tablo1945[Q1]*$C$46+$G7/Tablo1945[Q2]*$D$46+$H7/Tablo1945[Q3]*$E$46+$I7/Tablo1945[Q4]*$F$46+$J7/Tablo1945[Q5]*$G$46+$K7/Tablo1945[Q6]*$H$46+$L7/Tablo1945[Q7]*$I$46</f>
        <v>0</v>
      </c>
      <c r="X7" s="74">
        <f t="shared" si="1"/>
        <v>0</v>
      </c>
      <c r="Y7" s="8">
        <f>_xlfn.NORM.DIST(Tablo1744[[#This Row],[TOTAL GRADE]],$N$62,$O$62,FALSE)</f>
        <v>2.3722787081170982E-3</v>
      </c>
      <c r="AA7" s="35"/>
      <c r="AB7" s="35"/>
      <c r="AC7" s="35"/>
      <c r="AD7" s="35"/>
      <c r="AE7" s="85"/>
      <c r="AG7" s="30"/>
    </row>
    <row r="8" spans="2:33" ht="15.6" thickTop="1" thickBot="1" x14ac:dyDescent="0.35">
      <c r="B8" s="77">
        <v>4</v>
      </c>
      <c r="C8" s="14">
        <v>30</v>
      </c>
      <c r="D8" s="61" t="s">
        <v>110</v>
      </c>
      <c r="E8" s="61" t="s">
        <v>111</v>
      </c>
      <c r="F8" s="1">
        <v>2</v>
      </c>
      <c r="G8" s="1">
        <v>1</v>
      </c>
      <c r="H8" s="1">
        <v>0</v>
      </c>
      <c r="I8" s="1">
        <v>4</v>
      </c>
      <c r="J8" s="1">
        <v>3</v>
      </c>
      <c r="K8" s="1">
        <v>1</v>
      </c>
      <c r="L8" s="1">
        <v>6</v>
      </c>
      <c r="M8" s="12">
        <f t="shared" si="0"/>
        <v>17</v>
      </c>
      <c r="N8" s="74" cm="1">
        <f t="array" ref="N8">Tablo1744[[#This Row],[Q1]]/Tablo1945[Q1]*$C$37+G8/Tablo1945[Q2]*$D$37+H8/Tablo1945[Q3]*$E$37+I8/Tablo1945[Q4]*$F$37+J8/Tablo1945[Q5]*$G$37+K8/Tablo1945[Q6]*$H$37+L8/Tablo1945[Q7]*$I$37</f>
        <v>5</v>
      </c>
      <c r="O8" s="74" cm="1">
        <f t="array" ref="O8">Tablo1744[[#This Row],[Q1]]/Tablo1945[Q1]*$C$38+G8/Tablo1945[Q2]*$D$38+H8/Tablo1945[Q3]*$E$38+I8/Tablo1945[Q4]*$F$38+J8/Tablo1945[Q5]*$G$38+K8/Tablo1945[Q6]*$H$38+L8/Tablo1945[Q7]*$I$38</f>
        <v>4.333333333333333</v>
      </c>
      <c r="P8" s="74" cm="1">
        <f t="array" ref="P8">Tablo1744[[#This Row],[Q1]]/Tablo1945[Q1]*$C$39+G8/Tablo1945[Q2]*$D$39+H8/Tablo1945[Q3]*$E$39+I8/Tablo1945[Q4]*$F$39+J8/Tablo1945[Q5]*$G$39+K8/Tablo1945[Q6]*$H$39+L8/Tablo1945[Q7]*$I$39</f>
        <v>5</v>
      </c>
      <c r="Q8" s="74" cm="1">
        <f t="array" ref="Q8">Tablo1744[[#This Row],[Q1]]/Tablo1945[Q1]*$C$40+G8/Tablo1945[Q2]*$D$40+H8/Tablo1945[Q3]*$E$40+I8/Tablo1945[Q4]*$F$40+J8/Tablo1945[Q5]*$G$40+K8/Tablo1945[Q6]*$H$40+L8/Tablo1945[Q7]*$I$40</f>
        <v>11.333333333333334</v>
      </c>
      <c r="R8" s="12" cm="1">
        <f t="array" ref="R8">Tablo1744[[#This Row],[Q1]]/Tablo1945[Q1]*$C$41+$G8/Tablo1945[Q2]*$D$41+$H8/Tablo1945[Q3]*$E$41+$I8/Tablo1945[Q4]*$F$41+$J8/Tablo1945[Q5]*$G$41+$K8/Tablo1945[Q6]*$H$41+$L8/Tablo1945[Q7]*$I$41</f>
        <v>0</v>
      </c>
      <c r="S8" s="12" cm="1">
        <f t="array" ref="S8">Tablo1744[[#This Row],[Q1]]/Tablo1945[Q1]*$C$42+$G8/Tablo1945[Q2]*$D$42+$H8/Tablo1945[Q3]*$E$42+$I8/Tablo1945[Q4]*$F$42+$J8/Tablo1945[Q5]*$G$42+$K8/Tablo1945[Q6]*$H$42+$L8/Tablo1945[Q7]*$I$42</f>
        <v>0</v>
      </c>
      <c r="T8" s="75" cm="1">
        <f t="array" ref="T8">Tablo1744[[#This Row],[Q1]]/Tablo1945[Q1]*$C$43+$G8/Tablo1945[Q2]*$D$43+$H8/Tablo1945[Q3]*$E$43+$I8/Tablo1945[Q4]*$F$43+$J8/Tablo1945[Q5]*$G$43+$K8/Tablo1945[Q6]*$H$43+$L8/Tablo1945[Q7]*$I$43</f>
        <v>0</v>
      </c>
      <c r="U8" s="76" cm="1">
        <f t="array" ref="U8">Tablo1744[[#This Row],[Q1]]/Tablo1945[Q1]*$C$44+$G8/Tablo1945[Q2]*$D$44+$H8/Tablo1945[Q3]*$E$44+$I8/Tablo1945[Q4]*$F$44+$J8/Tablo1945[Q5]*$G$44+$K8/Tablo1945[Q6]*$H$44+$L8/Tablo1945[Q7]*$I$44</f>
        <v>0</v>
      </c>
      <c r="V8" s="76" cm="1">
        <f t="array" ref="V8">Tablo1744[[#This Row],[Q1]]/Tablo1945[Q1]*$C$45+$G8/Tablo1945[Q2]*$D$45+$H8/Tablo1945[Q3]*$E$45+$I8/Tablo1945[Q4]*$F$45+$J8/Tablo1945[Q5]*$G$45+$K8/Tablo1945[Q6]*$H$45+$L8/Tablo1945[Q7]*$I$45</f>
        <v>0</v>
      </c>
      <c r="W8" s="76" cm="1">
        <f t="array" ref="W8">Tablo1744[[#This Row],[Q1]]/Tablo1945[Q1]*$C$46+$G8/Tablo1945[Q2]*$D$46+$H8/Tablo1945[Q3]*$E$46+$I8/Tablo1945[Q4]*$F$46+$J8/Tablo1945[Q5]*$G$46+$K8/Tablo1945[Q6]*$H$46+$L8/Tablo1945[Q7]*$I$46</f>
        <v>0</v>
      </c>
      <c r="X8" s="74">
        <f t="shared" si="1"/>
        <v>25.666666666666664</v>
      </c>
      <c r="Y8" s="8">
        <f>_xlfn.NORM.DIST(Tablo1744[[#This Row],[TOTAL GRADE]],$N$62,$O$62,FALSE)</f>
        <v>1.0355565326126468E-2</v>
      </c>
      <c r="AA8" s="35"/>
      <c r="AB8" s="35"/>
      <c r="AC8" s="35"/>
      <c r="AD8" s="35"/>
      <c r="AE8" s="85"/>
      <c r="AG8" s="1"/>
    </row>
    <row r="9" spans="2:33" ht="15.6" thickTop="1" thickBot="1" x14ac:dyDescent="0.35">
      <c r="B9" s="51">
        <v>5</v>
      </c>
      <c r="C9" s="14">
        <v>28</v>
      </c>
      <c r="D9" s="61" t="s">
        <v>110</v>
      </c>
      <c r="E9" s="61" t="s">
        <v>111</v>
      </c>
      <c r="F9" s="1">
        <v>1</v>
      </c>
      <c r="G9" s="1">
        <v>1</v>
      </c>
      <c r="H9" s="1">
        <v>7</v>
      </c>
      <c r="I9" s="1">
        <v>5</v>
      </c>
      <c r="J9" s="1">
        <v>6</v>
      </c>
      <c r="K9" s="1">
        <v>0</v>
      </c>
      <c r="L9" s="1">
        <v>2</v>
      </c>
      <c r="M9" s="12">
        <f t="shared" si="0"/>
        <v>22</v>
      </c>
      <c r="N9" s="74" cm="1">
        <f t="array" ref="N9">Tablo1744[[#This Row],[Q1]]/Tablo1945[Q1]*$C$37+G9/Tablo1945[Q2]*$D$37+H9/Tablo1945[Q3]*$E$37+I9/Tablo1945[Q4]*$F$37+J9/Tablo1945[Q5]*$G$37+K9/Tablo1945[Q6]*$H$37+L9/Tablo1945[Q7]*$I$37</f>
        <v>8.75</v>
      </c>
      <c r="O9" s="74" cm="1">
        <f t="array" ref="O9">Tablo1744[[#This Row],[Q1]]/Tablo1945[Q1]*$C$38+G9/Tablo1945[Q2]*$D$38+H9/Tablo1945[Q3]*$E$38+I9/Tablo1945[Q4]*$F$38+J9/Tablo1945[Q5]*$G$38+K9/Tablo1945[Q6]*$H$38+L9/Tablo1945[Q7]*$I$38</f>
        <v>4.25</v>
      </c>
      <c r="P9" s="74" cm="1">
        <f t="array" ref="P9">Tablo1744[[#This Row],[Q1]]/Tablo1945[Q1]*$C$39+G9/Tablo1945[Q2]*$D$39+H9/Tablo1945[Q3]*$E$39+I9/Tablo1945[Q4]*$F$39+J9/Tablo1945[Q5]*$G$39+K9/Tablo1945[Q6]*$H$39+L9/Tablo1945[Q7]*$I$39</f>
        <v>6</v>
      </c>
      <c r="Q9" s="74" cm="1">
        <f t="array" ref="Q9">Tablo1744[[#This Row],[Q1]]/Tablo1945[Q1]*$C$40+G9/Tablo1945[Q2]*$D$40+H9/Tablo1945[Q3]*$E$40+I9/Tablo1945[Q4]*$F$40+J9/Tablo1945[Q5]*$G$40+K9/Tablo1945[Q6]*$H$40+L9/Tablo1945[Q7]*$I$40</f>
        <v>10.666666666666666</v>
      </c>
      <c r="R9" s="12" cm="1">
        <f t="array" ref="R9">Tablo1744[[#This Row],[Q1]]/Tablo1945[Q1]*$C$41+$G9/Tablo1945[Q2]*$D$41+$H9/Tablo1945[Q3]*$E$41+$I9/Tablo1945[Q4]*$F$41+$J9/Tablo1945[Q5]*$G$41+$K9/Tablo1945[Q6]*$H$41+$L9/Tablo1945[Q7]*$I$41</f>
        <v>0</v>
      </c>
      <c r="S9" s="12" cm="1">
        <f t="array" ref="S9">Tablo1744[[#This Row],[Q1]]/Tablo1945[Q1]*$C$42+$G9/Tablo1945[Q2]*$D$42+$H9/Tablo1945[Q3]*$E$42+$I9/Tablo1945[Q4]*$F$42+$J9/Tablo1945[Q5]*$G$42+$K9/Tablo1945[Q6]*$H$42+$L9/Tablo1945[Q7]*$I$42</f>
        <v>0</v>
      </c>
      <c r="T9" s="75" cm="1">
        <f t="array" ref="T9">Tablo1744[[#This Row],[Q1]]/Tablo1945[Q1]*$C$43+$G9/Tablo1945[Q2]*$D$43+$H9/Tablo1945[Q3]*$E$43+$I9/Tablo1945[Q4]*$F$43+$J9/Tablo1945[Q5]*$G$43+$K9/Tablo1945[Q6]*$H$43+$L9/Tablo1945[Q7]*$I$43</f>
        <v>0</v>
      </c>
      <c r="U9" s="76" cm="1">
        <f t="array" ref="U9">Tablo1744[[#This Row],[Q1]]/Tablo1945[Q1]*$C$44+$G9/Tablo1945[Q2]*$D$44+$H9/Tablo1945[Q3]*$E$44+$I9/Tablo1945[Q4]*$F$44+$J9/Tablo1945[Q5]*$G$44+$K9/Tablo1945[Q6]*$H$44+$L9/Tablo1945[Q7]*$I$44</f>
        <v>0</v>
      </c>
      <c r="V9" s="76" cm="1">
        <f t="array" ref="V9">Tablo1744[[#This Row],[Q1]]/Tablo1945[Q1]*$C$45+$G9/Tablo1945[Q2]*$D$45+$H9/Tablo1945[Q3]*$E$45+$I9/Tablo1945[Q4]*$F$45+$J9/Tablo1945[Q5]*$G$45+$K9/Tablo1945[Q6]*$H$45+$L9/Tablo1945[Q7]*$I$45</f>
        <v>0</v>
      </c>
      <c r="W9" s="76" cm="1">
        <f t="array" ref="W9">Tablo1744[[#This Row],[Q1]]/Tablo1945[Q1]*$C$46+$G9/Tablo1945[Q2]*$D$46+$H9/Tablo1945[Q3]*$E$46+$I9/Tablo1945[Q4]*$F$46+$J9/Tablo1945[Q5]*$G$46+$K9/Tablo1945[Q6]*$H$46+$L9/Tablo1945[Q7]*$I$46</f>
        <v>0</v>
      </c>
      <c r="X9" s="74">
        <f t="shared" si="1"/>
        <v>29.666666666666664</v>
      </c>
      <c r="Y9" s="8">
        <f>_xlfn.NORM.DIST(Tablo1744[[#This Row],[TOTAL GRADE]],$N$62,$O$62,FALSE)</f>
        <v>1.3701269537213387E-2</v>
      </c>
      <c r="AA9" s="35"/>
      <c r="AB9" s="35"/>
      <c r="AC9" s="35"/>
      <c r="AD9" s="35"/>
      <c r="AE9" s="85"/>
      <c r="AG9" s="86"/>
    </row>
    <row r="10" spans="2:33" ht="15.6" thickTop="1" thickBot="1" x14ac:dyDescent="0.35">
      <c r="B10" s="77">
        <v>6</v>
      </c>
      <c r="C10" s="14">
        <v>27</v>
      </c>
      <c r="D10" s="61" t="s">
        <v>110</v>
      </c>
      <c r="E10" s="61" t="s">
        <v>111</v>
      </c>
      <c r="F10" s="1">
        <v>0</v>
      </c>
      <c r="G10" s="1">
        <v>0</v>
      </c>
      <c r="H10" s="1">
        <v>6</v>
      </c>
      <c r="I10" s="1">
        <v>6</v>
      </c>
      <c r="J10" s="1">
        <v>2</v>
      </c>
      <c r="K10" s="1">
        <v>5</v>
      </c>
      <c r="L10" s="1">
        <v>5</v>
      </c>
      <c r="M10" s="12">
        <f t="shared" si="0"/>
        <v>24</v>
      </c>
      <c r="N10" s="74" cm="1">
        <f t="array" ref="N10">Tablo1744[[#This Row],[Q1]]/Tablo1945[Q1]*$C$37+G10/Tablo1945[Q2]*$D$37+H10/Tablo1945[Q3]*$E$37+I10/Tablo1945[Q4]*$F$37+J10/Tablo1945[Q5]*$G$37+K10/Tablo1945[Q6]*$H$37+L10/Tablo1945[Q7]*$I$37</f>
        <v>5.166666666666667</v>
      </c>
      <c r="O10" s="74" cm="1">
        <f t="array" ref="O10">Tablo1744[[#This Row],[Q1]]/Tablo1945[Q1]*$C$38+G10/Tablo1945[Q2]*$D$38+H10/Tablo1945[Q3]*$E$38+I10/Tablo1945[Q4]*$F$38+J10/Tablo1945[Q5]*$G$38+K10/Tablo1945[Q6]*$H$38+L10/Tablo1945[Q7]*$I$38</f>
        <v>6.1666666666666661</v>
      </c>
      <c r="P10" s="74" cm="1">
        <f t="array" ref="P10">Tablo1744[[#This Row],[Q1]]/Tablo1945[Q1]*$C$39+G10/Tablo1945[Q2]*$D$39+H10/Tablo1945[Q3]*$E$39+I10/Tablo1945[Q4]*$F$39+J10/Tablo1945[Q5]*$G$39+K10/Tablo1945[Q6]*$H$39+L10/Tablo1945[Q7]*$I$39</f>
        <v>0.66666666666666663</v>
      </c>
      <c r="Q10" s="74" cm="1">
        <f t="array" ref="Q10">Tablo1744[[#This Row],[Q1]]/Tablo1945[Q1]*$C$40+G10/Tablo1945[Q2]*$D$40+H10/Tablo1945[Q3]*$E$40+I10/Tablo1945[Q4]*$F$40+J10/Tablo1945[Q5]*$G$40+K10/Tablo1945[Q6]*$H$40+L10/Tablo1945[Q7]*$I$40</f>
        <v>15</v>
      </c>
      <c r="R10" s="12" cm="1">
        <f t="array" ref="R10">Tablo1744[[#This Row],[Q1]]/Tablo1945[Q1]*$C$41+$G10/Tablo1945[Q2]*$D$41+$H10/Tablo1945[Q3]*$E$41+$I10/Tablo1945[Q4]*$F$41+$J10/Tablo1945[Q5]*$G$41+$K10/Tablo1945[Q6]*$H$41+$L10/Tablo1945[Q7]*$I$41</f>
        <v>0</v>
      </c>
      <c r="S10" s="12" cm="1">
        <f t="array" ref="S10">Tablo1744[[#This Row],[Q1]]/Tablo1945[Q1]*$C$42+$G10/Tablo1945[Q2]*$D$42+$H10/Tablo1945[Q3]*$E$42+$I10/Tablo1945[Q4]*$F$42+$J10/Tablo1945[Q5]*$G$42+$K10/Tablo1945[Q6]*$H$42+$L10/Tablo1945[Q7]*$I$42</f>
        <v>0</v>
      </c>
      <c r="T10" s="75" cm="1">
        <f t="array" ref="T10">Tablo1744[[#This Row],[Q1]]/Tablo1945[Q1]*$C$43+$G10/Tablo1945[Q2]*$D$43+$H10/Tablo1945[Q3]*$E$43+$I10/Tablo1945[Q4]*$F$43+$J10/Tablo1945[Q5]*$G$43+$K10/Tablo1945[Q6]*$H$43+$L10/Tablo1945[Q7]*$I$43</f>
        <v>0</v>
      </c>
      <c r="U10" s="76" cm="1">
        <f t="array" ref="U10">Tablo1744[[#This Row],[Q1]]/Tablo1945[Q1]*$C$44+$G10/Tablo1945[Q2]*$D$44+$H10/Tablo1945[Q3]*$E$44+$I10/Tablo1945[Q4]*$F$44+$J10/Tablo1945[Q5]*$G$44+$K10/Tablo1945[Q6]*$H$44+$L10/Tablo1945[Q7]*$I$44</f>
        <v>0</v>
      </c>
      <c r="V10" s="76" cm="1">
        <f t="array" ref="V10">Tablo1744[[#This Row],[Q1]]/Tablo1945[Q1]*$C$45+$G10/Tablo1945[Q2]*$D$45+$H10/Tablo1945[Q3]*$E$45+$I10/Tablo1945[Q4]*$F$45+$J10/Tablo1945[Q5]*$G$45+$K10/Tablo1945[Q6]*$H$45+$L10/Tablo1945[Q7]*$I$45</f>
        <v>0</v>
      </c>
      <c r="W10" s="76" cm="1">
        <f t="array" ref="W10">Tablo1744[[#This Row],[Q1]]/Tablo1945[Q1]*$C$46+$G10/Tablo1945[Q2]*$D$46+$H10/Tablo1945[Q3]*$E$46+$I10/Tablo1945[Q4]*$F$46+$J10/Tablo1945[Q5]*$G$46+$K10/Tablo1945[Q6]*$H$46+$L10/Tablo1945[Q7]*$I$46</f>
        <v>0</v>
      </c>
      <c r="X10" s="74">
        <f t="shared" si="1"/>
        <v>27</v>
      </c>
      <c r="Y10" s="8">
        <f>_xlfn.NORM.DIST(Tablo1744[[#This Row],[TOTAL GRADE]],$N$62,$O$62,FALSE)</f>
        <v>1.5028401708274826E-2</v>
      </c>
      <c r="AA10" s="35"/>
      <c r="AB10" s="35"/>
      <c r="AC10" s="35"/>
      <c r="AD10" s="35"/>
      <c r="AE10" s="85"/>
      <c r="AG10" s="86"/>
    </row>
    <row r="11" spans="2:33" ht="15.6" thickTop="1" thickBot="1" x14ac:dyDescent="0.35">
      <c r="B11" s="51">
        <v>7</v>
      </c>
      <c r="C11" s="14">
        <v>26</v>
      </c>
      <c r="D11" s="66" t="s">
        <v>110</v>
      </c>
      <c r="E11" s="61" t="s">
        <v>111</v>
      </c>
      <c r="F11" s="1">
        <v>0</v>
      </c>
      <c r="G11" s="1">
        <v>2</v>
      </c>
      <c r="H11" s="1">
        <v>8</v>
      </c>
      <c r="I11" s="1">
        <v>5</v>
      </c>
      <c r="J11" s="1">
        <v>5</v>
      </c>
      <c r="K11" s="1">
        <v>3</v>
      </c>
      <c r="L11" s="1">
        <v>2</v>
      </c>
      <c r="M11" s="12">
        <f t="shared" si="0"/>
        <v>25</v>
      </c>
      <c r="N11" s="74" cm="1">
        <f t="array" ref="N11">Tablo1744[[#This Row],[Q1]]/Tablo1945[Q1]*$C$37+G11/Tablo1945[Q2]*$D$37+H11/Tablo1945[Q3]*$E$37+I11/Tablo1945[Q4]*$F$37+J11/Tablo1945[Q5]*$G$37+K11/Tablo1945[Q6]*$H$37+L11/Tablo1945[Q7]*$I$37</f>
        <v>8.9166666666666661</v>
      </c>
      <c r="O11" s="74" cm="1">
        <f t="array" ref="O11">Tablo1744[[#This Row],[Q1]]/Tablo1945[Q1]*$C$38+G11/Tablo1945[Q2]*$D$38+H11/Tablo1945[Q3]*$E$38+I11/Tablo1945[Q4]*$F$38+J11/Tablo1945[Q5]*$G$38+K11/Tablo1945[Q6]*$H$38+L11/Tablo1945[Q7]*$I$38</f>
        <v>4.75</v>
      </c>
      <c r="P11" s="74" cm="1">
        <f t="array" ref="P11">Tablo1744[[#This Row],[Q1]]/Tablo1945[Q1]*$C$39+G11/Tablo1945[Q2]*$D$39+H11/Tablo1945[Q3]*$E$39+I11/Tablo1945[Q4]*$F$39+J11/Tablo1945[Q5]*$G$39+K11/Tablo1945[Q6]*$H$39+L11/Tablo1945[Q7]*$I$39</f>
        <v>9.6666666666666661</v>
      </c>
      <c r="Q11" s="74" cm="1">
        <f t="array" ref="Q11">Tablo1744[[#This Row],[Q1]]/Tablo1945[Q1]*$C$40+G11/Tablo1945[Q2]*$D$40+H11/Tablo1945[Q3]*$E$40+I11/Tablo1945[Q4]*$F$40+J11/Tablo1945[Q5]*$G$40+K11/Tablo1945[Q6]*$H$40+L11/Tablo1945[Q7]*$I$40</f>
        <v>11.833333333333332</v>
      </c>
      <c r="R11" s="12" cm="1">
        <f t="array" ref="R11">Tablo1744[[#This Row],[Q1]]/Tablo1945[Q1]*$C$41+$G11/Tablo1945[Q2]*$D$41+$H11/Tablo1945[Q3]*$E$41+$I11/Tablo1945[Q4]*$F$41+$J11/Tablo1945[Q5]*$G$41+$K11/Tablo1945[Q6]*$H$41+$L11/Tablo1945[Q7]*$I$41</f>
        <v>0</v>
      </c>
      <c r="S11" s="12" cm="1">
        <f t="array" ref="S11">Tablo1744[[#This Row],[Q1]]/Tablo1945[Q1]*$C$42+$G11/Tablo1945[Q2]*$D$42+$H11/Tablo1945[Q3]*$E$42+$I11/Tablo1945[Q4]*$F$42+$J11/Tablo1945[Q5]*$G$42+$K11/Tablo1945[Q6]*$H$42+$L11/Tablo1945[Q7]*$I$42</f>
        <v>0</v>
      </c>
      <c r="T11" s="75" cm="1">
        <f t="array" ref="T11">Tablo1744[[#This Row],[Q1]]/Tablo1945[Q1]*$C$43+$G11/Tablo1945[Q2]*$D$43+$H11/Tablo1945[Q3]*$E$43+$I11/Tablo1945[Q4]*$F$43+$J11/Tablo1945[Q5]*$G$43+$K11/Tablo1945[Q6]*$H$43+$L11/Tablo1945[Q7]*$I$43</f>
        <v>0</v>
      </c>
      <c r="U11" s="76" cm="1">
        <f t="array" ref="U11">Tablo1744[[#This Row],[Q1]]/Tablo1945[Q1]*$C$44+$G11/Tablo1945[Q2]*$D$44+$H11/Tablo1945[Q3]*$E$44+$I11/Tablo1945[Q4]*$F$44+$J11/Tablo1945[Q5]*$G$44+$K11/Tablo1945[Q6]*$H$44+$L11/Tablo1945[Q7]*$I$44</f>
        <v>0</v>
      </c>
      <c r="V11" s="76" cm="1">
        <f t="array" ref="V11">Tablo1744[[#This Row],[Q1]]/Tablo1945[Q1]*$C$45+$G11/Tablo1945[Q2]*$D$45+$H11/Tablo1945[Q3]*$E$45+$I11/Tablo1945[Q4]*$F$45+$J11/Tablo1945[Q5]*$G$45+$K11/Tablo1945[Q6]*$H$45+$L11/Tablo1945[Q7]*$I$45</f>
        <v>0</v>
      </c>
      <c r="W11" s="76" cm="1">
        <f t="array" ref="W11">Tablo1744[[#This Row],[Q1]]/Tablo1945[Q1]*$C$46+$G11/Tablo1945[Q2]*$D$46+$H11/Tablo1945[Q3]*$E$46+$I11/Tablo1945[Q4]*$F$46+$J11/Tablo1945[Q5]*$G$46+$K11/Tablo1945[Q6]*$H$46+$L11/Tablo1945[Q7]*$I$46</f>
        <v>0</v>
      </c>
      <c r="X11" s="74">
        <f t="shared" si="1"/>
        <v>35.166666666666664</v>
      </c>
      <c r="Y11" s="8">
        <f>_xlfn.NORM.DIST(Tablo1744[[#This Row],[TOTAL GRADE]],$N$62,$O$62,FALSE)</f>
        <v>1.5673682389006661E-2</v>
      </c>
      <c r="AA11" s="35"/>
      <c r="AB11" s="35"/>
      <c r="AC11" s="35"/>
      <c r="AD11" s="35"/>
      <c r="AE11" s="85"/>
    </row>
    <row r="12" spans="2:33" ht="15.6" thickTop="1" thickBot="1" x14ac:dyDescent="0.35">
      <c r="B12" s="77">
        <v>8</v>
      </c>
      <c r="C12" s="14">
        <v>29</v>
      </c>
      <c r="D12" s="61" t="s">
        <v>110</v>
      </c>
      <c r="E12" s="61" t="s">
        <v>111</v>
      </c>
      <c r="F12" s="1">
        <v>0</v>
      </c>
      <c r="G12" s="1">
        <v>5</v>
      </c>
      <c r="H12" s="1">
        <v>5</v>
      </c>
      <c r="I12" s="1">
        <v>0</v>
      </c>
      <c r="J12" s="1">
        <v>6</v>
      </c>
      <c r="K12" s="1">
        <v>5</v>
      </c>
      <c r="L12" s="1">
        <v>5</v>
      </c>
      <c r="M12" s="12">
        <f t="shared" si="0"/>
        <v>26</v>
      </c>
      <c r="N12" s="74" cm="1">
        <f t="array" ref="N12">Tablo1744[[#This Row],[Q1]]/Tablo1945[Q1]*$C$37+G12/Tablo1945[Q2]*$D$37+H12/Tablo1945[Q3]*$E$37+I12/Tablo1945[Q4]*$F$37+J12/Tablo1945[Q5]*$G$37+K12/Tablo1945[Q6]*$H$37+L12/Tablo1945[Q7]*$I$37</f>
        <v>9.5</v>
      </c>
      <c r="O12" s="74" cm="1">
        <f t="array" ref="O12">Tablo1744[[#This Row],[Q1]]/Tablo1945[Q1]*$C$38+G12/Tablo1945[Q2]*$D$38+H12/Tablo1945[Q3]*$E$38+I12/Tablo1945[Q4]*$F$38+J12/Tablo1945[Q5]*$G$38+K12/Tablo1945[Q6]*$H$38+L12/Tablo1945[Q7]*$I$38</f>
        <v>1.6666666666666665</v>
      </c>
      <c r="P12" s="74" cm="1">
        <f t="array" ref="P12">Tablo1744[[#This Row],[Q1]]/Tablo1945[Q1]*$C$39+G12/Tablo1945[Q2]*$D$39+H12/Tablo1945[Q3]*$E$39+I12/Tablo1945[Q4]*$F$39+J12/Tablo1945[Q5]*$G$39+K12/Tablo1945[Q6]*$H$39+L12/Tablo1945[Q7]*$I$39</f>
        <v>22</v>
      </c>
      <c r="Q12" s="74" cm="1">
        <f t="array" ref="Q12">Tablo1744[[#This Row],[Q1]]/Tablo1945[Q1]*$C$40+G12/Tablo1945[Q2]*$D$40+H12/Tablo1945[Q3]*$E$40+I12/Tablo1945[Q4]*$F$40+J12/Tablo1945[Q5]*$G$40+K12/Tablo1945[Q6]*$H$40+L12/Tablo1945[Q7]*$I$40</f>
        <v>12.833333333333332</v>
      </c>
      <c r="R12" s="12" cm="1">
        <f t="array" ref="R12">Tablo1744[[#This Row],[Q1]]/Tablo1945[Q1]*$C$41+$G12/Tablo1945[Q2]*$D$41+$H12/Tablo1945[Q3]*$E$41+$I12/Tablo1945[Q4]*$F$41+$J12/Tablo1945[Q5]*$G$41+$K12/Tablo1945[Q6]*$H$41+$L12/Tablo1945[Q7]*$I$41</f>
        <v>0</v>
      </c>
      <c r="S12" s="12" cm="1">
        <f t="array" ref="S12">Tablo1744[[#This Row],[Q1]]/Tablo1945[Q1]*$C$42+$G12/Tablo1945[Q2]*$D$42+$H12/Tablo1945[Q3]*$E$42+$I12/Tablo1945[Q4]*$F$42+$J12/Tablo1945[Q5]*$G$42+$K12/Tablo1945[Q6]*$H$42+$L12/Tablo1945[Q7]*$I$42</f>
        <v>0</v>
      </c>
      <c r="T12" s="75" cm="1">
        <f t="array" ref="T12">Tablo1744[[#This Row],[Q1]]/Tablo1945[Q1]*$C$43+$G12/Tablo1945[Q2]*$D$43+$H12/Tablo1945[Q3]*$E$43+$I12/Tablo1945[Q4]*$F$43+$J12/Tablo1945[Q5]*$G$43+$K12/Tablo1945[Q6]*$H$43+$L12/Tablo1945[Q7]*$I$43</f>
        <v>0</v>
      </c>
      <c r="U12" s="76" cm="1">
        <f t="array" ref="U12">Tablo1744[[#This Row],[Q1]]/Tablo1945[Q1]*$C$44+$G12/Tablo1945[Q2]*$D$44+$H12/Tablo1945[Q3]*$E$44+$I12/Tablo1945[Q4]*$F$44+$J12/Tablo1945[Q5]*$G$44+$K12/Tablo1945[Q6]*$H$44+$L12/Tablo1945[Q7]*$I$44</f>
        <v>0</v>
      </c>
      <c r="V12" s="76" cm="1">
        <f t="array" ref="V12">Tablo1744[[#This Row],[Q1]]/Tablo1945[Q1]*$C$45+$G12/Tablo1945[Q2]*$D$45+$H12/Tablo1945[Q3]*$E$45+$I12/Tablo1945[Q4]*$F$45+$J12/Tablo1945[Q5]*$G$45+$K12/Tablo1945[Q6]*$H$45+$L12/Tablo1945[Q7]*$I$45</f>
        <v>0</v>
      </c>
      <c r="W12" s="76" cm="1">
        <f t="array" ref="W12">Tablo1744[[#This Row],[Q1]]/Tablo1945[Q1]*$C$46+$G12/Tablo1945[Q2]*$D$46+$H12/Tablo1945[Q3]*$E$46+$I12/Tablo1945[Q4]*$F$46+$J12/Tablo1945[Q5]*$G$46+$K12/Tablo1945[Q6]*$H$46+$L12/Tablo1945[Q7]*$I$46</f>
        <v>0</v>
      </c>
      <c r="X12" s="74">
        <f t="shared" si="1"/>
        <v>46</v>
      </c>
      <c r="Y12" s="8">
        <f>_xlfn.NORM.DIST(Tablo1744[[#This Row],[TOTAL GRADE]],$N$62,$O$62,FALSE)</f>
        <v>1.6301120516516405E-2</v>
      </c>
      <c r="AA12" s="35"/>
      <c r="AB12" s="35"/>
      <c r="AC12" s="35"/>
      <c r="AD12" s="35"/>
      <c r="AE12" s="85"/>
    </row>
    <row r="13" spans="2:33" ht="15.6" thickTop="1" thickBot="1" x14ac:dyDescent="0.35">
      <c r="B13" s="51">
        <v>9</v>
      </c>
      <c r="C13" s="14">
        <v>25</v>
      </c>
      <c r="D13" s="61" t="s">
        <v>110</v>
      </c>
      <c r="E13" s="61" t="s">
        <v>111</v>
      </c>
      <c r="F13" s="1">
        <v>0</v>
      </c>
      <c r="G13" s="1">
        <v>2</v>
      </c>
      <c r="H13" s="1">
        <v>7</v>
      </c>
      <c r="I13" s="1">
        <v>8</v>
      </c>
      <c r="J13" s="1">
        <v>8</v>
      </c>
      <c r="K13" s="1">
        <v>3</v>
      </c>
      <c r="L13" s="1">
        <v>0</v>
      </c>
      <c r="M13" s="12">
        <f t="shared" si="0"/>
        <v>28</v>
      </c>
      <c r="N13" s="74" cm="1">
        <f t="array" ref="N13">Tablo1744[[#This Row],[Q1]]/Tablo1945[Q1]*$C$37+G13/Tablo1945[Q2]*$D$37+H13/Tablo1945[Q3]*$E$37+I13/Tablo1945[Q4]*$F$37+J13/Tablo1945[Q5]*$G$37+K13/Tablo1945[Q6]*$H$37+L13/Tablo1945[Q7]*$I$37</f>
        <v>10.166666666666666</v>
      </c>
      <c r="O13" s="74" cm="1">
        <f t="array" ref="O13">Tablo1744[[#This Row],[Q1]]/Tablo1945[Q1]*$C$38+G13/Tablo1945[Q2]*$D$38+H13/Tablo1945[Q3]*$E$38+I13/Tablo1945[Q4]*$F$38+J13/Tablo1945[Q5]*$G$38+K13/Tablo1945[Q6]*$H$38+L13/Tablo1945[Q7]*$I$38</f>
        <v>7</v>
      </c>
      <c r="P13" s="74" cm="1">
        <f t="array" ref="P13">Tablo1744[[#This Row],[Q1]]/Tablo1945[Q1]*$C$39+G13/Tablo1945[Q2]*$D$39+H13/Tablo1945[Q3]*$E$39+I13/Tablo1945[Q4]*$F$39+J13/Tablo1945[Q5]*$G$39+K13/Tablo1945[Q6]*$H$39+L13/Tablo1945[Q7]*$I$39</f>
        <v>10.666666666666666</v>
      </c>
      <c r="Q13" s="74" cm="1">
        <f t="array" ref="Q13">Tablo1744[[#This Row],[Q1]]/Tablo1945[Q1]*$C$40+G13/Tablo1945[Q2]*$D$40+H13/Tablo1945[Q3]*$E$40+I13/Tablo1945[Q4]*$F$40+J13/Tablo1945[Q5]*$G$40+K13/Tablo1945[Q6]*$H$40+L13/Tablo1945[Q7]*$I$40</f>
        <v>11.166666666666666</v>
      </c>
      <c r="R13" s="12" cm="1">
        <f t="array" ref="R13">Tablo1744[[#This Row],[Q1]]/Tablo1945[Q1]*$C$41+$G13/Tablo1945[Q2]*$D$41+$H13/Tablo1945[Q3]*$E$41+$I13/Tablo1945[Q4]*$F$41+$J13/Tablo1945[Q5]*$G$41+$K13/Tablo1945[Q6]*$H$41+$L13/Tablo1945[Q7]*$I$41</f>
        <v>0</v>
      </c>
      <c r="S13" s="12" cm="1">
        <f t="array" ref="S13">Tablo1744[[#This Row],[Q1]]/Tablo1945[Q1]*$C$42+$G13/Tablo1945[Q2]*$D$42+$H13/Tablo1945[Q3]*$E$42+$I13/Tablo1945[Q4]*$F$42+$J13/Tablo1945[Q5]*$G$42+$K13/Tablo1945[Q6]*$H$42+$L13/Tablo1945[Q7]*$I$42</f>
        <v>0</v>
      </c>
      <c r="T13" s="75" cm="1">
        <f t="array" ref="T13">Tablo1744[[#This Row],[Q1]]/Tablo1945[Q1]*$C$43+$G13/Tablo1945[Q2]*$D$43+$H13/Tablo1945[Q3]*$E$43+$I13/Tablo1945[Q4]*$F$43+$J13/Tablo1945[Q5]*$G$43+$K13/Tablo1945[Q6]*$H$43+$L13/Tablo1945[Q7]*$I$43</f>
        <v>0</v>
      </c>
      <c r="U13" s="76" cm="1">
        <f t="array" ref="U13">Tablo1744[[#This Row],[Q1]]/Tablo1945[Q1]*$C$44+$G13/Tablo1945[Q2]*$D$44+$H13/Tablo1945[Q3]*$E$44+$I13/Tablo1945[Q4]*$F$44+$J13/Tablo1945[Q5]*$G$44+$K13/Tablo1945[Q6]*$H$44+$L13/Tablo1945[Q7]*$I$44</f>
        <v>0</v>
      </c>
      <c r="V13" s="76" cm="1">
        <f t="array" ref="V13">Tablo1744[[#This Row],[Q1]]/Tablo1945[Q1]*$C$45+$G13/Tablo1945[Q2]*$D$45+$H13/Tablo1945[Q3]*$E$45+$I13/Tablo1945[Q4]*$F$45+$J13/Tablo1945[Q5]*$G$45+$K13/Tablo1945[Q6]*$H$45+$L13/Tablo1945[Q7]*$I$45</f>
        <v>0</v>
      </c>
      <c r="W13" s="76" cm="1">
        <f t="array" ref="W13">Tablo1744[[#This Row],[Q1]]/Tablo1945[Q1]*$C$46+$G13/Tablo1945[Q2]*$D$46+$H13/Tablo1945[Q3]*$E$46+$I13/Tablo1945[Q4]*$F$46+$J13/Tablo1945[Q5]*$G$46+$K13/Tablo1945[Q6]*$H$46+$L13/Tablo1945[Q7]*$I$46</f>
        <v>0</v>
      </c>
      <c r="X13" s="74">
        <f t="shared" si="1"/>
        <v>38.999999999999993</v>
      </c>
      <c r="Y13" s="8">
        <f>_xlfn.NORM.DIST(Tablo1744[[#This Row],[TOTAL GRADE]],$N$62,$O$62,FALSE)</f>
        <v>1.7485368890746703E-2</v>
      </c>
      <c r="AA13" s="35"/>
      <c r="AB13" s="35"/>
      <c r="AC13" s="35"/>
      <c r="AD13" s="35"/>
      <c r="AE13" s="85"/>
    </row>
    <row r="14" spans="2:33" ht="15.6" thickTop="1" thickBot="1" x14ac:dyDescent="0.35">
      <c r="B14" s="77">
        <v>10</v>
      </c>
      <c r="C14" s="14">
        <v>24</v>
      </c>
      <c r="D14" s="61" t="s">
        <v>110</v>
      </c>
      <c r="E14" s="61" t="s">
        <v>111</v>
      </c>
      <c r="F14" s="1">
        <v>8</v>
      </c>
      <c r="G14" s="1">
        <v>1</v>
      </c>
      <c r="H14" s="1">
        <v>10</v>
      </c>
      <c r="I14" s="1">
        <v>2</v>
      </c>
      <c r="J14" s="1">
        <v>2</v>
      </c>
      <c r="K14" s="1">
        <v>5</v>
      </c>
      <c r="L14" s="1">
        <v>7</v>
      </c>
      <c r="M14" s="12">
        <f t="shared" si="0"/>
        <v>35</v>
      </c>
      <c r="N14" s="74" cm="1">
        <f t="array" ref="N14">Tablo1744[[#This Row],[Q1]]/Tablo1945[Q1]*$C$37+G14/Tablo1945[Q2]*$D$37+H14/Tablo1945[Q3]*$E$37+I14/Tablo1945[Q4]*$F$37+J14/Tablo1945[Q5]*$G$37+K14/Tablo1945[Q6]*$H$37+L14/Tablo1945[Q7]*$I$37</f>
        <v>15.166666666666666</v>
      </c>
      <c r="O14" s="74" cm="1">
        <f t="array" ref="O14">Tablo1744[[#This Row],[Q1]]/Tablo1945[Q1]*$C$38+G14/Tablo1945[Q2]*$D$38+H14/Tablo1945[Q3]*$E$38+I14/Tablo1945[Q4]*$F$38+J14/Tablo1945[Q5]*$G$38+K14/Tablo1945[Q6]*$H$38+L14/Tablo1945[Q7]*$I$38</f>
        <v>7.1666666666666661</v>
      </c>
      <c r="P14" s="74" cm="1">
        <f t="array" ref="P14">Tablo1744[[#This Row],[Q1]]/Tablo1945[Q1]*$C$39+G14/Tablo1945[Q2]*$D$39+H14/Tablo1945[Q3]*$E$39+I14/Tablo1945[Q4]*$F$39+J14/Tablo1945[Q5]*$G$39+K14/Tablo1945[Q6]*$H$39+L14/Tablo1945[Q7]*$I$39</f>
        <v>4.666666666666667</v>
      </c>
      <c r="Q14" s="74" cm="1">
        <f t="array" ref="Q14">Tablo1744[[#This Row],[Q1]]/Tablo1945[Q1]*$C$40+G14/Tablo1945[Q2]*$D$40+H14/Tablo1945[Q3]*$E$40+I14/Tablo1945[Q4]*$F$40+J14/Tablo1945[Q5]*$G$40+K14/Tablo1945[Q6]*$H$40+L14/Tablo1945[Q7]*$I$40</f>
        <v>17.666666666666668</v>
      </c>
      <c r="R14" s="12" cm="1">
        <f t="array" ref="R14">Tablo1744[[#This Row],[Q1]]/Tablo1945[Q1]*$C$41+$G14/Tablo1945[Q2]*$D$41+$H14/Tablo1945[Q3]*$E$41+$I14/Tablo1945[Q4]*$F$41+$J14/Tablo1945[Q5]*$G$41+$K14/Tablo1945[Q6]*$H$41+$L14/Tablo1945[Q7]*$I$41</f>
        <v>0</v>
      </c>
      <c r="S14" s="12" cm="1">
        <f t="array" ref="S14">Tablo1744[[#This Row],[Q1]]/Tablo1945[Q1]*$C$42+$G14/Tablo1945[Q2]*$D$42+$H14/Tablo1945[Q3]*$E$42+$I14/Tablo1945[Q4]*$F$42+$J14/Tablo1945[Q5]*$G$42+$K14/Tablo1945[Q6]*$H$42+$L14/Tablo1945[Q7]*$I$42</f>
        <v>0</v>
      </c>
      <c r="T14" s="75" cm="1">
        <f t="array" ref="T14">Tablo1744[[#This Row],[Q1]]/Tablo1945[Q1]*$C$43+$G14/Tablo1945[Q2]*$D$43+$H14/Tablo1945[Q3]*$E$43+$I14/Tablo1945[Q4]*$F$43+$J14/Tablo1945[Q5]*$G$43+$K14/Tablo1945[Q6]*$H$43+$L14/Tablo1945[Q7]*$I$43</f>
        <v>0</v>
      </c>
      <c r="U14" s="76" cm="1">
        <f t="array" ref="U14">Tablo1744[[#This Row],[Q1]]/Tablo1945[Q1]*$C$44+$G14/Tablo1945[Q2]*$D$44+$H14/Tablo1945[Q3]*$E$44+$I14/Tablo1945[Q4]*$F$44+$J14/Tablo1945[Q5]*$G$44+$K14/Tablo1945[Q6]*$H$44+$L14/Tablo1945[Q7]*$I$44</f>
        <v>0</v>
      </c>
      <c r="V14" s="76" cm="1">
        <f t="array" ref="V14">Tablo1744[[#This Row],[Q1]]/Tablo1945[Q1]*$C$45+$G14/Tablo1945[Q2]*$D$45+$H14/Tablo1945[Q3]*$E$45+$I14/Tablo1945[Q4]*$F$45+$J14/Tablo1945[Q5]*$G$45+$K14/Tablo1945[Q6]*$H$45+$L14/Tablo1945[Q7]*$I$45</f>
        <v>0</v>
      </c>
      <c r="W14" s="76" cm="1">
        <f t="array" ref="W14">Tablo1744[[#This Row],[Q1]]/Tablo1945[Q1]*$C$46+$G14/Tablo1945[Q2]*$D$46+$H14/Tablo1945[Q3]*$E$46+$I14/Tablo1945[Q4]*$F$46+$J14/Tablo1945[Q5]*$G$46+$K14/Tablo1945[Q6]*$H$46+$L14/Tablo1945[Q7]*$I$46</f>
        <v>0</v>
      </c>
      <c r="X14" s="74">
        <f t="shared" si="1"/>
        <v>44.666666666666671</v>
      </c>
      <c r="Y14" s="8">
        <f>_xlfn.NORM.DIST(Tablo1744[[#This Row],[TOTAL GRADE]],$N$62,$O$62,FALSE)</f>
        <v>2.0469292414811307E-2</v>
      </c>
      <c r="AA14" s="35"/>
      <c r="AB14" s="35"/>
      <c r="AC14" s="35"/>
      <c r="AD14" s="35"/>
      <c r="AE14" s="85"/>
    </row>
    <row r="15" spans="2:33" ht="15.6" thickTop="1" thickBot="1" x14ac:dyDescent="0.35">
      <c r="B15" s="51">
        <v>11</v>
      </c>
      <c r="C15" s="14">
        <v>22</v>
      </c>
      <c r="D15" s="66" t="s">
        <v>110</v>
      </c>
      <c r="E15" s="61" t="s">
        <v>111</v>
      </c>
      <c r="F15" s="1">
        <v>0</v>
      </c>
      <c r="G15" s="1">
        <v>2</v>
      </c>
      <c r="H15" s="1">
        <v>14</v>
      </c>
      <c r="I15" s="1">
        <v>9</v>
      </c>
      <c r="J15" s="1">
        <v>6</v>
      </c>
      <c r="K15" s="1">
        <v>0</v>
      </c>
      <c r="L15" s="1">
        <v>5</v>
      </c>
      <c r="M15" s="12">
        <f t="shared" si="0"/>
        <v>36</v>
      </c>
      <c r="N15" s="74" cm="1">
        <f t="array" ref="N15">Tablo1744[[#This Row],[Q1]]/Tablo1945[Q1]*$C$37+G15/Tablo1945[Q2]*$D$37+H15/Tablo1945[Q3]*$E$37+I15/Tablo1945[Q4]*$F$37+J15/Tablo1945[Q5]*$G$37+K15/Tablo1945[Q6]*$H$37+L15/Tablo1945[Q7]*$I$37</f>
        <v>13.25</v>
      </c>
      <c r="O15" s="74" cm="1">
        <f t="array" ref="O15">Tablo1744[[#This Row],[Q1]]/Tablo1945[Q1]*$C$38+G15/Tablo1945[Q2]*$D$38+H15/Tablo1945[Q3]*$E$38+I15/Tablo1945[Q4]*$F$38+J15/Tablo1945[Q5]*$G$38+K15/Tablo1945[Q6]*$H$38+L15/Tablo1945[Q7]*$I$38</f>
        <v>6.75</v>
      </c>
      <c r="P15" s="74" cm="1">
        <f t="array" ref="P15">Tablo1744[[#This Row],[Q1]]/Tablo1945[Q1]*$C$39+G15/Tablo1945[Q2]*$D$39+H15/Tablo1945[Q3]*$E$39+I15/Tablo1945[Q4]*$F$39+J15/Tablo1945[Q5]*$G$39+K15/Tablo1945[Q6]*$H$39+L15/Tablo1945[Q7]*$I$39</f>
        <v>10</v>
      </c>
      <c r="Q15" s="74" cm="1">
        <f t="array" ref="Q15">Tablo1744[[#This Row],[Q1]]/Tablo1945[Q1]*$C$40+G15/Tablo1945[Q2]*$D$40+H15/Tablo1945[Q3]*$E$40+I15/Tablo1945[Q4]*$F$40+J15/Tablo1945[Q5]*$G$40+K15/Tablo1945[Q6]*$H$40+L15/Tablo1945[Q7]*$I$40</f>
        <v>20.166666666666664</v>
      </c>
      <c r="R15" s="12" cm="1">
        <f t="array" ref="R15">Tablo1744[[#This Row],[Q1]]/Tablo1945[Q1]*$C$41+$G15/Tablo1945[Q2]*$D$41+$H15/Tablo1945[Q3]*$E$41+$I15/Tablo1945[Q4]*$F$41+$J15/Tablo1945[Q5]*$G$41+$K15/Tablo1945[Q6]*$H$41+$L15/Tablo1945[Q7]*$I$41</f>
        <v>0</v>
      </c>
      <c r="S15" s="12" cm="1">
        <f t="array" ref="S15">Tablo1744[[#This Row],[Q1]]/Tablo1945[Q1]*$C$42+$G15/Tablo1945[Q2]*$D$42+$H15/Tablo1945[Q3]*$E$42+$I15/Tablo1945[Q4]*$F$42+$J15/Tablo1945[Q5]*$G$42+$K15/Tablo1945[Q6]*$H$42+$L15/Tablo1945[Q7]*$I$42</f>
        <v>0</v>
      </c>
      <c r="T15" s="75" cm="1">
        <f t="array" ref="T15">Tablo1744[[#This Row],[Q1]]/Tablo1945[Q1]*$C$43+$G15/Tablo1945[Q2]*$D$43+$H15/Tablo1945[Q3]*$E$43+$I15/Tablo1945[Q4]*$F$43+$J15/Tablo1945[Q5]*$G$43+$K15/Tablo1945[Q6]*$H$43+$L15/Tablo1945[Q7]*$I$43</f>
        <v>0</v>
      </c>
      <c r="U15" s="76" cm="1">
        <f t="array" ref="U15">Tablo1744[[#This Row],[Q1]]/Tablo1945[Q1]*$C$44+$G15/Tablo1945[Q2]*$D$44+$H15/Tablo1945[Q3]*$E$44+$I15/Tablo1945[Q4]*$F$44+$J15/Tablo1945[Q5]*$G$44+$K15/Tablo1945[Q6]*$H$44+$L15/Tablo1945[Q7]*$I$44</f>
        <v>0</v>
      </c>
      <c r="V15" s="76" cm="1">
        <f t="array" ref="V15">Tablo1744[[#This Row],[Q1]]/Tablo1945[Q1]*$C$45+$G15/Tablo1945[Q2]*$D$45+$H15/Tablo1945[Q3]*$E$45+$I15/Tablo1945[Q4]*$F$45+$J15/Tablo1945[Q5]*$G$45+$K15/Tablo1945[Q6]*$H$45+$L15/Tablo1945[Q7]*$I$45</f>
        <v>0</v>
      </c>
      <c r="W15" s="76" cm="1">
        <f t="array" ref="W15">Tablo1744[[#This Row],[Q1]]/Tablo1945[Q1]*$C$46+$G15/Tablo1945[Q2]*$D$46+$H15/Tablo1945[Q3]*$E$46+$I15/Tablo1945[Q4]*$F$46+$J15/Tablo1945[Q5]*$G$46+$K15/Tablo1945[Q6]*$H$46+$L15/Tablo1945[Q7]*$I$46</f>
        <v>0</v>
      </c>
      <c r="X15" s="74">
        <f t="shared" si="1"/>
        <v>50.166666666666664</v>
      </c>
      <c r="Y15" s="8">
        <f>_xlfn.NORM.DIST(Tablo1744[[#This Row],[TOTAL GRADE]],$N$62,$O$62,FALSE)</f>
        <v>2.0702888399279164E-2</v>
      </c>
      <c r="AA15" s="35"/>
      <c r="AB15" s="35"/>
      <c r="AC15" s="35"/>
      <c r="AD15" s="35"/>
      <c r="AE15" s="85"/>
    </row>
    <row r="16" spans="2:33" ht="15.6" thickTop="1" thickBot="1" x14ac:dyDescent="0.35">
      <c r="B16" s="77">
        <v>12</v>
      </c>
      <c r="C16" s="14">
        <v>23</v>
      </c>
      <c r="D16" s="61" t="s">
        <v>110</v>
      </c>
      <c r="E16" s="61" t="s">
        <v>111</v>
      </c>
      <c r="F16" s="1">
        <v>5</v>
      </c>
      <c r="G16" s="1">
        <v>2</v>
      </c>
      <c r="H16" s="1">
        <v>7</v>
      </c>
      <c r="I16" s="1">
        <v>12</v>
      </c>
      <c r="J16" s="1">
        <v>6</v>
      </c>
      <c r="K16" s="1">
        <v>3</v>
      </c>
      <c r="L16" s="1">
        <v>1</v>
      </c>
      <c r="M16" s="12">
        <f t="shared" si="0"/>
        <v>36</v>
      </c>
      <c r="N16" s="74" cm="1">
        <f t="array" ref="N16">Tablo1744[[#This Row],[Q1]]/Tablo1945[Q1]*$C$37+G16/Tablo1945[Q2]*$D$37+H16/Tablo1945[Q3]*$E$37+I16/Tablo1945[Q4]*$F$37+J16/Tablo1945[Q5]*$G$37+K16/Tablo1945[Q6]*$H$37+L16/Tablo1945[Q7]*$I$37</f>
        <v>15.5</v>
      </c>
      <c r="O16" s="74" cm="1">
        <f t="array" ref="O16">Tablo1744[[#This Row],[Q1]]/Tablo1945[Q1]*$C$38+G16/Tablo1945[Q2]*$D$38+H16/Tablo1945[Q3]*$E$38+I16/Tablo1945[Q4]*$F$38+J16/Tablo1945[Q5]*$G$38+K16/Tablo1945[Q6]*$H$38+L16/Tablo1945[Q7]*$I$38</f>
        <v>12.5</v>
      </c>
      <c r="P16" s="74" cm="1">
        <f t="array" ref="P16">Tablo1744[[#This Row],[Q1]]/Tablo1945[Q1]*$C$39+G16/Tablo1945[Q2]*$D$39+H16/Tablo1945[Q3]*$E$39+I16/Tablo1945[Q4]*$F$39+J16/Tablo1945[Q5]*$G$39+K16/Tablo1945[Q6]*$H$39+L16/Tablo1945[Q7]*$I$39</f>
        <v>10</v>
      </c>
      <c r="Q16" s="74" cm="1">
        <f t="array" ref="Q16">Tablo1744[[#This Row],[Q1]]/Tablo1945[Q1]*$C$40+G16/Tablo1945[Q2]*$D$40+H16/Tablo1945[Q3]*$E$40+I16/Tablo1945[Q4]*$F$40+J16/Tablo1945[Q5]*$G$40+K16/Tablo1945[Q6]*$H$40+L16/Tablo1945[Q7]*$I$40</f>
        <v>13.833333333333334</v>
      </c>
      <c r="R16" s="12" cm="1">
        <f t="array" ref="R16">Tablo1744[[#This Row],[Q1]]/Tablo1945[Q1]*$C$41+$G16/Tablo1945[Q2]*$D$41+$H16/Tablo1945[Q3]*$E$41+$I16/Tablo1945[Q4]*$F$41+$J16/Tablo1945[Q5]*$G$41+$K16/Tablo1945[Q6]*$H$41+$L16/Tablo1945[Q7]*$I$41</f>
        <v>0</v>
      </c>
      <c r="S16" s="12" cm="1">
        <f t="array" ref="S16">Tablo1744[[#This Row],[Q1]]/Tablo1945[Q1]*$C$42+$G16/Tablo1945[Q2]*$D$42+$H16/Tablo1945[Q3]*$E$42+$I16/Tablo1945[Q4]*$F$42+$J16/Tablo1945[Q5]*$G$42+$K16/Tablo1945[Q6]*$H$42+$L16/Tablo1945[Q7]*$I$42</f>
        <v>0</v>
      </c>
      <c r="T16" s="75" cm="1">
        <f t="array" ref="T16">Tablo1744[[#This Row],[Q1]]/Tablo1945[Q1]*$C$43+$G16/Tablo1945[Q2]*$D$43+$H16/Tablo1945[Q3]*$E$43+$I16/Tablo1945[Q4]*$F$43+$J16/Tablo1945[Q5]*$G$43+$K16/Tablo1945[Q6]*$H$43+$L16/Tablo1945[Q7]*$I$43</f>
        <v>0</v>
      </c>
      <c r="U16" s="76" cm="1">
        <f t="array" ref="U16">Tablo1744[[#This Row],[Q1]]/Tablo1945[Q1]*$C$44+$G16/Tablo1945[Q2]*$D$44+$H16/Tablo1945[Q3]*$E$44+$I16/Tablo1945[Q4]*$F$44+$J16/Tablo1945[Q5]*$G$44+$K16/Tablo1945[Q6]*$H$44+$L16/Tablo1945[Q7]*$I$44</f>
        <v>0</v>
      </c>
      <c r="V16" s="76" cm="1">
        <f t="array" ref="V16">Tablo1744[[#This Row],[Q1]]/Tablo1945[Q1]*$C$45+$G16/Tablo1945[Q2]*$D$45+$H16/Tablo1945[Q3]*$E$45+$I16/Tablo1945[Q4]*$F$45+$J16/Tablo1945[Q5]*$G$45+$K16/Tablo1945[Q6]*$H$45+$L16/Tablo1945[Q7]*$I$45</f>
        <v>0</v>
      </c>
      <c r="W16" s="76" cm="1">
        <f t="array" ref="W16">Tablo1744[[#This Row],[Q1]]/Tablo1945[Q1]*$C$46+$G16/Tablo1945[Q2]*$D$46+$H16/Tablo1945[Q3]*$E$46+$I16/Tablo1945[Q4]*$F$46+$J16/Tablo1945[Q5]*$G$46+$K16/Tablo1945[Q6]*$H$46+$L16/Tablo1945[Q7]*$I$46</f>
        <v>0</v>
      </c>
      <c r="X16" s="74">
        <f t="shared" si="1"/>
        <v>51.833333333333336</v>
      </c>
      <c r="Y16" s="8">
        <f>_xlfn.NORM.DIST(Tablo1744[[#This Row],[TOTAL GRADE]],$N$62,$O$62,FALSE)</f>
        <v>2.0702888399279164E-2</v>
      </c>
      <c r="AA16" s="35"/>
      <c r="AB16" s="35"/>
      <c r="AC16" s="35"/>
      <c r="AD16" s="35"/>
      <c r="AE16" s="85"/>
    </row>
    <row r="17" spans="2:31" ht="15.6" thickTop="1" thickBot="1" x14ac:dyDescent="0.35">
      <c r="B17" s="51">
        <v>13</v>
      </c>
      <c r="C17" s="14">
        <v>21</v>
      </c>
      <c r="D17" s="61" t="s">
        <v>110</v>
      </c>
      <c r="E17" s="61" t="s">
        <v>111</v>
      </c>
      <c r="F17" s="1">
        <v>3</v>
      </c>
      <c r="G17" s="1">
        <v>1</v>
      </c>
      <c r="H17" s="1">
        <v>7</v>
      </c>
      <c r="I17" s="1">
        <v>9</v>
      </c>
      <c r="J17" s="1">
        <v>5</v>
      </c>
      <c r="K17" s="1">
        <v>0</v>
      </c>
      <c r="L17" s="1">
        <v>12</v>
      </c>
      <c r="M17" s="12">
        <f t="shared" si="0"/>
        <v>37</v>
      </c>
      <c r="N17" s="74" cm="1">
        <f t="array" ref="N17">Tablo1744[[#This Row],[Q1]]/Tablo1945[Q1]*$C$37+G17/Tablo1945[Q2]*$D$37+H17/Tablo1945[Q3]*$E$37+I17/Tablo1945[Q4]*$F$37+J17/Tablo1945[Q5]*$G$37+K17/Tablo1945[Q6]*$H$37+L17/Tablo1945[Q7]*$I$37</f>
        <v>11.416666666666666</v>
      </c>
      <c r="O17" s="74" cm="1">
        <f t="array" ref="O17">Tablo1744[[#This Row],[Q1]]/Tablo1945[Q1]*$C$38+G17/Tablo1945[Q2]*$D$38+H17/Tablo1945[Q3]*$E$38+I17/Tablo1945[Q4]*$F$38+J17/Tablo1945[Q5]*$G$38+K17/Tablo1945[Q6]*$H$38+L17/Tablo1945[Q7]*$I$38</f>
        <v>8.25</v>
      </c>
      <c r="P17" s="74" cm="1">
        <f t="array" ref="P17">Tablo1744[[#This Row],[Q1]]/Tablo1945[Q1]*$C$39+G17/Tablo1945[Q2]*$D$39+H17/Tablo1945[Q3]*$E$39+I17/Tablo1945[Q4]*$F$39+J17/Tablo1945[Q5]*$G$39+K17/Tablo1945[Q6]*$H$39+L17/Tablo1945[Q7]*$I$39</f>
        <v>5.6666666666666661</v>
      </c>
      <c r="Q17" s="74" cm="1">
        <f t="array" ref="Q17">Tablo1744[[#This Row],[Q1]]/Tablo1945[Q1]*$C$40+G17/Tablo1945[Q2]*$D$40+H17/Tablo1945[Q3]*$E$40+I17/Tablo1945[Q4]*$F$40+J17/Tablo1945[Q5]*$G$40+K17/Tablo1945[Q6]*$H$40+L17/Tablo1945[Q7]*$I$40</f>
        <v>25.666666666666664</v>
      </c>
      <c r="R17" s="12" cm="1">
        <f t="array" ref="R17">Tablo1744[[#This Row],[Q1]]/Tablo1945[Q1]*$C$41+$G17/Tablo1945[Q2]*$D$41+$H17/Tablo1945[Q3]*$E$41+$I17/Tablo1945[Q4]*$F$41+$J17/Tablo1945[Q5]*$G$41+$K17/Tablo1945[Q6]*$H$41+$L17/Tablo1945[Q7]*$I$41</f>
        <v>0</v>
      </c>
      <c r="S17" s="12" cm="1">
        <f t="array" ref="S17">Tablo1744[[#This Row],[Q1]]/Tablo1945[Q1]*$C$42+$G17/Tablo1945[Q2]*$D$42+$H17/Tablo1945[Q3]*$E$42+$I17/Tablo1945[Q4]*$F$42+$J17/Tablo1945[Q5]*$G$42+$K17/Tablo1945[Q6]*$H$42+$L17/Tablo1945[Q7]*$I$42</f>
        <v>0</v>
      </c>
      <c r="T17" s="75" cm="1">
        <f t="array" ref="T17">Tablo1744[[#This Row],[Q1]]/Tablo1945[Q1]*$C$43+$G17/Tablo1945[Q2]*$D$43+$H17/Tablo1945[Q3]*$E$43+$I17/Tablo1945[Q4]*$F$43+$J17/Tablo1945[Q5]*$G$43+$K17/Tablo1945[Q6]*$H$43+$L17/Tablo1945[Q7]*$I$43</f>
        <v>0</v>
      </c>
      <c r="U17" s="76" cm="1">
        <f t="array" ref="U17">Tablo1744[[#This Row],[Q1]]/Tablo1945[Q1]*$C$44+$G17/Tablo1945[Q2]*$D$44+$H17/Tablo1945[Q3]*$E$44+$I17/Tablo1945[Q4]*$F$44+$J17/Tablo1945[Q5]*$G$44+$K17/Tablo1945[Q6]*$H$44+$L17/Tablo1945[Q7]*$I$44</f>
        <v>0</v>
      </c>
      <c r="V17" s="76" cm="1">
        <f t="array" ref="V17">Tablo1744[[#This Row],[Q1]]/Tablo1945[Q1]*$C$45+$G17/Tablo1945[Q2]*$D$45+$H17/Tablo1945[Q3]*$E$45+$I17/Tablo1945[Q4]*$F$45+$J17/Tablo1945[Q5]*$G$45+$K17/Tablo1945[Q6]*$H$45+$L17/Tablo1945[Q7]*$I$45</f>
        <v>0</v>
      </c>
      <c r="W17" s="76" cm="1">
        <f t="array" ref="W17">Tablo1744[[#This Row],[Q1]]/Tablo1945[Q1]*$C$46+$G17/Tablo1945[Q2]*$D$46+$H17/Tablo1945[Q3]*$E$46+$I17/Tablo1945[Q4]*$F$46+$J17/Tablo1945[Q5]*$G$46+$K17/Tablo1945[Q6]*$H$46+$L17/Tablo1945[Q7]*$I$46</f>
        <v>0</v>
      </c>
      <c r="X17" s="74">
        <f t="shared" si="1"/>
        <v>50.999999999999993</v>
      </c>
      <c r="Y17" s="8">
        <f>_xlfn.NORM.DIST(Tablo1744[[#This Row],[TOTAL GRADE]],$N$62,$O$62,FALSE)</f>
        <v>2.0880804216649344E-2</v>
      </c>
      <c r="AA17" s="35"/>
      <c r="AB17" s="35"/>
      <c r="AC17" s="35"/>
      <c r="AD17" s="35"/>
      <c r="AE17" s="85"/>
    </row>
    <row r="18" spans="2:31" ht="15.6" thickTop="1" thickBot="1" x14ac:dyDescent="0.35">
      <c r="B18" s="77">
        <v>14</v>
      </c>
      <c r="C18" s="14">
        <v>19</v>
      </c>
      <c r="D18" s="61" t="s">
        <v>110</v>
      </c>
      <c r="E18" s="61" t="s">
        <v>111</v>
      </c>
      <c r="F18" s="1">
        <v>1</v>
      </c>
      <c r="G18" s="1">
        <v>3</v>
      </c>
      <c r="H18" s="1">
        <v>12</v>
      </c>
      <c r="I18" s="1">
        <v>10</v>
      </c>
      <c r="J18" s="1">
        <v>8</v>
      </c>
      <c r="K18" s="1">
        <v>5</v>
      </c>
      <c r="L18" s="1">
        <v>1</v>
      </c>
      <c r="M18" s="12">
        <f t="shared" si="0"/>
        <v>40</v>
      </c>
      <c r="N18" s="74" cm="1">
        <f t="array" ref="N18">Tablo1744[[#This Row],[Q1]]/Tablo1945[Q1]*$C$37+G18/Tablo1945[Q2]*$D$37+H18/Tablo1945[Q3]*$E$37+I18/Tablo1945[Q4]*$F$37+J18/Tablo1945[Q5]*$G$37+K18/Tablo1945[Q6]*$H$37+L18/Tablo1945[Q7]*$I$37</f>
        <v>15.166666666666666</v>
      </c>
      <c r="O18" s="74" cm="1">
        <f t="array" ref="O18">Tablo1744[[#This Row],[Q1]]/Tablo1945[Q1]*$C$38+G18/Tablo1945[Q2]*$D$38+H18/Tablo1945[Q3]*$E$38+I18/Tablo1945[Q4]*$F$38+J18/Tablo1945[Q5]*$G$38+K18/Tablo1945[Q6]*$H$38+L18/Tablo1945[Q7]*$I$38</f>
        <v>9.6666666666666661</v>
      </c>
      <c r="P18" s="74" cm="1">
        <f t="array" ref="P18">Tablo1744[[#This Row],[Q1]]/Tablo1945[Q1]*$C$39+G18/Tablo1945[Q2]*$D$39+H18/Tablo1945[Q3]*$E$39+I18/Tablo1945[Q4]*$F$39+J18/Tablo1945[Q5]*$G$39+K18/Tablo1945[Q6]*$H$39+L18/Tablo1945[Q7]*$I$39</f>
        <v>14.666666666666666</v>
      </c>
      <c r="Q18" s="74" cm="1">
        <f t="array" ref="Q18">Tablo1744[[#This Row],[Q1]]/Tablo1945[Q1]*$C$40+G18/Tablo1945[Q2]*$D$40+H18/Tablo1945[Q3]*$E$40+I18/Tablo1945[Q4]*$F$40+J18/Tablo1945[Q5]*$G$40+K18/Tablo1945[Q6]*$H$40+L18/Tablo1945[Q7]*$I$40</f>
        <v>16.666666666666664</v>
      </c>
      <c r="R18" s="12" cm="1">
        <f t="array" ref="R18">Tablo1744[[#This Row],[Q1]]/Tablo1945[Q1]*$C$41+$G18/Tablo1945[Q2]*$D$41+$H18/Tablo1945[Q3]*$E$41+$I18/Tablo1945[Q4]*$F$41+$J18/Tablo1945[Q5]*$G$41+$K18/Tablo1945[Q6]*$H$41+$L18/Tablo1945[Q7]*$I$41</f>
        <v>0</v>
      </c>
      <c r="S18" s="12" cm="1">
        <f t="array" ref="S18">Tablo1744[[#This Row],[Q1]]/Tablo1945[Q1]*$C$42+$G18/Tablo1945[Q2]*$D$42+$H18/Tablo1945[Q3]*$E$42+$I18/Tablo1945[Q4]*$F$42+$J18/Tablo1945[Q5]*$G$42+$K18/Tablo1945[Q6]*$H$42+$L18/Tablo1945[Q7]*$I$42</f>
        <v>0</v>
      </c>
      <c r="T18" s="75" cm="1">
        <f t="array" ref="T18">Tablo1744[[#This Row],[Q1]]/Tablo1945[Q1]*$C$43+$G18/Tablo1945[Q2]*$D$43+$H18/Tablo1945[Q3]*$E$43+$I18/Tablo1945[Q4]*$F$43+$J18/Tablo1945[Q5]*$G$43+$K18/Tablo1945[Q6]*$H$43+$L18/Tablo1945[Q7]*$I$43</f>
        <v>0</v>
      </c>
      <c r="U18" s="76" cm="1">
        <f t="array" ref="U18">Tablo1744[[#This Row],[Q1]]/Tablo1945[Q1]*$C$44+$G18/Tablo1945[Q2]*$D$44+$H18/Tablo1945[Q3]*$E$44+$I18/Tablo1945[Q4]*$F$44+$J18/Tablo1945[Q5]*$G$44+$K18/Tablo1945[Q6]*$H$44+$L18/Tablo1945[Q7]*$I$44</f>
        <v>0</v>
      </c>
      <c r="V18" s="76" cm="1">
        <f t="array" ref="V18">Tablo1744[[#This Row],[Q1]]/Tablo1945[Q1]*$C$45+$G18/Tablo1945[Q2]*$D$45+$H18/Tablo1945[Q3]*$E$45+$I18/Tablo1945[Q4]*$F$45+$J18/Tablo1945[Q5]*$G$45+$K18/Tablo1945[Q6]*$H$45+$L18/Tablo1945[Q7]*$I$45</f>
        <v>0</v>
      </c>
      <c r="W18" s="76" cm="1">
        <f t="array" ref="W18">Tablo1744[[#This Row],[Q1]]/Tablo1945[Q1]*$C$46+$G18/Tablo1945[Q2]*$D$46+$H18/Tablo1945[Q3]*$E$46+$I18/Tablo1945[Q4]*$F$46+$J18/Tablo1945[Q5]*$G$46+$K18/Tablo1945[Q6]*$H$46+$L18/Tablo1945[Q7]*$I$46</f>
        <v>0</v>
      </c>
      <c r="X18" s="74">
        <f t="shared" si="1"/>
        <v>56.166666666666664</v>
      </c>
      <c r="Y18" s="8">
        <f>_xlfn.NORM.DIST(Tablo1744[[#This Row],[TOTAL GRADE]],$N$62,$O$62,FALSE)</f>
        <v>2.1068085834592267E-2</v>
      </c>
      <c r="AA18" s="35"/>
      <c r="AB18" s="35"/>
      <c r="AC18" s="35"/>
      <c r="AD18" s="35"/>
      <c r="AE18" s="85"/>
    </row>
    <row r="19" spans="2:31" ht="15.6" thickTop="1" thickBot="1" x14ac:dyDescent="0.35">
      <c r="B19" s="51">
        <v>15</v>
      </c>
      <c r="C19" s="14">
        <v>20</v>
      </c>
      <c r="D19" s="61" t="s">
        <v>110</v>
      </c>
      <c r="E19" s="61" t="s">
        <v>111</v>
      </c>
      <c r="F19" s="1">
        <v>1</v>
      </c>
      <c r="G19" s="1">
        <v>1</v>
      </c>
      <c r="H19" s="1">
        <v>11</v>
      </c>
      <c r="I19" s="1">
        <v>9</v>
      </c>
      <c r="J19" s="1">
        <v>3</v>
      </c>
      <c r="K19" s="1">
        <v>10</v>
      </c>
      <c r="L19" s="1">
        <v>5</v>
      </c>
      <c r="M19" s="12">
        <f t="shared" si="0"/>
        <v>40</v>
      </c>
      <c r="N19" s="74" cm="1">
        <f t="array" ref="N19">Tablo1744[[#This Row],[Q1]]/Tablo1945[Q1]*$C$37+G19/Tablo1945[Q2]*$D$37+H19/Tablo1945[Q3]*$E$37+I19/Tablo1945[Q4]*$F$37+J19/Tablo1945[Q5]*$G$37+K19/Tablo1945[Q6]*$H$37+L19/Tablo1945[Q7]*$I$37</f>
        <v>10.75</v>
      </c>
      <c r="O19" s="74" cm="1">
        <f t="array" ref="O19">Tablo1744[[#This Row],[Q1]]/Tablo1945[Q1]*$C$38+G19/Tablo1945[Q2]*$D$38+H19/Tablo1945[Q3]*$E$38+I19/Tablo1945[Q4]*$F$38+J19/Tablo1945[Q5]*$G$38+K19/Tablo1945[Q6]*$H$38+L19/Tablo1945[Q7]*$I$38</f>
        <v>10.583333333333332</v>
      </c>
      <c r="P19" s="74" cm="1">
        <f t="array" ref="P19">Tablo1744[[#This Row],[Q1]]/Tablo1945[Q1]*$C$39+G19/Tablo1945[Q2]*$D$39+H19/Tablo1945[Q3]*$E$39+I19/Tablo1945[Q4]*$F$39+J19/Tablo1945[Q5]*$G$39+K19/Tablo1945[Q6]*$H$39+L19/Tablo1945[Q7]*$I$39</f>
        <v>5</v>
      </c>
      <c r="Q19" s="74" cm="1">
        <f t="array" ref="Q19">Tablo1744[[#This Row],[Q1]]/Tablo1945[Q1]*$C$40+G19/Tablo1945[Q2]*$D$40+H19/Tablo1945[Q3]*$E$40+I19/Tablo1945[Q4]*$F$40+J19/Tablo1945[Q5]*$G$40+K19/Tablo1945[Q6]*$H$40+L19/Tablo1945[Q7]*$I$40</f>
        <v>21</v>
      </c>
      <c r="R19" s="12" cm="1">
        <f t="array" ref="R19">Tablo1744[[#This Row],[Q1]]/Tablo1945[Q1]*$C$41+$G19/Tablo1945[Q2]*$D$41+$H19/Tablo1945[Q3]*$E$41+$I19/Tablo1945[Q4]*$F$41+$J19/Tablo1945[Q5]*$G$41+$K19/Tablo1945[Q6]*$H$41+$L19/Tablo1945[Q7]*$I$41</f>
        <v>0</v>
      </c>
      <c r="S19" s="12" cm="1">
        <f t="array" ref="S19">Tablo1744[[#This Row],[Q1]]/Tablo1945[Q1]*$C$42+$G19/Tablo1945[Q2]*$D$42+$H19/Tablo1945[Q3]*$E$42+$I19/Tablo1945[Q4]*$F$42+$J19/Tablo1945[Q5]*$G$42+$K19/Tablo1945[Q6]*$H$42+$L19/Tablo1945[Q7]*$I$42</f>
        <v>0</v>
      </c>
      <c r="T19" s="75" cm="1">
        <f t="array" ref="T19">Tablo1744[[#This Row],[Q1]]/Tablo1945[Q1]*$C$43+$G19/Tablo1945[Q2]*$D$43+$H19/Tablo1945[Q3]*$E$43+$I19/Tablo1945[Q4]*$F$43+$J19/Tablo1945[Q5]*$G$43+$K19/Tablo1945[Q6]*$H$43+$L19/Tablo1945[Q7]*$I$43</f>
        <v>0</v>
      </c>
      <c r="U19" s="76" cm="1">
        <f t="array" ref="U19">Tablo1744[[#This Row],[Q1]]/Tablo1945[Q1]*$C$44+$G19/Tablo1945[Q2]*$D$44+$H19/Tablo1945[Q3]*$E$44+$I19/Tablo1945[Q4]*$F$44+$J19/Tablo1945[Q5]*$G$44+$K19/Tablo1945[Q6]*$H$44+$L19/Tablo1945[Q7]*$I$44</f>
        <v>0</v>
      </c>
      <c r="V19" s="76" cm="1">
        <f t="array" ref="V19">Tablo1744[[#This Row],[Q1]]/Tablo1945[Q1]*$C$45+$G19/Tablo1945[Q2]*$D$45+$H19/Tablo1945[Q3]*$E$45+$I19/Tablo1945[Q4]*$F$45+$J19/Tablo1945[Q5]*$G$45+$K19/Tablo1945[Q6]*$H$45+$L19/Tablo1945[Q7]*$I$45</f>
        <v>0</v>
      </c>
      <c r="W19" s="76" cm="1">
        <f t="array" ref="W19">Tablo1744[[#This Row],[Q1]]/Tablo1945[Q1]*$C$46+$G19/Tablo1945[Q2]*$D$46+$H19/Tablo1945[Q3]*$E$46+$I19/Tablo1945[Q4]*$F$46+$J19/Tablo1945[Q5]*$G$46+$K19/Tablo1945[Q6]*$H$46+$L19/Tablo1945[Q7]*$I$46</f>
        <v>0</v>
      </c>
      <c r="X19" s="74">
        <f t="shared" si="1"/>
        <v>47.333333333333329</v>
      </c>
      <c r="Y19" s="8">
        <f>_xlfn.NORM.DIST(Tablo1744[[#This Row],[TOTAL GRADE]],$N$62,$O$62,FALSE)</f>
        <v>2.1068085834592267E-2</v>
      </c>
      <c r="AA19" s="35"/>
      <c r="AB19" s="35"/>
      <c r="AC19" s="35"/>
      <c r="AD19" s="35"/>
      <c r="AE19" s="85"/>
    </row>
    <row r="20" spans="2:31" ht="15.6" thickTop="1" thickBot="1" x14ac:dyDescent="0.35">
      <c r="B20" s="77">
        <v>16</v>
      </c>
      <c r="C20" s="14">
        <v>17</v>
      </c>
      <c r="D20" s="61" t="s">
        <v>110</v>
      </c>
      <c r="E20" s="61" t="s">
        <v>111</v>
      </c>
      <c r="F20" s="1">
        <v>3</v>
      </c>
      <c r="G20" s="1">
        <v>4</v>
      </c>
      <c r="H20" s="1">
        <v>11</v>
      </c>
      <c r="I20" s="1">
        <v>10</v>
      </c>
      <c r="J20" s="1">
        <v>6</v>
      </c>
      <c r="K20" s="1">
        <v>2</v>
      </c>
      <c r="L20" s="1">
        <v>6</v>
      </c>
      <c r="M20" s="12">
        <f t="shared" si="0"/>
        <v>42</v>
      </c>
      <c r="N20" s="74" cm="1">
        <f t="array" ref="N20">Tablo1744[[#This Row],[Q1]]/Tablo1945[Q1]*$C$37+G20/Tablo1945[Q2]*$D$37+H20/Tablo1945[Q3]*$E$37+I20/Tablo1945[Q4]*$F$37+J20/Tablo1945[Q5]*$G$37+K20/Tablo1945[Q6]*$H$37+L20/Tablo1945[Q7]*$I$37</f>
        <v>17</v>
      </c>
      <c r="O20" s="74" cm="1">
        <f t="array" ref="O20">Tablo1744[[#This Row],[Q1]]/Tablo1945[Q1]*$C$38+G20/Tablo1945[Q2]*$D$38+H20/Tablo1945[Q3]*$E$38+I20/Tablo1945[Q4]*$F$38+J20/Tablo1945[Q5]*$G$38+K20/Tablo1945[Q6]*$H$38+L20/Tablo1945[Q7]*$I$38</f>
        <v>9.6666666666666661</v>
      </c>
      <c r="P20" s="74" cm="1">
        <f t="array" ref="P20">Tablo1744[[#This Row],[Q1]]/Tablo1945[Q1]*$C$39+G20/Tablo1945[Q2]*$D$39+H20/Tablo1945[Q3]*$E$39+I20/Tablo1945[Q4]*$F$39+J20/Tablo1945[Q5]*$G$39+K20/Tablo1945[Q6]*$H$39+L20/Tablo1945[Q7]*$I$39</f>
        <v>18</v>
      </c>
      <c r="Q20" s="74" cm="1">
        <f t="array" ref="Q20">Tablo1744[[#This Row],[Q1]]/Tablo1945[Q1]*$C$40+G20/Tablo1945[Q2]*$D$40+H20/Tablo1945[Q3]*$E$40+I20/Tablo1945[Q4]*$F$40+J20/Tablo1945[Q5]*$G$40+K20/Tablo1945[Q6]*$H$40+L20/Tablo1945[Q7]*$I$40</f>
        <v>21.166666666666664</v>
      </c>
      <c r="R20" s="12" cm="1">
        <f t="array" ref="R20">Tablo1744[[#This Row],[Q1]]/Tablo1945[Q1]*$C$41+$G20/Tablo1945[Q2]*$D$41+$H20/Tablo1945[Q3]*$E$41+$I20/Tablo1945[Q4]*$F$41+$J20/Tablo1945[Q5]*$G$41+$K20/Tablo1945[Q6]*$H$41+$L20/Tablo1945[Q7]*$I$41</f>
        <v>0</v>
      </c>
      <c r="S20" s="12" cm="1">
        <f t="array" ref="S20">Tablo1744[[#This Row],[Q1]]/Tablo1945[Q1]*$C$42+$G20/Tablo1945[Q2]*$D$42+$H20/Tablo1945[Q3]*$E$42+$I20/Tablo1945[Q4]*$F$42+$J20/Tablo1945[Q5]*$G$42+$K20/Tablo1945[Q6]*$H$42+$L20/Tablo1945[Q7]*$I$42</f>
        <v>0</v>
      </c>
      <c r="T20" s="75" cm="1">
        <f t="array" ref="T20">Tablo1744[[#This Row],[Q1]]/Tablo1945[Q1]*$C$43+$G20/Tablo1945[Q2]*$D$43+$H20/Tablo1945[Q3]*$E$43+$I20/Tablo1945[Q4]*$F$43+$J20/Tablo1945[Q5]*$G$43+$K20/Tablo1945[Q6]*$H$43+$L20/Tablo1945[Q7]*$I$43</f>
        <v>0</v>
      </c>
      <c r="U20" s="76" cm="1">
        <f t="array" ref="U20">Tablo1744[[#This Row],[Q1]]/Tablo1945[Q1]*$C$44+$G20/Tablo1945[Q2]*$D$44+$H20/Tablo1945[Q3]*$E$44+$I20/Tablo1945[Q4]*$F$44+$J20/Tablo1945[Q5]*$G$44+$K20/Tablo1945[Q6]*$H$44+$L20/Tablo1945[Q7]*$I$44</f>
        <v>0</v>
      </c>
      <c r="V20" s="76" cm="1">
        <f t="array" ref="V20">Tablo1744[[#This Row],[Q1]]/Tablo1945[Q1]*$C$45+$G20/Tablo1945[Q2]*$D$45+$H20/Tablo1945[Q3]*$E$45+$I20/Tablo1945[Q4]*$F$45+$J20/Tablo1945[Q5]*$G$45+$K20/Tablo1945[Q6]*$H$45+$L20/Tablo1945[Q7]*$I$45</f>
        <v>0</v>
      </c>
      <c r="W20" s="76" cm="1">
        <f t="array" ref="W20">Tablo1744[[#This Row],[Q1]]/Tablo1945[Q1]*$C$46+$G20/Tablo1945[Q2]*$D$46+$H20/Tablo1945[Q3]*$E$46+$I20/Tablo1945[Q4]*$F$46+$J20/Tablo1945[Q5]*$G$46+$K20/Tablo1945[Q6]*$H$46+$L20/Tablo1945[Q7]*$I$46</f>
        <v>0</v>
      </c>
      <c r="X20" s="74">
        <f t="shared" si="1"/>
        <v>65.833333333333329</v>
      </c>
      <c r="Y20" s="8">
        <f>_xlfn.NORM.DIST(Tablo1744[[#This Row],[TOTAL GRADE]],$N$62,$O$62,FALSE)</f>
        <v>2.0900234786402155E-2</v>
      </c>
      <c r="AA20" s="35"/>
      <c r="AB20" s="35"/>
      <c r="AC20" s="35"/>
      <c r="AD20" s="35"/>
      <c r="AE20" s="85"/>
    </row>
    <row r="21" spans="2:31" ht="15.6" thickTop="1" thickBot="1" x14ac:dyDescent="0.35">
      <c r="B21" s="51">
        <v>17</v>
      </c>
      <c r="C21" s="14">
        <v>18</v>
      </c>
      <c r="D21" s="61" t="s">
        <v>110</v>
      </c>
      <c r="E21" s="61" t="s">
        <v>111</v>
      </c>
      <c r="F21" s="1">
        <v>0</v>
      </c>
      <c r="G21" s="1">
        <v>0</v>
      </c>
      <c r="H21" s="1">
        <v>7</v>
      </c>
      <c r="I21" s="1">
        <v>15</v>
      </c>
      <c r="J21" s="1">
        <v>6</v>
      </c>
      <c r="K21" s="1">
        <v>10</v>
      </c>
      <c r="L21" s="1">
        <v>4</v>
      </c>
      <c r="M21" s="12">
        <f t="shared" si="0"/>
        <v>42</v>
      </c>
      <c r="N21" s="74" cm="1">
        <f t="array" ref="N21">Tablo1744[[#This Row],[Q1]]/Tablo1945[Q1]*$C$37+G21/Tablo1945[Q2]*$D$37+H21/Tablo1945[Q3]*$E$37+I21/Tablo1945[Q4]*$F$37+J21/Tablo1945[Q5]*$G$37+K21/Tablo1945[Q6]*$H$37+L21/Tablo1945[Q7]*$I$37</f>
        <v>9.25</v>
      </c>
      <c r="O21" s="74" cm="1">
        <f t="array" ref="O21">Tablo1744[[#This Row],[Q1]]/Tablo1945[Q1]*$C$38+G21/Tablo1945[Q2]*$D$38+H21/Tablo1945[Q3]*$E$38+I21/Tablo1945[Q4]*$F$38+J21/Tablo1945[Q5]*$G$38+K21/Tablo1945[Q6]*$H$38+L21/Tablo1945[Q7]*$I$38</f>
        <v>14.583333333333332</v>
      </c>
      <c r="P21" s="74" cm="1">
        <f t="array" ref="P21">Tablo1744[[#This Row],[Q1]]/Tablo1945[Q1]*$C$39+G21/Tablo1945[Q2]*$D$39+H21/Tablo1945[Q3]*$E$39+I21/Tablo1945[Q4]*$F$39+J21/Tablo1945[Q5]*$G$39+K21/Tablo1945[Q6]*$H$39+L21/Tablo1945[Q7]*$I$39</f>
        <v>2</v>
      </c>
      <c r="Q21" s="74" cm="1">
        <f t="array" ref="Q21">Tablo1744[[#This Row],[Q1]]/Tablo1945[Q1]*$C$40+G21/Tablo1945[Q2]*$D$40+H21/Tablo1945[Q3]*$E$40+I21/Tablo1945[Q4]*$F$40+J21/Tablo1945[Q5]*$G$40+K21/Tablo1945[Q6]*$H$40+L21/Tablo1945[Q7]*$I$40</f>
        <v>21.666666666666664</v>
      </c>
      <c r="R21" s="12" cm="1">
        <f t="array" ref="R21">Tablo1744[[#This Row],[Q1]]/Tablo1945[Q1]*$C$41+$G21/Tablo1945[Q2]*$D$41+$H21/Tablo1945[Q3]*$E$41+$I21/Tablo1945[Q4]*$F$41+$J21/Tablo1945[Q5]*$G$41+$K21/Tablo1945[Q6]*$H$41+$L21/Tablo1945[Q7]*$I$41</f>
        <v>0</v>
      </c>
      <c r="S21" s="12" cm="1">
        <f t="array" ref="S21">Tablo1744[[#This Row],[Q1]]/Tablo1945[Q1]*$C$42+$G21/Tablo1945[Q2]*$D$42+$H21/Tablo1945[Q3]*$E$42+$I21/Tablo1945[Q4]*$F$42+$J21/Tablo1945[Q5]*$G$42+$K21/Tablo1945[Q6]*$H$42+$L21/Tablo1945[Q7]*$I$42</f>
        <v>0</v>
      </c>
      <c r="T21" s="75" cm="1">
        <f t="array" ref="T21">Tablo1744[[#This Row],[Q1]]/Tablo1945[Q1]*$C$43+$G21/Tablo1945[Q2]*$D$43+$H21/Tablo1945[Q3]*$E$43+$I21/Tablo1945[Q4]*$F$43+$J21/Tablo1945[Q5]*$G$43+$K21/Tablo1945[Q6]*$H$43+$L21/Tablo1945[Q7]*$I$43</f>
        <v>0</v>
      </c>
      <c r="U21" s="76" cm="1">
        <f t="array" ref="U21">Tablo1744[[#This Row],[Q1]]/Tablo1945[Q1]*$C$44+$G21/Tablo1945[Q2]*$D$44+$H21/Tablo1945[Q3]*$E$44+$I21/Tablo1945[Q4]*$F$44+$J21/Tablo1945[Q5]*$G$44+$K21/Tablo1945[Q6]*$H$44+$L21/Tablo1945[Q7]*$I$44</f>
        <v>0</v>
      </c>
      <c r="V21" s="76" cm="1">
        <f t="array" ref="V21">Tablo1744[[#This Row],[Q1]]/Tablo1945[Q1]*$C$45+$G21/Tablo1945[Q2]*$D$45+$H21/Tablo1945[Q3]*$E$45+$I21/Tablo1945[Q4]*$F$45+$J21/Tablo1945[Q5]*$G$45+$K21/Tablo1945[Q6]*$H$45+$L21/Tablo1945[Q7]*$I$45</f>
        <v>0</v>
      </c>
      <c r="W21" s="76" cm="1">
        <f t="array" ref="W21">Tablo1744[[#This Row],[Q1]]/Tablo1945[Q1]*$C$46+$G21/Tablo1945[Q2]*$D$46+$H21/Tablo1945[Q3]*$E$46+$I21/Tablo1945[Q4]*$F$46+$J21/Tablo1945[Q5]*$G$46+$K21/Tablo1945[Q6]*$H$46+$L21/Tablo1945[Q7]*$I$46</f>
        <v>0</v>
      </c>
      <c r="X21" s="74">
        <f t="shared" si="1"/>
        <v>47.5</v>
      </c>
      <c r="Y21" s="8">
        <f>_xlfn.NORM.DIST(Tablo1744[[#This Row],[TOTAL GRADE]],$N$62,$O$62,FALSE)</f>
        <v>2.0900234786402155E-2</v>
      </c>
      <c r="AA21" s="35"/>
      <c r="AB21" s="35"/>
      <c r="AC21" s="35"/>
      <c r="AD21" s="35"/>
      <c r="AE21" s="85"/>
    </row>
    <row r="22" spans="2:31" ht="15.6" thickTop="1" thickBot="1" x14ac:dyDescent="0.35">
      <c r="B22" s="77">
        <v>18</v>
      </c>
      <c r="C22" s="14">
        <v>15</v>
      </c>
      <c r="D22" s="61" t="s">
        <v>110</v>
      </c>
      <c r="E22" s="61" t="s">
        <v>111</v>
      </c>
      <c r="F22" s="1">
        <v>2</v>
      </c>
      <c r="G22" s="1">
        <v>5</v>
      </c>
      <c r="H22" s="1">
        <v>9</v>
      </c>
      <c r="I22" s="1">
        <v>6</v>
      </c>
      <c r="J22" s="1">
        <v>15</v>
      </c>
      <c r="K22" s="1">
        <v>5</v>
      </c>
      <c r="L22" s="1">
        <v>4</v>
      </c>
      <c r="M22" s="12">
        <f t="shared" si="0"/>
        <v>46</v>
      </c>
      <c r="N22" s="74" cm="1">
        <f t="array" ref="N22">Tablo1744[[#This Row],[Q1]]/Tablo1945[Q1]*$C$37+G22/Tablo1945[Q2]*$D$37+H22/Tablo1945[Q3]*$E$37+I22/Tablo1945[Q4]*$F$37+J22/Tablo1945[Q5]*$G$37+K22/Tablo1945[Q6]*$H$37+L22/Tablo1945[Q7]*$I$37</f>
        <v>18</v>
      </c>
      <c r="O22" s="74" cm="1">
        <f t="array" ref="O22">Tablo1744[[#This Row],[Q1]]/Tablo1945[Q1]*$C$38+G22/Tablo1945[Q2]*$D$38+H22/Tablo1945[Q3]*$E$38+I22/Tablo1945[Q4]*$F$38+J22/Tablo1945[Q5]*$G$38+K22/Tablo1945[Q6]*$H$38+L22/Tablo1945[Q7]*$I$38</f>
        <v>7.1666666666666661</v>
      </c>
      <c r="P22" s="74" cm="1">
        <f t="array" ref="P22">Tablo1744[[#This Row],[Q1]]/Tablo1945[Q1]*$C$39+G22/Tablo1945[Q2]*$D$39+H22/Tablo1945[Q3]*$E$39+I22/Tablo1945[Q4]*$F$39+J22/Tablo1945[Q5]*$G$39+K22/Tablo1945[Q6]*$H$39+L22/Tablo1945[Q7]*$I$39</f>
        <v>25</v>
      </c>
      <c r="Q22" s="74" cm="1">
        <f t="array" ref="Q22">Tablo1744[[#This Row],[Q1]]/Tablo1945[Q1]*$C$40+G22/Tablo1945[Q2]*$D$40+H22/Tablo1945[Q3]*$E$40+I22/Tablo1945[Q4]*$F$40+J22/Tablo1945[Q5]*$G$40+K22/Tablo1945[Q6]*$H$40+L22/Tablo1945[Q7]*$I$40</f>
        <v>19.5</v>
      </c>
      <c r="R22" s="12" cm="1">
        <f t="array" ref="R22">Tablo1744[[#This Row],[Q1]]/Tablo1945[Q1]*$C$41+$G22/Tablo1945[Q2]*$D$41+$H22/Tablo1945[Q3]*$E$41+$I22/Tablo1945[Q4]*$F$41+$J22/Tablo1945[Q5]*$G$41+$K22/Tablo1945[Q6]*$H$41+$L22/Tablo1945[Q7]*$I$41</f>
        <v>0</v>
      </c>
      <c r="S22" s="12" cm="1">
        <f t="array" ref="S22">Tablo1744[[#This Row],[Q1]]/Tablo1945[Q1]*$C$42+$G22/Tablo1945[Q2]*$D$42+$H22/Tablo1945[Q3]*$E$42+$I22/Tablo1945[Q4]*$F$42+$J22/Tablo1945[Q5]*$G$42+$K22/Tablo1945[Q6]*$H$42+$L22/Tablo1945[Q7]*$I$42</f>
        <v>0</v>
      </c>
      <c r="T22" s="75" cm="1">
        <f t="array" ref="T22">Tablo1744[[#This Row],[Q1]]/Tablo1945[Q1]*$C$43+$G22/Tablo1945[Q2]*$D$43+$H22/Tablo1945[Q3]*$E$43+$I22/Tablo1945[Q4]*$F$43+$J22/Tablo1945[Q5]*$G$43+$K22/Tablo1945[Q6]*$H$43+$L22/Tablo1945[Q7]*$I$43</f>
        <v>0</v>
      </c>
      <c r="U22" s="76" cm="1">
        <f t="array" ref="U22">Tablo1744[[#This Row],[Q1]]/Tablo1945[Q1]*$C$44+$G22/Tablo1945[Q2]*$D$44+$H22/Tablo1945[Q3]*$E$44+$I22/Tablo1945[Q4]*$F$44+$J22/Tablo1945[Q5]*$G$44+$K22/Tablo1945[Q6]*$H$44+$L22/Tablo1945[Q7]*$I$44</f>
        <v>0</v>
      </c>
      <c r="V22" s="76" cm="1">
        <f t="array" ref="V22">Tablo1744[[#This Row],[Q1]]/Tablo1945[Q1]*$C$45+$G22/Tablo1945[Q2]*$D$45+$H22/Tablo1945[Q3]*$E$45+$I22/Tablo1945[Q4]*$F$45+$J22/Tablo1945[Q5]*$G$45+$K22/Tablo1945[Q6]*$H$45+$L22/Tablo1945[Q7]*$I$45</f>
        <v>0</v>
      </c>
      <c r="W22" s="76" cm="1">
        <f t="array" ref="W22">Tablo1744[[#This Row],[Q1]]/Tablo1945[Q1]*$C$46+$G22/Tablo1945[Q2]*$D$46+$H22/Tablo1945[Q3]*$E$46+$I22/Tablo1945[Q4]*$F$46+$J22/Tablo1945[Q5]*$G$46+$K22/Tablo1945[Q6]*$H$46+$L22/Tablo1945[Q7]*$I$46</f>
        <v>0</v>
      </c>
      <c r="X22" s="74">
        <f t="shared" si="1"/>
        <v>69.666666666666657</v>
      </c>
      <c r="Y22" s="8">
        <f>_xlfn.NORM.DIST(Tablo1744[[#This Row],[TOTAL GRADE]],$N$62,$O$62,FALSE)</f>
        <v>1.9891217673100123E-2</v>
      </c>
      <c r="AA22" s="35"/>
      <c r="AB22" s="35"/>
      <c r="AC22" s="35"/>
      <c r="AD22" s="35"/>
      <c r="AE22" s="85"/>
    </row>
    <row r="23" spans="2:31" ht="15.6" thickTop="1" thickBot="1" x14ac:dyDescent="0.35">
      <c r="B23" s="51">
        <v>19</v>
      </c>
      <c r="C23" s="14">
        <v>10</v>
      </c>
      <c r="D23" s="61" t="s">
        <v>110</v>
      </c>
      <c r="E23" s="61" t="s">
        <v>111</v>
      </c>
      <c r="F23" s="1">
        <v>0</v>
      </c>
      <c r="G23" s="1">
        <v>2</v>
      </c>
      <c r="H23" s="1">
        <v>17</v>
      </c>
      <c r="I23" s="1">
        <v>15</v>
      </c>
      <c r="J23" s="1">
        <v>10</v>
      </c>
      <c r="K23" s="1">
        <v>6</v>
      </c>
      <c r="L23" s="1">
        <v>0</v>
      </c>
      <c r="M23" s="12">
        <f t="shared" si="0"/>
        <v>50</v>
      </c>
      <c r="N23" s="74" cm="1">
        <f t="array" ref="N23">Tablo1744[[#This Row],[Q1]]/Tablo1945[Q1]*$C$37+G23/Tablo1945[Q2]*$D$37+H23/Tablo1945[Q3]*$E$37+I23/Tablo1945[Q4]*$F$37+J23/Tablo1945[Q5]*$G$37+K23/Tablo1945[Q6]*$H$37+L23/Tablo1945[Q7]*$I$37</f>
        <v>17.583333333333332</v>
      </c>
      <c r="O23" s="74" cm="1">
        <f t="array" ref="O23">Tablo1744[[#This Row],[Q1]]/Tablo1945[Q1]*$C$38+G23/Tablo1945[Q2]*$D$38+H23/Tablo1945[Q3]*$E$38+I23/Tablo1945[Q4]*$F$38+J23/Tablo1945[Q5]*$G$38+K23/Tablo1945[Q6]*$H$38+L23/Tablo1945[Q7]*$I$38</f>
        <v>13.25</v>
      </c>
      <c r="P23" s="74" cm="1">
        <f t="array" ref="P23">Tablo1744[[#This Row],[Q1]]/Tablo1945[Q1]*$C$39+G23/Tablo1945[Q2]*$D$39+H23/Tablo1945[Q3]*$E$39+I23/Tablo1945[Q4]*$F$39+J23/Tablo1945[Q5]*$G$39+K23/Tablo1945[Q6]*$H$39+L23/Tablo1945[Q7]*$I$39</f>
        <v>11.333333333333332</v>
      </c>
      <c r="Q23" s="74" cm="1">
        <f t="array" ref="Q23">Tablo1744[[#This Row],[Q1]]/Tablo1945[Q1]*$C$40+G23/Tablo1945[Q2]*$D$40+H23/Tablo1945[Q3]*$E$40+I23/Tablo1945[Q4]*$F$40+J23/Tablo1945[Q5]*$G$40+K23/Tablo1945[Q6]*$H$40+L23/Tablo1945[Q7]*$I$40</f>
        <v>21.333333333333332</v>
      </c>
      <c r="R23" s="12" cm="1">
        <f t="array" ref="R23">Tablo1744[[#This Row],[Q1]]/Tablo1945[Q1]*$C$41+$G23/Tablo1945[Q2]*$D$41+$H23/Tablo1945[Q3]*$E$41+$I23/Tablo1945[Q4]*$F$41+$J23/Tablo1945[Q5]*$G$41+$K23/Tablo1945[Q6]*$H$41+$L23/Tablo1945[Q7]*$I$41</f>
        <v>0</v>
      </c>
      <c r="S23" s="12" cm="1">
        <f t="array" ref="S23">Tablo1744[[#This Row],[Q1]]/Tablo1945[Q1]*$C$42+$G23/Tablo1945[Q2]*$D$42+$H23/Tablo1945[Q3]*$E$42+$I23/Tablo1945[Q4]*$F$42+$J23/Tablo1945[Q5]*$G$42+$K23/Tablo1945[Q6]*$H$42+$L23/Tablo1945[Q7]*$I$42</f>
        <v>0</v>
      </c>
      <c r="T23" s="75" cm="1">
        <f t="array" ref="T23">Tablo1744[[#This Row],[Q1]]/Tablo1945[Q1]*$C$43+$G23/Tablo1945[Q2]*$D$43+$H23/Tablo1945[Q3]*$E$43+$I23/Tablo1945[Q4]*$F$43+$J23/Tablo1945[Q5]*$G$43+$K23/Tablo1945[Q6]*$H$43+$L23/Tablo1945[Q7]*$I$43</f>
        <v>0</v>
      </c>
      <c r="U23" s="76" cm="1">
        <f t="array" ref="U23">Tablo1744[[#This Row],[Q1]]/Tablo1945[Q1]*$C$44+$G23/Tablo1945[Q2]*$D$44+$H23/Tablo1945[Q3]*$E$44+$I23/Tablo1945[Q4]*$F$44+$J23/Tablo1945[Q5]*$G$44+$K23/Tablo1945[Q6]*$H$44+$L23/Tablo1945[Q7]*$I$44</f>
        <v>0</v>
      </c>
      <c r="V23" s="76" cm="1">
        <f t="array" ref="V23">Tablo1744[[#This Row],[Q1]]/Tablo1945[Q1]*$C$45+$G23/Tablo1945[Q2]*$D$45+$H23/Tablo1945[Q3]*$E$45+$I23/Tablo1945[Q4]*$F$45+$J23/Tablo1945[Q5]*$G$45+$K23/Tablo1945[Q6]*$H$45+$L23/Tablo1945[Q7]*$I$45</f>
        <v>0</v>
      </c>
      <c r="W23" s="76" cm="1">
        <f t="array" ref="W23">Tablo1744[[#This Row],[Q1]]/Tablo1945[Q1]*$C$46+$G23/Tablo1945[Q2]*$D$46+$H23/Tablo1945[Q3]*$E$46+$I23/Tablo1945[Q4]*$F$46+$J23/Tablo1945[Q5]*$G$46+$K23/Tablo1945[Q6]*$H$46+$L23/Tablo1945[Q7]*$I$46</f>
        <v>0</v>
      </c>
      <c r="X23" s="74">
        <f t="shared" si="1"/>
        <v>63.5</v>
      </c>
      <c r="Y23" s="8">
        <f>_xlfn.NORM.DIST(Tablo1744[[#This Row],[TOTAL GRADE]],$N$62,$O$62,FALSE)</f>
        <v>1.8104322883186703E-2</v>
      </c>
      <c r="AA23" s="35"/>
      <c r="AB23" s="35"/>
      <c r="AC23" s="35"/>
      <c r="AD23" s="35"/>
      <c r="AE23" s="85"/>
    </row>
    <row r="24" spans="2:31" ht="15.6" thickTop="1" thickBot="1" x14ac:dyDescent="0.35">
      <c r="B24" s="77">
        <v>20</v>
      </c>
      <c r="C24" s="14">
        <v>11</v>
      </c>
      <c r="D24" s="61" t="s">
        <v>110</v>
      </c>
      <c r="E24" s="61" t="s">
        <v>111</v>
      </c>
      <c r="F24" s="1">
        <v>0</v>
      </c>
      <c r="G24" s="1">
        <v>5</v>
      </c>
      <c r="H24" s="1">
        <v>8</v>
      </c>
      <c r="I24" s="1">
        <v>9</v>
      </c>
      <c r="J24" s="1">
        <v>8</v>
      </c>
      <c r="K24" s="1">
        <v>9</v>
      </c>
      <c r="L24" s="1">
        <v>11</v>
      </c>
      <c r="M24" s="12">
        <f t="shared" si="0"/>
        <v>50</v>
      </c>
      <c r="N24" s="74" cm="1">
        <f t="array" ref="N24">Tablo1744[[#This Row],[Q1]]/Tablo1945[Q1]*$C$37+G24/Tablo1945[Q2]*$D$37+H24/Tablo1945[Q3]*$E$37+I24/Tablo1945[Q4]*$F$37+J24/Tablo1945[Q5]*$G$37+K24/Tablo1945[Q6]*$H$37+L24/Tablo1945[Q7]*$I$37</f>
        <v>13.916666666666666</v>
      </c>
      <c r="O24" s="74" cm="1">
        <f t="array" ref="O24">Tablo1744[[#This Row],[Q1]]/Tablo1945[Q1]*$C$38+G24/Tablo1945[Q2]*$D$38+H24/Tablo1945[Q3]*$E$38+I24/Tablo1945[Q4]*$F$38+J24/Tablo1945[Q5]*$G$38+K24/Tablo1945[Q6]*$H$38+L24/Tablo1945[Q7]*$I$38</f>
        <v>9.75</v>
      </c>
      <c r="P24" s="74" cm="1">
        <f t="array" ref="P24">Tablo1744[[#This Row],[Q1]]/Tablo1945[Q1]*$C$39+G24/Tablo1945[Q2]*$D$39+H24/Tablo1945[Q3]*$E$39+I24/Tablo1945[Q4]*$F$39+J24/Tablo1945[Q5]*$G$39+K24/Tablo1945[Q6]*$H$39+L24/Tablo1945[Q7]*$I$39</f>
        <v>22.666666666666668</v>
      </c>
      <c r="Q24" s="74" cm="1">
        <f t="array" ref="Q24">Tablo1744[[#This Row],[Q1]]/Tablo1945[Q1]*$C$40+G24/Tablo1945[Q2]*$D$40+H24/Tablo1945[Q3]*$E$40+I24/Tablo1945[Q4]*$F$40+J24/Tablo1945[Q5]*$G$40+K24/Tablo1945[Q6]*$H$40+L24/Tablo1945[Q7]*$I$40</f>
        <v>28.833333333333332</v>
      </c>
      <c r="R24" s="12" cm="1">
        <f t="array" ref="R24">Tablo1744[[#This Row],[Q1]]/Tablo1945[Q1]*$C$41+$G24/Tablo1945[Q2]*$D$41+$H24/Tablo1945[Q3]*$E$41+$I24/Tablo1945[Q4]*$F$41+$J24/Tablo1945[Q5]*$G$41+$K24/Tablo1945[Q6]*$H$41+$L24/Tablo1945[Q7]*$I$41</f>
        <v>0</v>
      </c>
      <c r="S24" s="12" cm="1">
        <f t="array" ref="S24">Tablo1744[[#This Row],[Q1]]/Tablo1945[Q1]*$C$42+$G24/Tablo1945[Q2]*$D$42+$H24/Tablo1945[Q3]*$E$42+$I24/Tablo1945[Q4]*$F$42+$J24/Tablo1945[Q5]*$G$42+$K24/Tablo1945[Q6]*$H$42+$L24/Tablo1945[Q7]*$I$42</f>
        <v>0</v>
      </c>
      <c r="T24" s="75" cm="1">
        <f t="array" ref="T24">Tablo1744[[#This Row],[Q1]]/Tablo1945[Q1]*$C$43+$G24/Tablo1945[Q2]*$D$43+$H24/Tablo1945[Q3]*$E$43+$I24/Tablo1945[Q4]*$F$43+$J24/Tablo1945[Q5]*$G$43+$K24/Tablo1945[Q6]*$H$43+$L24/Tablo1945[Q7]*$I$43</f>
        <v>0</v>
      </c>
      <c r="U24" s="76" cm="1">
        <f t="array" ref="U24">Tablo1744[[#This Row],[Q1]]/Tablo1945[Q1]*$C$44+$G24/Tablo1945[Q2]*$D$44+$H24/Tablo1945[Q3]*$E$44+$I24/Tablo1945[Q4]*$F$44+$J24/Tablo1945[Q5]*$G$44+$K24/Tablo1945[Q6]*$H$44+$L24/Tablo1945[Q7]*$I$44</f>
        <v>0</v>
      </c>
      <c r="V24" s="76" cm="1">
        <f t="array" ref="V24">Tablo1744[[#This Row],[Q1]]/Tablo1945[Q1]*$C$45+$G24/Tablo1945[Q2]*$D$45+$H24/Tablo1945[Q3]*$E$45+$I24/Tablo1945[Q4]*$F$45+$J24/Tablo1945[Q5]*$G$45+$K24/Tablo1945[Q6]*$H$45+$L24/Tablo1945[Q7]*$I$45</f>
        <v>0</v>
      </c>
      <c r="W24" s="76" cm="1">
        <f t="array" ref="W24">Tablo1744[[#This Row],[Q1]]/Tablo1945[Q1]*$C$46+$G24/Tablo1945[Q2]*$D$46+$H24/Tablo1945[Q3]*$E$46+$I24/Tablo1945[Q4]*$F$46+$J24/Tablo1945[Q5]*$G$46+$K24/Tablo1945[Q6]*$H$46+$L24/Tablo1945[Q7]*$I$46</f>
        <v>0</v>
      </c>
      <c r="X24" s="74">
        <f t="shared" si="1"/>
        <v>75.166666666666657</v>
      </c>
      <c r="Y24" s="8">
        <f>_xlfn.NORM.DIST(Tablo1744[[#This Row],[TOTAL GRADE]],$N$62,$O$62,FALSE)</f>
        <v>1.8104322883186703E-2</v>
      </c>
      <c r="AA24" s="35"/>
      <c r="AB24" s="35"/>
      <c r="AC24" s="35"/>
      <c r="AD24" s="35"/>
      <c r="AE24" s="85"/>
    </row>
    <row r="25" spans="2:31" ht="15.6" thickTop="1" thickBot="1" x14ac:dyDescent="0.35">
      <c r="B25" s="51">
        <v>21</v>
      </c>
      <c r="C25" s="14">
        <v>9</v>
      </c>
      <c r="D25" s="61" t="s">
        <v>110</v>
      </c>
      <c r="E25" s="61" t="s">
        <v>111</v>
      </c>
      <c r="F25" s="1">
        <v>1</v>
      </c>
      <c r="G25" s="1">
        <v>1</v>
      </c>
      <c r="H25" s="1">
        <v>9</v>
      </c>
      <c r="I25" s="1">
        <v>12</v>
      </c>
      <c r="J25" s="1">
        <v>8</v>
      </c>
      <c r="K25" s="1">
        <v>15</v>
      </c>
      <c r="L25" s="1">
        <v>7</v>
      </c>
      <c r="M25" s="12">
        <f t="shared" si="0"/>
        <v>53</v>
      </c>
      <c r="N25" s="74" cm="1">
        <f t="array" ref="N25">Tablo1744[[#This Row],[Q1]]/Tablo1945[Q1]*$C$37+G25/Tablo1945[Q2]*$D$37+H25/Tablo1945[Q3]*$E$37+I25/Tablo1945[Q4]*$F$37+J25/Tablo1945[Q5]*$G$37+K25/Tablo1945[Q6]*$H$37+L25/Tablo1945[Q7]*$I$37</f>
        <v>12.166666666666666</v>
      </c>
      <c r="O25" s="74" cm="1">
        <f t="array" ref="O25">Tablo1744[[#This Row],[Q1]]/Tablo1945[Q1]*$C$38+G25/Tablo1945[Q2]*$D$38+H25/Tablo1945[Q3]*$E$38+I25/Tablo1945[Q4]*$F$38+J25/Tablo1945[Q5]*$G$38+K25/Tablo1945[Q6]*$H$38+L25/Tablo1945[Q7]*$I$38</f>
        <v>14.5</v>
      </c>
      <c r="P25" s="74" cm="1">
        <f t="array" ref="P25">Tablo1744[[#This Row],[Q1]]/Tablo1945[Q1]*$C$39+G25/Tablo1945[Q2]*$D$39+H25/Tablo1945[Q3]*$E$39+I25/Tablo1945[Q4]*$F$39+J25/Tablo1945[Q5]*$G$39+K25/Tablo1945[Q6]*$H$39+L25/Tablo1945[Q7]*$I$39</f>
        <v>6.6666666666666661</v>
      </c>
      <c r="Q25" s="74" cm="1">
        <f t="array" ref="Q25">Tablo1744[[#This Row],[Q1]]/Tablo1945[Q1]*$C$40+G25/Tablo1945[Q2]*$D$40+H25/Tablo1945[Q3]*$E$40+I25/Tablo1945[Q4]*$F$40+J25/Tablo1945[Q5]*$G$40+K25/Tablo1945[Q6]*$H$40+L25/Tablo1945[Q7]*$I$40</f>
        <v>27.5</v>
      </c>
      <c r="R25" s="12" cm="1">
        <f t="array" ref="R25">Tablo1744[[#This Row],[Q1]]/Tablo1945[Q1]*$C$41+$G25/Tablo1945[Q2]*$D$41+$H25/Tablo1945[Q3]*$E$41+$I25/Tablo1945[Q4]*$F$41+$J25/Tablo1945[Q5]*$G$41+$K25/Tablo1945[Q6]*$H$41+$L25/Tablo1945[Q7]*$I$41</f>
        <v>0</v>
      </c>
      <c r="S25" s="12" cm="1">
        <f t="array" ref="S25">Tablo1744[[#This Row],[Q1]]/Tablo1945[Q1]*$C$42+$G25/Tablo1945[Q2]*$D$42+$H25/Tablo1945[Q3]*$E$42+$I25/Tablo1945[Q4]*$F$42+$J25/Tablo1945[Q5]*$G$42+$K25/Tablo1945[Q6]*$H$42+$L25/Tablo1945[Q7]*$I$42</f>
        <v>0</v>
      </c>
      <c r="T25" s="75" cm="1">
        <f t="array" ref="T25">Tablo1744[[#This Row],[Q1]]/Tablo1945[Q1]*$C$43+$G25/Tablo1945[Q2]*$D$43+$H25/Tablo1945[Q3]*$E$43+$I25/Tablo1945[Q4]*$F$43+$J25/Tablo1945[Q5]*$G$43+$K25/Tablo1945[Q6]*$H$43+$L25/Tablo1945[Q7]*$I$43</f>
        <v>0</v>
      </c>
      <c r="U25" s="76" cm="1">
        <f t="array" ref="U25">Tablo1744[[#This Row],[Q1]]/Tablo1945[Q1]*$C$44+$G25/Tablo1945[Q2]*$D$44+$H25/Tablo1945[Q3]*$E$44+$I25/Tablo1945[Q4]*$F$44+$J25/Tablo1945[Q5]*$G$44+$K25/Tablo1945[Q6]*$H$44+$L25/Tablo1945[Q7]*$I$44</f>
        <v>0</v>
      </c>
      <c r="V25" s="76" cm="1">
        <f t="array" ref="V25">Tablo1744[[#This Row],[Q1]]/Tablo1945[Q1]*$C$45+$G25/Tablo1945[Q2]*$D$45+$H25/Tablo1945[Q3]*$E$45+$I25/Tablo1945[Q4]*$F$45+$J25/Tablo1945[Q5]*$G$45+$K25/Tablo1945[Q6]*$H$45+$L25/Tablo1945[Q7]*$I$45</f>
        <v>0</v>
      </c>
      <c r="W25" s="76" cm="1">
        <f t="array" ref="W25">Tablo1744[[#This Row],[Q1]]/Tablo1945[Q1]*$C$46+$G25/Tablo1945[Q2]*$D$46+$H25/Tablo1945[Q3]*$E$46+$I25/Tablo1945[Q4]*$F$46+$J25/Tablo1945[Q5]*$G$46+$K25/Tablo1945[Q6]*$H$46+$L25/Tablo1945[Q7]*$I$46</f>
        <v>0</v>
      </c>
      <c r="X25" s="74">
        <f t="shared" si="1"/>
        <v>60.833333333333329</v>
      </c>
      <c r="Y25" s="8">
        <f>_xlfn.NORM.DIST(Tablo1744[[#This Row],[TOTAL GRADE]],$N$62,$O$62,FALSE)</f>
        <v>1.6383200762380177E-2</v>
      </c>
      <c r="AA25" s="35"/>
      <c r="AB25" s="35"/>
      <c r="AC25" s="35"/>
      <c r="AD25" s="35"/>
      <c r="AE25" s="85"/>
    </row>
    <row r="26" spans="2:31" ht="15.6" thickTop="1" thickBot="1" x14ac:dyDescent="0.35">
      <c r="B26" s="77">
        <v>22</v>
      </c>
      <c r="C26" s="14">
        <v>13</v>
      </c>
      <c r="D26" s="61" t="s">
        <v>110</v>
      </c>
      <c r="E26" s="61" t="s">
        <v>111</v>
      </c>
      <c r="F26" s="1">
        <v>6</v>
      </c>
      <c r="G26" s="1">
        <v>5</v>
      </c>
      <c r="H26" s="1">
        <v>15</v>
      </c>
      <c r="I26" s="1">
        <v>11</v>
      </c>
      <c r="J26" s="1">
        <v>4</v>
      </c>
      <c r="K26" s="1">
        <v>4</v>
      </c>
      <c r="L26" s="1">
        <v>9</v>
      </c>
      <c r="M26" s="12">
        <f t="shared" si="0"/>
        <v>54</v>
      </c>
      <c r="N26" s="74" cm="1">
        <f t="array" ref="N26">Tablo1744[[#This Row],[Q1]]/Tablo1945[Q1]*$C$37+G26/Tablo1945[Q2]*$D$37+H26/Tablo1945[Q3]*$E$37+I26/Tablo1945[Q4]*$F$37+J26/Tablo1945[Q5]*$G$37+K26/Tablo1945[Q6]*$H$37+L26/Tablo1945[Q7]*$I$37</f>
        <v>22.583333333333332</v>
      </c>
      <c r="O26" s="74" cm="1">
        <f t="array" ref="O26">Tablo1744[[#This Row],[Q1]]/Tablo1945[Q1]*$C$38+G26/Tablo1945[Q2]*$D$38+H26/Tablo1945[Q3]*$E$38+I26/Tablo1945[Q4]*$F$38+J26/Tablo1945[Q5]*$G$38+K26/Tablo1945[Q6]*$H$38+L26/Tablo1945[Q7]*$I$38</f>
        <v>12.583333333333334</v>
      </c>
      <c r="P26" s="74" cm="1">
        <f t="array" ref="P26">Tablo1744[[#This Row],[Q1]]/Tablo1945[Q1]*$C$39+G26/Tablo1945[Q2]*$D$39+H26/Tablo1945[Q3]*$E$39+I26/Tablo1945[Q4]*$F$39+J26/Tablo1945[Q5]*$G$39+K26/Tablo1945[Q6]*$H$39+L26/Tablo1945[Q7]*$I$39</f>
        <v>21.333333333333332</v>
      </c>
      <c r="Q26" s="74" cm="1">
        <f t="array" ref="Q26">Tablo1744[[#This Row],[Q1]]/Tablo1945[Q1]*$C$40+G26/Tablo1945[Q2]*$D$40+H26/Tablo1945[Q3]*$E$40+I26/Tablo1945[Q4]*$F$40+J26/Tablo1945[Q5]*$G$40+K26/Tablo1945[Q6]*$H$40+L26/Tablo1945[Q7]*$I$40</f>
        <v>27.666666666666668</v>
      </c>
      <c r="R26" s="12" cm="1">
        <f t="array" ref="R26">Tablo1744[[#This Row],[Q1]]/Tablo1945[Q1]*$C$41+$G26/Tablo1945[Q2]*$D$41+$H26/Tablo1945[Q3]*$E$41+$I26/Tablo1945[Q4]*$F$41+$J26/Tablo1945[Q5]*$G$41+$K26/Tablo1945[Q6]*$H$41+$L26/Tablo1945[Q7]*$I$41</f>
        <v>0</v>
      </c>
      <c r="S26" s="12" cm="1">
        <f t="array" ref="S26">Tablo1744[[#This Row],[Q1]]/Tablo1945[Q1]*$C$42+$G26/Tablo1945[Q2]*$D$42+$H26/Tablo1945[Q3]*$E$42+$I26/Tablo1945[Q4]*$F$42+$J26/Tablo1945[Q5]*$G$42+$K26/Tablo1945[Q6]*$H$42+$L26/Tablo1945[Q7]*$I$42</f>
        <v>0</v>
      </c>
      <c r="T26" s="75" cm="1">
        <f t="array" ref="T26">Tablo1744[[#This Row],[Q1]]/Tablo1945[Q1]*$C$43+$G26/Tablo1945[Q2]*$D$43+$H26/Tablo1945[Q3]*$E$43+$I26/Tablo1945[Q4]*$F$43+$J26/Tablo1945[Q5]*$G$43+$K26/Tablo1945[Q6]*$H$43+$L26/Tablo1945[Q7]*$I$43</f>
        <v>0</v>
      </c>
      <c r="U26" s="76" cm="1">
        <f t="array" ref="U26">Tablo1744[[#This Row],[Q1]]/Tablo1945[Q1]*$C$44+$G26/Tablo1945[Q2]*$D$44+$H26/Tablo1945[Q3]*$E$44+$I26/Tablo1945[Q4]*$F$44+$J26/Tablo1945[Q5]*$G$44+$K26/Tablo1945[Q6]*$H$44+$L26/Tablo1945[Q7]*$I$44</f>
        <v>0</v>
      </c>
      <c r="V26" s="76" cm="1">
        <f t="array" ref="V26">Tablo1744[[#This Row],[Q1]]/Tablo1945[Q1]*$C$45+$G26/Tablo1945[Q2]*$D$45+$H26/Tablo1945[Q3]*$E$45+$I26/Tablo1945[Q4]*$F$45+$J26/Tablo1945[Q5]*$G$45+$K26/Tablo1945[Q6]*$H$45+$L26/Tablo1945[Q7]*$I$45</f>
        <v>0</v>
      </c>
      <c r="W26" s="76" cm="1">
        <f t="array" ref="W26">Tablo1744[[#This Row],[Q1]]/Tablo1945[Q1]*$C$46+$G26/Tablo1945[Q2]*$D$46+$H26/Tablo1945[Q3]*$E$46+$I26/Tablo1945[Q4]*$F$46+$J26/Tablo1945[Q5]*$G$46+$K26/Tablo1945[Q6]*$H$46+$L26/Tablo1945[Q7]*$I$46</f>
        <v>0</v>
      </c>
      <c r="X26" s="74">
        <f t="shared" si="1"/>
        <v>84.166666666666671</v>
      </c>
      <c r="Y26" s="8">
        <f>_xlfn.NORM.DIST(Tablo1744[[#This Row],[TOTAL GRADE]],$N$62,$O$62,FALSE)</f>
        <v>1.5758465105004213E-2</v>
      </c>
      <c r="AA26" s="35"/>
      <c r="AB26" s="35"/>
      <c r="AC26" s="35"/>
      <c r="AD26" s="35"/>
      <c r="AE26" s="85"/>
    </row>
    <row r="27" spans="2:31" ht="15.6" thickTop="1" thickBot="1" x14ac:dyDescent="0.35">
      <c r="B27" s="51">
        <v>23</v>
      </c>
      <c r="C27" s="14">
        <v>14</v>
      </c>
      <c r="D27" s="61" t="s">
        <v>110</v>
      </c>
      <c r="E27" s="61" t="s">
        <v>111</v>
      </c>
      <c r="F27" s="1">
        <v>3</v>
      </c>
      <c r="G27" s="1">
        <v>5</v>
      </c>
      <c r="H27" s="1">
        <v>12</v>
      </c>
      <c r="I27" s="1">
        <v>13</v>
      </c>
      <c r="J27" s="1">
        <v>2</v>
      </c>
      <c r="K27" s="1">
        <v>10</v>
      </c>
      <c r="L27" s="1">
        <v>9</v>
      </c>
      <c r="M27" s="12">
        <f t="shared" si="0"/>
        <v>54</v>
      </c>
      <c r="N27" s="74" cm="1">
        <f t="array" ref="N27">Tablo1744[[#This Row],[Q1]]/Tablo1945[Q1]*$C$37+G27/Tablo1945[Q2]*$D$37+H27/Tablo1945[Q3]*$E$37+I27/Tablo1945[Q4]*$F$37+J27/Tablo1945[Q5]*$G$37+K27/Tablo1945[Q6]*$H$37+L27/Tablo1945[Q7]*$I$37</f>
        <v>17.916666666666668</v>
      </c>
      <c r="O27" s="74" cm="1">
        <f t="array" ref="O27">Tablo1744[[#This Row],[Q1]]/Tablo1945[Q1]*$C$38+G27/Tablo1945[Q2]*$D$38+H27/Tablo1945[Q3]*$E$38+I27/Tablo1945[Q4]*$F$38+J27/Tablo1945[Q5]*$G$38+K27/Tablo1945[Q6]*$H$38+L27/Tablo1945[Q7]*$I$38</f>
        <v>14.583333333333332</v>
      </c>
      <c r="P27" s="74" cm="1">
        <f t="array" ref="P27">Tablo1744[[#This Row],[Q1]]/Tablo1945[Q1]*$C$39+G27/Tablo1945[Q2]*$D$39+H27/Tablo1945[Q3]*$E$39+I27/Tablo1945[Q4]*$F$39+J27/Tablo1945[Q5]*$G$39+K27/Tablo1945[Q6]*$H$39+L27/Tablo1945[Q7]*$I$39</f>
        <v>20.666666666666668</v>
      </c>
      <c r="Q27" s="74" cm="1">
        <f t="array" ref="Q27">Tablo1744[[#This Row],[Q1]]/Tablo1945[Q1]*$C$40+G27/Tablo1945[Q2]*$D$40+H27/Tablo1945[Q3]*$E$40+I27/Tablo1945[Q4]*$F$40+J27/Tablo1945[Q5]*$G$40+K27/Tablo1945[Q6]*$H$40+L27/Tablo1945[Q7]*$I$40</f>
        <v>28.5</v>
      </c>
      <c r="R27" s="12" cm="1">
        <f t="array" ref="R27">Tablo1744[[#This Row],[Q1]]/Tablo1945[Q1]*$C$41+$G27/Tablo1945[Q2]*$D$41+$H27/Tablo1945[Q3]*$E$41+$I27/Tablo1945[Q4]*$F$41+$J27/Tablo1945[Q5]*$G$41+$K27/Tablo1945[Q6]*$H$41+$L27/Tablo1945[Q7]*$I$41</f>
        <v>0</v>
      </c>
      <c r="S27" s="12" cm="1">
        <f t="array" ref="S27">Tablo1744[[#This Row],[Q1]]/Tablo1945[Q1]*$C$42+$G27/Tablo1945[Q2]*$D$42+$H27/Tablo1945[Q3]*$E$42+$I27/Tablo1945[Q4]*$F$42+$J27/Tablo1945[Q5]*$G$42+$K27/Tablo1945[Q6]*$H$42+$L27/Tablo1945[Q7]*$I$42</f>
        <v>0</v>
      </c>
      <c r="T27" s="75" cm="1">
        <f t="array" ref="T27">Tablo1744[[#This Row],[Q1]]/Tablo1945[Q1]*$C$43+$G27/Tablo1945[Q2]*$D$43+$H27/Tablo1945[Q3]*$E$43+$I27/Tablo1945[Q4]*$F$43+$J27/Tablo1945[Q5]*$G$43+$K27/Tablo1945[Q6]*$H$43+$L27/Tablo1945[Q7]*$I$43</f>
        <v>0</v>
      </c>
      <c r="U27" s="76" cm="1">
        <f t="array" ref="U27">Tablo1744[[#This Row],[Q1]]/Tablo1945[Q1]*$C$44+$G27/Tablo1945[Q2]*$D$44+$H27/Tablo1945[Q3]*$E$44+$I27/Tablo1945[Q4]*$F$44+$J27/Tablo1945[Q5]*$G$44+$K27/Tablo1945[Q6]*$H$44+$L27/Tablo1945[Q7]*$I$44</f>
        <v>0</v>
      </c>
      <c r="V27" s="76" cm="1">
        <f t="array" ref="V27">Tablo1744[[#This Row],[Q1]]/Tablo1945[Q1]*$C$45+$G27/Tablo1945[Q2]*$D$45+$H27/Tablo1945[Q3]*$E$45+$I27/Tablo1945[Q4]*$F$45+$J27/Tablo1945[Q5]*$G$45+$K27/Tablo1945[Q6]*$H$45+$L27/Tablo1945[Q7]*$I$45</f>
        <v>0</v>
      </c>
      <c r="W27" s="76" cm="1">
        <f t="array" ref="W27">Tablo1744[[#This Row],[Q1]]/Tablo1945[Q1]*$C$46+$G27/Tablo1945[Q2]*$D$46+$H27/Tablo1945[Q3]*$E$46+$I27/Tablo1945[Q4]*$F$46+$J27/Tablo1945[Q5]*$G$46+$K27/Tablo1945[Q6]*$H$46+$L27/Tablo1945[Q7]*$I$46</f>
        <v>0</v>
      </c>
      <c r="X27" s="74">
        <f t="shared" si="1"/>
        <v>81.666666666666671</v>
      </c>
      <c r="Y27" s="8">
        <f>_xlfn.NORM.DIST(Tablo1744[[#This Row],[TOTAL GRADE]],$N$62,$O$62,FALSE)</f>
        <v>1.5758465105004213E-2</v>
      </c>
      <c r="AA27" s="35"/>
      <c r="AB27" s="35"/>
      <c r="AC27" s="35"/>
      <c r="AD27" s="35"/>
      <c r="AE27" s="85"/>
    </row>
    <row r="28" spans="2:31" ht="15.6" thickTop="1" thickBot="1" x14ac:dyDescent="0.35">
      <c r="B28" s="77">
        <v>24</v>
      </c>
      <c r="C28" s="14">
        <v>8</v>
      </c>
      <c r="D28" s="61" t="s">
        <v>110</v>
      </c>
      <c r="E28" s="61" t="s">
        <v>111</v>
      </c>
      <c r="F28" s="1">
        <v>1</v>
      </c>
      <c r="G28" s="1">
        <v>1</v>
      </c>
      <c r="H28" s="1">
        <v>15</v>
      </c>
      <c r="I28" s="1">
        <v>9</v>
      </c>
      <c r="J28" s="1">
        <v>6</v>
      </c>
      <c r="K28" s="1">
        <v>15</v>
      </c>
      <c r="L28" s="1">
        <v>8</v>
      </c>
      <c r="M28" s="12">
        <f t="shared" si="0"/>
        <v>55</v>
      </c>
      <c r="N28" s="74" cm="1">
        <f t="array" ref="N28">Tablo1744[[#This Row],[Q1]]/Tablo1945[Q1]*$C$37+G28/Tablo1945[Q2]*$D$37+H28/Tablo1945[Q3]*$E$37+I28/Tablo1945[Q4]*$F$37+J28/Tablo1945[Q5]*$G$37+K28/Tablo1945[Q6]*$H$37+L28/Tablo1945[Q7]*$I$37</f>
        <v>13.75</v>
      </c>
      <c r="O28" s="74" cm="1">
        <f t="array" ref="O28">Tablo1744[[#This Row],[Q1]]/Tablo1945[Q1]*$C$38+G28/Tablo1945[Q2]*$D$38+H28/Tablo1945[Q3]*$E$38+I28/Tablo1945[Q4]*$F$38+J28/Tablo1945[Q5]*$G$38+K28/Tablo1945[Q6]*$H$38+L28/Tablo1945[Q7]*$I$38</f>
        <v>12.25</v>
      </c>
      <c r="P28" s="74" cm="1">
        <f t="array" ref="P28">Tablo1744[[#This Row],[Q1]]/Tablo1945[Q1]*$C$39+G28/Tablo1945[Q2]*$D$39+H28/Tablo1945[Q3]*$E$39+I28/Tablo1945[Q4]*$F$39+J28/Tablo1945[Q5]*$G$39+K28/Tablo1945[Q6]*$H$39+L28/Tablo1945[Q7]*$I$39</f>
        <v>6</v>
      </c>
      <c r="Q28" s="74" cm="1">
        <f t="array" ref="Q28">Tablo1744[[#This Row],[Q1]]/Tablo1945[Q1]*$C$40+G28/Tablo1945[Q2]*$D$40+H28/Tablo1945[Q3]*$E$40+I28/Tablo1945[Q4]*$F$40+J28/Tablo1945[Q5]*$G$40+K28/Tablo1945[Q6]*$H$40+L28/Tablo1945[Q7]*$I$40</f>
        <v>29.666666666666664</v>
      </c>
      <c r="R28" s="12" cm="1">
        <f t="array" ref="R28">Tablo1744[[#This Row],[Q1]]/Tablo1945[Q1]*$C$41+$G28/Tablo1945[Q2]*$D$41+$H28/Tablo1945[Q3]*$E$41+$I28/Tablo1945[Q4]*$F$41+$J28/Tablo1945[Q5]*$G$41+$K28/Tablo1945[Q6]*$H$41+$L28/Tablo1945[Q7]*$I$41</f>
        <v>0</v>
      </c>
      <c r="S28" s="12" cm="1">
        <f t="array" ref="S28">Tablo1744[[#This Row],[Q1]]/Tablo1945[Q1]*$C$42+$G28/Tablo1945[Q2]*$D$42+$H28/Tablo1945[Q3]*$E$42+$I28/Tablo1945[Q4]*$F$42+$J28/Tablo1945[Q5]*$G$42+$K28/Tablo1945[Q6]*$H$42+$L28/Tablo1945[Q7]*$I$42</f>
        <v>0</v>
      </c>
      <c r="T28" s="75" cm="1">
        <f t="array" ref="T28">Tablo1744[[#This Row],[Q1]]/Tablo1945[Q1]*$C$43+$G28/Tablo1945[Q2]*$D$43+$H28/Tablo1945[Q3]*$E$43+$I28/Tablo1945[Q4]*$F$43+$J28/Tablo1945[Q5]*$G$43+$K28/Tablo1945[Q6]*$H$43+$L28/Tablo1945[Q7]*$I$43</f>
        <v>0</v>
      </c>
      <c r="U28" s="76" cm="1">
        <f t="array" ref="U28">Tablo1744[[#This Row],[Q1]]/Tablo1945[Q1]*$C$44+$G28/Tablo1945[Q2]*$D$44+$H28/Tablo1945[Q3]*$E$44+$I28/Tablo1945[Q4]*$F$44+$J28/Tablo1945[Q5]*$G$44+$K28/Tablo1945[Q6]*$H$44+$L28/Tablo1945[Q7]*$I$44</f>
        <v>0</v>
      </c>
      <c r="V28" s="76" cm="1">
        <f t="array" ref="V28">Tablo1744[[#This Row],[Q1]]/Tablo1945[Q1]*$C$45+$G28/Tablo1945[Q2]*$D$45+$H28/Tablo1945[Q3]*$E$45+$I28/Tablo1945[Q4]*$F$45+$J28/Tablo1945[Q5]*$G$45+$K28/Tablo1945[Q6]*$H$45+$L28/Tablo1945[Q7]*$I$45</f>
        <v>0</v>
      </c>
      <c r="W28" s="76" cm="1">
        <f t="array" ref="W28">Tablo1744[[#This Row],[Q1]]/Tablo1945[Q1]*$C$46+$G28/Tablo1945[Q2]*$D$46+$H28/Tablo1945[Q3]*$E$46+$I28/Tablo1945[Q4]*$F$46+$J28/Tablo1945[Q5]*$G$46+$K28/Tablo1945[Q6]*$H$46+$L28/Tablo1945[Q7]*$I$46</f>
        <v>0</v>
      </c>
      <c r="X28" s="74">
        <f t="shared" si="1"/>
        <v>61.666666666666664</v>
      </c>
      <c r="Y28" s="8">
        <f>_xlfn.NORM.DIST(Tablo1744[[#This Row],[TOTAL GRADE]],$N$62,$O$62,FALSE)</f>
        <v>1.5115316488831276E-2</v>
      </c>
      <c r="AA28" s="35"/>
      <c r="AB28" s="35"/>
      <c r="AC28" s="35"/>
      <c r="AD28" s="35"/>
      <c r="AE28" s="85"/>
    </row>
    <row r="29" spans="2:31" ht="15.6" thickTop="1" thickBot="1" x14ac:dyDescent="0.35">
      <c r="B29" s="51">
        <v>25</v>
      </c>
      <c r="C29" s="14">
        <v>7</v>
      </c>
      <c r="D29" s="61" t="s">
        <v>110</v>
      </c>
      <c r="E29" s="61" t="s">
        <v>111</v>
      </c>
      <c r="F29" s="1">
        <v>4</v>
      </c>
      <c r="G29" s="1">
        <v>1</v>
      </c>
      <c r="H29" s="1">
        <v>10</v>
      </c>
      <c r="I29" s="1">
        <v>12</v>
      </c>
      <c r="J29" s="1">
        <v>13</v>
      </c>
      <c r="K29" s="1">
        <v>2</v>
      </c>
      <c r="L29" s="1">
        <v>15</v>
      </c>
      <c r="M29" s="12">
        <f t="shared" si="0"/>
        <v>57</v>
      </c>
      <c r="N29" s="74" cm="1">
        <f t="array" ref="N29">Tablo1744[[#This Row],[Q1]]/Tablo1945[Q1]*$C$37+G29/Tablo1945[Q2]*$D$37+H29/Tablo1945[Q3]*$E$37+I29/Tablo1945[Q4]*$F$37+J29/Tablo1945[Q5]*$G$37+K29/Tablo1945[Q6]*$H$37+L29/Tablo1945[Q7]*$I$37</f>
        <v>17.333333333333336</v>
      </c>
      <c r="O29" s="74" cm="1">
        <f t="array" ref="O29">Tablo1744[[#This Row],[Q1]]/Tablo1945[Q1]*$C$38+G29/Tablo1945[Q2]*$D$38+H29/Tablo1945[Q3]*$E$38+I29/Tablo1945[Q4]*$F$38+J29/Tablo1945[Q5]*$G$38+K29/Tablo1945[Q6]*$H$38+L29/Tablo1945[Q7]*$I$38</f>
        <v>11.666666666666666</v>
      </c>
      <c r="P29" s="74" cm="1">
        <f t="array" ref="P29">Tablo1744[[#This Row],[Q1]]/Tablo1945[Q1]*$C$39+G29/Tablo1945[Q2]*$D$39+H29/Tablo1945[Q3]*$E$39+I29/Tablo1945[Q4]*$F$39+J29/Tablo1945[Q5]*$G$39+K29/Tablo1945[Q6]*$H$39+L29/Tablo1945[Q7]*$I$39</f>
        <v>8.3333333333333339</v>
      </c>
      <c r="Q29" s="74" cm="1">
        <f t="array" ref="Q29">Tablo1744[[#This Row],[Q1]]/Tablo1945[Q1]*$C$40+G29/Tablo1945[Q2]*$D$40+H29/Tablo1945[Q3]*$E$40+I29/Tablo1945[Q4]*$F$40+J29/Tablo1945[Q5]*$G$40+K29/Tablo1945[Q6]*$H$40+L29/Tablo1945[Q7]*$I$40</f>
        <v>36</v>
      </c>
      <c r="R29" s="12" cm="1">
        <f t="array" ref="R29">Tablo1744[[#This Row],[Q1]]/Tablo1945[Q1]*$C$41+$G29/Tablo1945[Q2]*$D$41+$H29/Tablo1945[Q3]*$E$41+$I29/Tablo1945[Q4]*$F$41+$J29/Tablo1945[Q5]*$G$41+$K29/Tablo1945[Q6]*$H$41+$L29/Tablo1945[Q7]*$I$41</f>
        <v>0</v>
      </c>
      <c r="S29" s="12" cm="1">
        <f t="array" ref="S29">Tablo1744[[#This Row],[Q1]]/Tablo1945[Q1]*$C$42+$G29/Tablo1945[Q2]*$D$42+$H29/Tablo1945[Q3]*$E$42+$I29/Tablo1945[Q4]*$F$42+$J29/Tablo1945[Q5]*$G$42+$K29/Tablo1945[Q6]*$H$42+$L29/Tablo1945[Q7]*$I$42</f>
        <v>0</v>
      </c>
      <c r="T29" s="75" cm="1">
        <f t="array" ref="T29">Tablo1744[[#This Row],[Q1]]/Tablo1945[Q1]*$C$43+$G29/Tablo1945[Q2]*$D$43+$H29/Tablo1945[Q3]*$E$43+$I29/Tablo1945[Q4]*$F$43+$J29/Tablo1945[Q5]*$G$43+$K29/Tablo1945[Q6]*$H$43+$L29/Tablo1945[Q7]*$I$43</f>
        <v>0</v>
      </c>
      <c r="U29" s="76" cm="1">
        <f t="array" ref="U29">Tablo1744[[#This Row],[Q1]]/Tablo1945[Q1]*$C$44+$G29/Tablo1945[Q2]*$D$44+$H29/Tablo1945[Q3]*$E$44+$I29/Tablo1945[Q4]*$F$44+$J29/Tablo1945[Q5]*$G$44+$K29/Tablo1945[Q6]*$H$44+$L29/Tablo1945[Q7]*$I$44</f>
        <v>0</v>
      </c>
      <c r="V29" s="76" cm="1">
        <f t="array" ref="V29">Tablo1744[[#This Row],[Q1]]/Tablo1945[Q1]*$C$45+$G29/Tablo1945[Q2]*$D$45+$H29/Tablo1945[Q3]*$E$45+$I29/Tablo1945[Q4]*$F$45+$J29/Tablo1945[Q5]*$G$45+$K29/Tablo1945[Q6]*$H$45+$L29/Tablo1945[Q7]*$I$45</f>
        <v>0</v>
      </c>
      <c r="W29" s="76" cm="1">
        <f t="array" ref="W29">Tablo1744[[#This Row],[Q1]]/Tablo1945[Q1]*$C$46+$G29/Tablo1945[Q2]*$D$46+$H29/Tablo1945[Q3]*$E$46+$I29/Tablo1945[Q4]*$F$46+$J29/Tablo1945[Q5]*$G$46+$K29/Tablo1945[Q6]*$H$46+$L29/Tablo1945[Q7]*$I$46</f>
        <v>0</v>
      </c>
      <c r="X29" s="74">
        <f t="shared" si="1"/>
        <v>73.333333333333343</v>
      </c>
      <c r="Y29" s="8">
        <f>_xlfn.NORM.DIST(Tablo1744[[#This Row],[TOTAL GRADE]],$N$62,$O$62,FALSE)</f>
        <v>1.3790766798585971E-2</v>
      </c>
      <c r="AA29" s="35"/>
      <c r="AB29" s="35"/>
      <c r="AC29" s="35"/>
      <c r="AD29" s="35"/>
      <c r="AE29" s="85"/>
    </row>
    <row r="30" spans="2:31" ht="15.6" thickTop="1" thickBot="1" x14ac:dyDescent="0.35">
      <c r="B30" s="77">
        <v>26</v>
      </c>
      <c r="C30" s="14">
        <v>12</v>
      </c>
      <c r="D30" s="61" t="s">
        <v>110</v>
      </c>
      <c r="E30" s="61" t="s">
        <v>111</v>
      </c>
      <c r="F30" s="1">
        <v>1</v>
      </c>
      <c r="G30" s="1">
        <v>5</v>
      </c>
      <c r="H30" s="1">
        <v>10</v>
      </c>
      <c r="I30" s="1">
        <v>6</v>
      </c>
      <c r="J30" s="1">
        <v>15</v>
      </c>
      <c r="K30" s="1">
        <v>10</v>
      </c>
      <c r="L30" s="1">
        <v>11</v>
      </c>
      <c r="M30" s="12">
        <f t="shared" si="0"/>
        <v>58</v>
      </c>
      <c r="N30" s="74" cm="1">
        <f t="array" ref="N30">Tablo1744[[#This Row],[Q1]]/Tablo1945[Q1]*$C$37+G30/Tablo1945[Q2]*$D$37+H30/Tablo1945[Q3]*$E$37+I30/Tablo1945[Q4]*$F$37+J30/Tablo1945[Q5]*$G$37+K30/Tablo1945[Q6]*$H$37+L30/Tablo1945[Q7]*$I$37</f>
        <v>17.5</v>
      </c>
      <c r="O30" s="74" cm="1">
        <f t="array" ref="O30">Tablo1744[[#This Row],[Q1]]/Tablo1945[Q1]*$C$38+G30/Tablo1945[Q2]*$D$38+H30/Tablo1945[Q3]*$E$38+I30/Tablo1945[Q4]*$F$38+J30/Tablo1945[Q5]*$G$38+K30/Tablo1945[Q6]*$H$38+L30/Tablo1945[Q7]*$I$38</f>
        <v>8.3333333333333321</v>
      </c>
      <c r="P30" s="74" cm="1">
        <f t="array" ref="P30">Tablo1744[[#This Row],[Q1]]/Tablo1945[Q1]*$C$39+G30/Tablo1945[Q2]*$D$39+H30/Tablo1945[Q3]*$E$39+I30/Tablo1945[Q4]*$F$39+J30/Tablo1945[Q5]*$G$39+K30/Tablo1945[Q6]*$H$39+L30/Tablo1945[Q7]*$I$39</f>
        <v>25</v>
      </c>
      <c r="Q30" s="74" cm="1">
        <f t="array" ref="Q30">Tablo1744[[#This Row],[Q1]]/Tablo1945[Q1]*$C$40+G30/Tablo1945[Q2]*$D$40+H30/Tablo1945[Q3]*$E$40+I30/Tablo1945[Q4]*$F$40+J30/Tablo1945[Q5]*$G$40+K30/Tablo1945[Q6]*$H$40+L30/Tablo1945[Q7]*$I$40</f>
        <v>31</v>
      </c>
      <c r="R30" s="12" cm="1">
        <f t="array" ref="R30">Tablo1744[[#This Row],[Q1]]/Tablo1945[Q1]*$C$41+$G30/Tablo1945[Q2]*$D$41+$H30/Tablo1945[Q3]*$E$41+$I30/Tablo1945[Q4]*$F$41+$J30/Tablo1945[Q5]*$G$41+$K30/Tablo1945[Q6]*$H$41+$L30/Tablo1945[Q7]*$I$41</f>
        <v>0</v>
      </c>
      <c r="S30" s="12" cm="1">
        <f t="array" ref="S30">Tablo1744[[#This Row],[Q1]]/Tablo1945[Q1]*$C$42+$G30/Tablo1945[Q2]*$D$42+$H30/Tablo1945[Q3]*$E$42+$I30/Tablo1945[Q4]*$F$42+$J30/Tablo1945[Q5]*$G$42+$K30/Tablo1945[Q6]*$H$42+$L30/Tablo1945[Q7]*$I$42</f>
        <v>0</v>
      </c>
      <c r="T30" s="75" cm="1">
        <f t="array" ref="T30">Tablo1744[[#This Row],[Q1]]/Tablo1945[Q1]*$C$43+$G30/Tablo1945[Q2]*$D$43+$H30/Tablo1945[Q3]*$E$43+$I30/Tablo1945[Q4]*$F$43+$J30/Tablo1945[Q5]*$G$43+$K30/Tablo1945[Q6]*$H$43+$L30/Tablo1945[Q7]*$I$43</f>
        <v>0</v>
      </c>
      <c r="U30" s="76" cm="1">
        <f t="array" ref="U30">Tablo1744[[#This Row],[Q1]]/Tablo1945[Q1]*$C$44+$G30/Tablo1945[Q2]*$D$44+$H30/Tablo1945[Q3]*$E$44+$I30/Tablo1945[Q4]*$F$44+$J30/Tablo1945[Q5]*$G$44+$K30/Tablo1945[Q6]*$H$44+$L30/Tablo1945[Q7]*$I$44</f>
        <v>0</v>
      </c>
      <c r="V30" s="76" cm="1">
        <f t="array" ref="V30">Tablo1744[[#This Row],[Q1]]/Tablo1945[Q1]*$C$45+$G30/Tablo1945[Q2]*$D$45+$H30/Tablo1945[Q3]*$E$45+$I30/Tablo1945[Q4]*$F$45+$J30/Tablo1945[Q5]*$G$45+$K30/Tablo1945[Q6]*$H$45+$L30/Tablo1945[Q7]*$I$45</f>
        <v>0</v>
      </c>
      <c r="W30" s="76" cm="1">
        <f t="array" ref="W30">Tablo1744[[#This Row],[Q1]]/Tablo1945[Q1]*$C$46+$G30/Tablo1945[Q2]*$D$46+$H30/Tablo1945[Q3]*$E$46+$I30/Tablo1945[Q4]*$F$46+$J30/Tablo1945[Q5]*$G$46+$K30/Tablo1945[Q6]*$H$46+$L30/Tablo1945[Q7]*$I$46</f>
        <v>0</v>
      </c>
      <c r="X30" s="74">
        <f t="shared" si="1"/>
        <v>81.833333333333329</v>
      </c>
      <c r="Y30" s="8">
        <f>_xlfn.NORM.DIST(Tablo1744[[#This Row],[TOTAL GRADE]],$N$62,$O$62,FALSE)</f>
        <v>1.3117656481621831E-2</v>
      </c>
      <c r="AA30" s="35"/>
      <c r="AB30" s="35"/>
      <c r="AC30" s="35"/>
      <c r="AD30" s="35"/>
      <c r="AE30" s="85"/>
    </row>
    <row r="31" spans="2:31" ht="15.6" thickTop="1" thickBot="1" x14ac:dyDescent="0.35">
      <c r="B31" s="51">
        <v>27</v>
      </c>
      <c r="C31" s="14">
        <v>16</v>
      </c>
      <c r="D31" s="61" t="s">
        <v>110</v>
      </c>
      <c r="E31" s="61" t="s">
        <v>111</v>
      </c>
      <c r="F31" s="1">
        <v>0</v>
      </c>
      <c r="G31" s="1">
        <v>5</v>
      </c>
      <c r="H31" s="1">
        <v>12</v>
      </c>
      <c r="I31" s="1">
        <v>8</v>
      </c>
      <c r="J31" s="1">
        <v>15</v>
      </c>
      <c r="K31" s="1">
        <v>11</v>
      </c>
      <c r="L31" s="1">
        <v>9</v>
      </c>
      <c r="M31" s="12">
        <f t="shared" si="0"/>
        <v>60</v>
      </c>
      <c r="N31" s="74" cm="1">
        <f t="array" ref="N31">Tablo1744[[#This Row],[Q1]]/Tablo1945[Q1]*$C$37+G31/Tablo1945[Q2]*$D$37+H31/Tablo1945[Q3]*$E$37+I31/Tablo1945[Q4]*$F$37+J31/Tablo1945[Q5]*$G$37+K31/Tablo1945[Q6]*$H$37+L31/Tablo1945[Q7]*$I$37</f>
        <v>18</v>
      </c>
      <c r="O31" s="74" cm="1">
        <f t="array" ref="O31">Tablo1744[[#This Row],[Q1]]/Tablo1945[Q1]*$C$38+G31/Tablo1945[Q2]*$D$38+H31/Tablo1945[Q3]*$E$38+I31/Tablo1945[Q4]*$F$38+J31/Tablo1945[Q5]*$G$38+K31/Tablo1945[Q6]*$H$38+L31/Tablo1945[Q7]*$I$38</f>
        <v>9.6666666666666661</v>
      </c>
      <c r="P31" s="74" cm="1">
        <f t="array" ref="P31">Tablo1744[[#This Row],[Q1]]/Tablo1945[Q1]*$C$39+G31/Tablo1945[Q2]*$D$39+H31/Tablo1945[Q3]*$E$39+I31/Tablo1945[Q4]*$F$39+J31/Tablo1945[Q5]*$G$39+K31/Tablo1945[Q6]*$H$39+L31/Tablo1945[Q7]*$I$39</f>
        <v>25</v>
      </c>
      <c r="Q31" s="74" cm="1">
        <f t="array" ref="Q31">Tablo1744[[#This Row],[Q1]]/Tablo1945[Q1]*$C$40+G31/Tablo1945[Q2]*$D$40+H31/Tablo1945[Q3]*$E$40+I31/Tablo1945[Q4]*$F$40+J31/Tablo1945[Q5]*$G$40+K31/Tablo1945[Q6]*$H$40+L31/Tablo1945[Q7]*$I$40</f>
        <v>30.666666666666668</v>
      </c>
      <c r="R31" s="12" cm="1">
        <f t="array" ref="R31">Tablo1744[[#This Row],[Q1]]/Tablo1945[Q1]*$C$41+$G31/Tablo1945[Q2]*$D$41+$H31/Tablo1945[Q3]*$E$41+$I31/Tablo1945[Q4]*$F$41+$J31/Tablo1945[Q5]*$G$41+$K31/Tablo1945[Q6]*$H$41+$L31/Tablo1945[Q7]*$I$41</f>
        <v>0</v>
      </c>
      <c r="S31" s="12" cm="1">
        <f t="array" ref="S31">Tablo1744[[#This Row],[Q1]]/Tablo1945[Q1]*$C$42+$G31/Tablo1945[Q2]*$D$42+$H31/Tablo1945[Q3]*$E$42+$I31/Tablo1945[Q4]*$F$42+$J31/Tablo1945[Q5]*$G$42+$K31/Tablo1945[Q6]*$H$42+$L31/Tablo1945[Q7]*$I$42</f>
        <v>0</v>
      </c>
      <c r="T31" s="75" cm="1">
        <f t="array" ref="T31">Tablo1744[[#This Row],[Q1]]/Tablo1945[Q1]*$C$43+$G31/Tablo1945[Q2]*$D$43+$H31/Tablo1945[Q3]*$E$43+$I31/Tablo1945[Q4]*$F$43+$J31/Tablo1945[Q5]*$G$43+$K31/Tablo1945[Q6]*$H$43+$L31/Tablo1945[Q7]*$I$43</f>
        <v>0</v>
      </c>
      <c r="U31" s="76" cm="1">
        <f t="array" ref="U31">Tablo1744[[#This Row],[Q1]]/Tablo1945[Q1]*$C$44+$G31/Tablo1945[Q2]*$D$44+$H31/Tablo1945[Q3]*$E$44+$I31/Tablo1945[Q4]*$F$44+$J31/Tablo1945[Q5]*$G$44+$K31/Tablo1945[Q6]*$H$44+$L31/Tablo1945[Q7]*$I$44</f>
        <v>0</v>
      </c>
      <c r="V31" s="76" cm="1">
        <f t="array" ref="V31">Tablo1744[[#This Row],[Q1]]/Tablo1945[Q1]*$C$45+$G31/Tablo1945[Q2]*$D$45+$H31/Tablo1945[Q3]*$E$45+$I31/Tablo1945[Q4]*$F$45+$J31/Tablo1945[Q5]*$G$45+$K31/Tablo1945[Q6]*$H$45+$L31/Tablo1945[Q7]*$I$45</f>
        <v>0</v>
      </c>
      <c r="W31" s="76" cm="1">
        <f t="array" ref="W31">Tablo1744[[#This Row],[Q1]]/Tablo1945[Q1]*$C$46+$G31/Tablo1945[Q2]*$D$46+$H31/Tablo1945[Q3]*$E$46+$I31/Tablo1945[Q4]*$F$46+$J31/Tablo1945[Q5]*$G$46+$K31/Tablo1945[Q6]*$H$46+$L31/Tablo1945[Q7]*$I$46</f>
        <v>0</v>
      </c>
      <c r="X31" s="74">
        <f t="shared" si="1"/>
        <v>83.333333333333329</v>
      </c>
      <c r="Y31" s="8">
        <f>_xlfn.NORM.DIST(Tablo1744[[#This Row],[TOTAL GRADE]],$N$62,$O$62,FALSE)</f>
        <v>1.1769457365993519E-2</v>
      </c>
      <c r="AA31" s="35"/>
      <c r="AB31" s="35"/>
      <c r="AC31" s="35"/>
      <c r="AD31" s="35"/>
      <c r="AE31" s="85"/>
    </row>
    <row r="32" spans="2:31" ht="15.6" thickTop="1" thickBot="1" x14ac:dyDescent="0.35">
      <c r="B32" s="77">
        <v>28</v>
      </c>
      <c r="C32" s="14">
        <v>6</v>
      </c>
      <c r="D32" s="61" t="s">
        <v>110</v>
      </c>
      <c r="E32" s="61" t="s">
        <v>111</v>
      </c>
      <c r="F32" s="1">
        <v>2</v>
      </c>
      <c r="G32" s="1">
        <v>2</v>
      </c>
      <c r="H32" s="1">
        <v>14</v>
      </c>
      <c r="I32" s="1">
        <v>15</v>
      </c>
      <c r="J32" s="1">
        <v>11</v>
      </c>
      <c r="K32" s="1">
        <v>4</v>
      </c>
      <c r="L32" s="1">
        <v>14</v>
      </c>
      <c r="M32" s="12">
        <f t="shared" si="0"/>
        <v>62</v>
      </c>
      <c r="N32" s="74" cm="1">
        <f t="array" ref="N32">Tablo1744[[#This Row],[Q1]]/Tablo1945[Q1]*$C$37+G32/Tablo1945[Q2]*$D$37+H32/Tablo1945[Q3]*$E$37+I32/Tablo1945[Q4]*$F$37+J32/Tablo1945[Q5]*$G$37+K32/Tablo1945[Q6]*$H$37+L32/Tablo1945[Q7]*$I$37</f>
        <v>18.416666666666668</v>
      </c>
      <c r="O32" s="74" cm="1">
        <f t="array" ref="O32">Tablo1744[[#This Row],[Q1]]/Tablo1945[Q1]*$C$38+G32/Tablo1945[Q2]*$D$38+H32/Tablo1945[Q3]*$E$38+I32/Tablo1945[Q4]*$F$38+J32/Tablo1945[Q5]*$G$38+K32/Tablo1945[Q6]*$H$38+L32/Tablo1945[Q7]*$I$38</f>
        <v>13.583333333333334</v>
      </c>
      <c r="P32" s="74" cm="1">
        <f t="array" ref="P32">Tablo1744[[#This Row],[Q1]]/Tablo1945[Q1]*$C$39+G32/Tablo1945[Q2]*$D$39+H32/Tablo1945[Q3]*$E$39+I32/Tablo1945[Q4]*$F$39+J32/Tablo1945[Q5]*$G$39+K32/Tablo1945[Q6]*$H$39+L32/Tablo1945[Q7]*$I$39</f>
        <v>11.666666666666666</v>
      </c>
      <c r="Q32" s="74" cm="1">
        <f t="array" ref="Q32">Tablo1744[[#This Row],[Q1]]/Tablo1945[Q1]*$C$40+G32/Tablo1945[Q2]*$D$40+H32/Tablo1945[Q3]*$E$40+I32/Tablo1945[Q4]*$F$40+J32/Tablo1945[Q5]*$G$40+K32/Tablo1945[Q6]*$H$40+L32/Tablo1945[Q7]*$I$40</f>
        <v>38.166666666666671</v>
      </c>
      <c r="R32" s="12" cm="1">
        <f t="array" ref="R32">Tablo1744[[#This Row],[Q1]]/Tablo1945[Q1]*$C$41+$G32/Tablo1945[Q2]*$D$41+$H32/Tablo1945[Q3]*$E$41+$I32/Tablo1945[Q4]*$F$41+$J32/Tablo1945[Q5]*$G$41+$K32/Tablo1945[Q6]*$H$41+$L32/Tablo1945[Q7]*$I$41</f>
        <v>0</v>
      </c>
      <c r="S32" s="12" cm="1">
        <f t="array" ref="S32">Tablo1744[[#This Row],[Q1]]/Tablo1945[Q1]*$C$42+$G32/Tablo1945[Q2]*$D$42+$H32/Tablo1945[Q3]*$E$42+$I32/Tablo1945[Q4]*$F$42+$J32/Tablo1945[Q5]*$G$42+$K32/Tablo1945[Q6]*$H$42+$L32/Tablo1945[Q7]*$I$42</f>
        <v>0</v>
      </c>
      <c r="T32" s="75" cm="1">
        <f t="array" ref="T32">Tablo1744[[#This Row],[Q1]]/Tablo1945[Q1]*$C$43+$G32/Tablo1945[Q2]*$D$43+$H32/Tablo1945[Q3]*$E$43+$I32/Tablo1945[Q4]*$F$43+$J32/Tablo1945[Q5]*$G$43+$K32/Tablo1945[Q6]*$H$43+$L32/Tablo1945[Q7]*$I$43</f>
        <v>0</v>
      </c>
      <c r="U32" s="76" cm="1">
        <f t="array" ref="U32">Tablo1744[[#This Row],[Q1]]/Tablo1945[Q1]*$C$44+$G32/Tablo1945[Q2]*$D$44+$H32/Tablo1945[Q3]*$E$44+$I32/Tablo1945[Q4]*$F$44+$J32/Tablo1945[Q5]*$G$44+$K32/Tablo1945[Q6]*$H$44+$L32/Tablo1945[Q7]*$I$44</f>
        <v>0</v>
      </c>
      <c r="V32" s="76" cm="1">
        <f t="array" ref="V32">Tablo1744[[#This Row],[Q1]]/Tablo1945[Q1]*$C$45+$G32/Tablo1945[Q2]*$D$45+$H32/Tablo1945[Q3]*$E$45+$I32/Tablo1945[Q4]*$F$45+$J32/Tablo1945[Q5]*$G$45+$K32/Tablo1945[Q6]*$H$45+$L32/Tablo1945[Q7]*$I$45</f>
        <v>0</v>
      </c>
      <c r="W32" s="76" cm="1">
        <f t="array" ref="W32">Tablo1744[[#This Row],[Q1]]/Tablo1945[Q1]*$C$46+$G32/Tablo1945[Q2]*$D$46+$H32/Tablo1945[Q3]*$E$46+$I32/Tablo1945[Q4]*$F$46+$J32/Tablo1945[Q5]*$G$46+$K32/Tablo1945[Q6]*$H$46+$L32/Tablo1945[Q7]*$I$46</f>
        <v>0</v>
      </c>
      <c r="X32" s="74">
        <f t="shared" si="1"/>
        <v>81.833333333333343</v>
      </c>
      <c r="Y32" s="8">
        <f>_xlfn.NORM.DIST(Tablo1744[[#This Row],[TOTAL GRADE]],$N$62,$O$62,FALSE)</f>
        <v>1.0442615904824443E-2</v>
      </c>
      <c r="AA32" s="14"/>
      <c r="AB32" s="14"/>
      <c r="AC32" s="14"/>
      <c r="AD32" s="14"/>
      <c r="AE32" s="87"/>
    </row>
    <row r="33" spans="2:31" ht="15.6" thickTop="1" thickBot="1" x14ac:dyDescent="0.35">
      <c r="B33" s="51">
        <v>29</v>
      </c>
      <c r="C33" s="14">
        <v>5</v>
      </c>
      <c r="D33" s="61" t="s">
        <v>110</v>
      </c>
      <c r="E33" s="61" t="s">
        <v>111</v>
      </c>
      <c r="F33" s="1">
        <v>6</v>
      </c>
      <c r="G33" s="1">
        <v>3.5</v>
      </c>
      <c r="H33" s="1">
        <v>12.5</v>
      </c>
      <c r="I33" s="1">
        <v>10</v>
      </c>
      <c r="J33" s="1">
        <v>6</v>
      </c>
      <c r="K33" s="1">
        <v>15</v>
      </c>
      <c r="L33" s="1">
        <v>14</v>
      </c>
      <c r="M33" s="12">
        <f t="shared" si="0"/>
        <v>67</v>
      </c>
      <c r="N33" s="74" cm="1">
        <f t="array" ref="N33">Tablo1744[[#This Row],[Q1]]/Tablo1945[Q1]*$C$37+G33/Tablo1945[Q2]*$D$37+H33/Tablo1945[Q3]*$E$37+I33/Tablo1945[Q4]*$F$37+J33/Tablo1945[Q5]*$G$37+K33/Tablo1945[Q6]*$H$37+L33/Tablo1945[Q7]*$I$37</f>
        <v>20.25</v>
      </c>
      <c r="O33" s="74" cm="1">
        <f t="array" ref="O33">Tablo1744[[#This Row],[Q1]]/Tablo1945[Q1]*$C$38+G33/Tablo1945[Q2]*$D$38+H33/Tablo1945[Q3]*$E$38+I33/Tablo1945[Q4]*$F$38+J33/Tablo1945[Q5]*$G$38+K33/Tablo1945[Q6]*$H$38+L33/Tablo1945[Q7]*$I$38</f>
        <v>15.5</v>
      </c>
      <c r="P33" s="74" cm="1">
        <f t="array" ref="P33">Tablo1744[[#This Row],[Q1]]/Tablo1945[Q1]*$C$39+G33/Tablo1945[Q2]*$D$39+H33/Tablo1945[Q3]*$E$39+I33/Tablo1945[Q4]*$F$39+J33/Tablo1945[Q5]*$G$39+K33/Tablo1945[Q6]*$H$39+L33/Tablo1945[Q7]*$I$39</f>
        <v>16</v>
      </c>
      <c r="Q33" s="74" cm="1">
        <f t="array" ref="Q33">Tablo1744[[#This Row],[Q1]]/Tablo1945[Q1]*$C$40+G33/Tablo1945[Q2]*$D$40+H33/Tablo1945[Q3]*$E$40+I33/Tablo1945[Q4]*$F$40+J33/Tablo1945[Q5]*$G$40+K33/Tablo1945[Q6]*$H$40+L33/Tablo1945[Q7]*$I$40</f>
        <v>36.916666666666671</v>
      </c>
      <c r="R33" s="12" cm="1">
        <f t="array" ref="R33">Tablo1744[[#This Row],[Q1]]/Tablo1945[Q1]*$C$41+$G33/Tablo1945[Q2]*$D$41+$H33/Tablo1945[Q3]*$E$41+$I33/Tablo1945[Q4]*$F$41+$J33/Tablo1945[Q5]*$G$41+$K33/Tablo1945[Q6]*$H$41+$L33/Tablo1945[Q7]*$I$41</f>
        <v>0</v>
      </c>
      <c r="S33" s="12" cm="1">
        <f t="array" ref="S33">Tablo1744[[#This Row],[Q1]]/Tablo1945[Q1]*$C$42+$G33/Tablo1945[Q2]*$D$42+$H33/Tablo1945[Q3]*$E$42+$I33/Tablo1945[Q4]*$F$42+$J33/Tablo1945[Q5]*$G$42+$K33/Tablo1945[Q6]*$H$42+$L33/Tablo1945[Q7]*$I$42</f>
        <v>0</v>
      </c>
      <c r="T33" s="75" cm="1">
        <f t="array" ref="T33">Tablo1744[[#This Row],[Q1]]/Tablo1945[Q1]*$C$43+$G33/Tablo1945[Q2]*$D$43+$H33/Tablo1945[Q3]*$E$43+$I33/Tablo1945[Q4]*$F$43+$J33/Tablo1945[Q5]*$G$43+$K33/Tablo1945[Q6]*$H$43+$L33/Tablo1945[Q7]*$I$43</f>
        <v>0</v>
      </c>
      <c r="U33" s="76" cm="1">
        <f t="array" ref="U33">Tablo1744[[#This Row],[Q1]]/Tablo1945[Q1]*$C$44+$G33/Tablo1945[Q2]*$D$44+$H33/Tablo1945[Q3]*$E$44+$I33/Tablo1945[Q4]*$F$44+$J33/Tablo1945[Q5]*$G$44+$K33/Tablo1945[Q6]*$H$44+$L33/Tablo1945[Q7]*$I$44</f>
        <v>0</v>
      </c>
      <c r="V33" s="76" cm="1">
        <f t="array" ref="V33">Tablo1744[[#This Row],[Q1]]/Tablo1945[Q1]*$C$45+$G33/Tablo1945[Q2]*$D$45+$H33/Tablo1945[Q3]*$E$45+$I33/Tablo1945[Q4]*$F$45+$J33/Tablo1945[Q5]*$G$45+$K33/Tablo1945[Q6]*$H$45+$L33/Tablo1945[Q7]*$I$45</f>
        <v>0</v>
      </c>
      <c r="W33" s="76" cm="1">
        <f t="array" ref="W33">Tablo1744[[#This Row],[Q1]]/Tablo1945[Q1]*$C$46+$G33/Tablo1945[Q2]*$D$46+$H33/Tablo1945[Q3]*$E$46+$I33/Tablo1945[Q4]*$F$46+$J33/Tablo1945[Q5]*$G$46+$K33/Tablo1945[Q6]*$H$46+$L33/Tablo1945[Q7]*$I$46</f>
        <v>0</v>
      </c>
      <c r="X33" s="74">
        <f t="shared" si="1"/>
        <v>88.666666666666671</v>
      </c>
      <c r="Y33" s="8">
        <f>_xlfn.NORM.DIST(Tablo1744[[#This Row],[TOTAL GRADE]],$N$62,$O$62,FALSE)</f>
        <v>7.3745314229198946E-3</v>
      </c>
      <c r="AA33" s="14"/>
      <c r="AB33" s="14"/>
      <c r="AC33" s="14"/>
      <c r="AD33" s="14"/>
      <c r="AE33" s="87"/>
    </row>
    <row r="34" spans="2:31" ht="15.6" thickTop="1" thickBot="1" x14ac:dyDescent="0.35">
      <c r="B34" s="77">
        <v>30</v>
      </c>
      <c r="C34" s="14">
        <v>4</v>
      </c>
      <c r="D34" s="61" t="s">
        <v>110</v>
      </c>
      <c r="E34" s="61" t="s">
        <v>111</v>
      </c>
      <c r="F34" s="1">
        <v>3</v>
      </c>
      <c r="G34" s="1">
        <v>2</v>
      </c>
      <c r="H34" s="1">
        <v>10</v>
      </c>
      <c r="I34" s="1">
        <v>15</v>
      </c>
      <c r="J34" s="1">
        <v>11</v>
      </c>
      <c r="K34" s="1">
        <v>15</v>
      </c>
      <c r="L34" s="1">
        <v>15</v>
      </c>
      <c r="M34" s="12">
        <f t="shared" si="0"/>
        <v>71</v>
      </c>
      <c r="N34" s="74" cm="1">
        <f t="array" ref="N34">Tablo1744[[#This Row],[Q1]]/Tablo1945[Q1]*$C$37+G34/Tablo1945[Q2]*$D$37+H34/Tablo1945[Q3]*$E$37+I34/Tablo1945[Q4]*$F$37+J34/Tablo1945[Q5]*$G$37+K34/Tablo1945[Q6]*$H$37+L34/Tablo1945[Q7]*$I$37</f>
        <v>17.416666666666668</v>
      </c>
      <c r="O34" s="74" cm="1">
        <f t="array" ref="O34">Tablo1744[[#This Row],[Q1]]/Tablo1945[Q1]*$C$38+G34/Tablo1945[Q2]*$D$38+H34/Tablo1945[Q3]*$E$38+I34/Tablo1945[Q4]*$F$38+J34/Tablo1945[Q5]*$G$38+K34/Tablo1945[Q6]*$H$38+L34/Tablo1945[Q7]*$I$38</f>
        <v>17.75</v>
      </c>
      <c r="P34" s="74" cm="1">
        <f t="array" ref="P34">Tablo1744[[#This Row],[Q1]]/Tablo1945[Q1]*$C$39+G34/Tablo1945[Q2]*$D$39+H34/Tablo1945[Q3]*$E$39+I34/Tablo1945[Q4]*$F$39+J34/Tablo1945[Q5]*$G$39+K34/Tablo1945[Q6]*$H$39+L34/Tablo1945[Q7]*$I$39</f>
        <v>11.666666666666666</v>
      </c>
      <c r="Q34" s="74" cm="1">
        <f t="array" ref="Q34">Tablo1744[[#This Row],[Q1]]/Tablo1945[Q1]*$C$40+G34/Tablo1945[Q2]*$D$40+H34/Tablo1945[Q3]*$E$40+I34/Tablo1945[Q4]*$F$40+J34/Tablo1945[Q5]*$G$40+K34/Tablo1945[Q6]*$H$40+L34/Tablo1945[Q7]*$I$40</f>
        <v>41.166666666666671</v>
      </c>
      <c r="R34" s="12" cm="1">
        <f t="array" ref="R34">Tablo1744[[#This Row],[Q1]]/Tablo1945[Q1]*$C$41+$G34/Tablo1945[Q2]*$D$41+$H34/Tablo1945[Q3]*$E$41+$I34/Tablo1945[Q4]*$F$41+$J34/Tablo1945[Q5]*$G$41+$K34/Tablo1945[Q6]*$H$41+$L34/Tablo1945[Q7]*$I$41</f>
        <v>0</v>
      </c>
      <c r="S34" s="12" cm="1">
        <f t="array" ref="S34">Tablo1744[[#This Row],[Q1]]/Tablo1945[Q1]*$C$42+$G34/Tablo1945[Q2]*$D$42+$H34/Tablo1945[Q3]*$E$42+$I34/Tablo1945[Q4]*$F$42+$J34/Tablo1945[Q5]*$G$42+$K34/Tablo1945[Q6]*$H$42+$L34/Tablo1945[Q7]*$I$42</f>
        <v>0</v>
      </c>
      <c r="T34" s="75" cm="1">
        <f t="array" ref="T34">Tablo1744[[#This Row],[Q1]]/Tablo1945[Q1]*$C$43+$G34/Tablo1945[Q2]*$D$43+$H34/Tablo1945[Q3]*$E$43+$I34/Tablo1945[Q4]*$F$43+$J34/Tablo1945[Q5]*$G$43+$K34/Tablo1945[Q6]*$H$43+$L34/Tablo1945[Q7]*$I$43</f>
        <v>0</v>
      </c>
      <c r="U34" s="76" cm="1">
        <f t="array" ref="U34">Tablo1744[[#This Row],[Q1]]/Tablo1945[Q1]*$C$44+$G34/Tablo1945[Q2]*$D$44+$H34/Tablo1945[Q3]*$E$44+$I34/Tablo1945[Q4]*$F$44+$J34/Tablo1945[Q5]*$G$44+$K34/Tablo1945[Q6]*$H$44+$L34/Tablo1945[Q7]*$I$44</f>
        <v>0</v>
      </c>
      <c r="V34" s="76" cm="1">
        <f t="array" ref="V34">Tablo1744[[#This Row],[Q1]]/Tablo1945[Q1]*$C$45+$G34/Tablo1945[Q2]*$D$45+$H34/Tablo1945[Q3]*$E$45+$I34/Tablo1945[Q4]*$F$45+$J34/Tablo1945[Q5]*$G$45+$K34/Tablo1945[Q6]*$H$45+$L34/Tablo1945[Q7]*$I$45</f>
        <v>0</v>
      </c>
      <c r="W34" s="76" cm="1">
        <f t="array" ref="W34">Tablo1744[[#This Row],[Q1]]/Tablo1945[Q1]*$C$46+$G34/Tablo1945[Q2]*$D$46+$H34/Tablo1945[Q3]*$E$46+$I34/Tablo1945[Q4]*$F$46+$J34/Tablo1945[Q5]*$G$46+$K34/Tablo1945[Q6]*$H$46+$L34/Tablo1945[Q7]*$I$46</f>
        <v>0</v>
      </c>
      <c r="X34" s="74">
        <f t="shared" si="1"/>
        <v>88</v>
      </c>
      <c r="Y34" s="8">
        <f>_xlfn.NORM.DIST(Tablo1744[[#This Row],[TOTAL GRADE]],$N$62,$O$62,FALSE)</f>
        <v>5.30959727522071E-3</v>
      </c>
      <c r="AA34" s="14"/>
      <c r="AB34" s="14"/>
      <c r="AC34" s="14"/>
      <c r="AD34" s="14"/>
      <c r="AE34" s="87"/>
    </row>
    <row r="35" spans="2:31" ht="15" thickTop="1" x14ac:dyDescent="0.3">
      <c r="C35" s="5"/>
      <c r="D35" s="5"/>
      <c r="E35" s="5"/>
      <c r="F35" s="5"/>
      <c r="G35" s="5"/>
      <c r="H35" s="5"/>
      <c r="I35" s="5"/>
      <c r="J35" s="5"/>
      <c r="K35" s="5"/>
      <c r="L35" s="5"/>
      <c r="M35" s="14"/>
      <c r="N35" s="14"/>
      <c r="O35" s="14"/>
      <c r="P35" s="14"/>
      <c r="Q35" s="5"/>
      <c r="R35" s="5"/>
      <c r="S35" s="5"/>
      <c r="AA35" s="14"/>
      <c r="AB35" s="14"/>
      <c r="AC35" s="14"/>
      <c r="AD35" s="14"/>
      <c r="AE35" s="87"/>
    </row>
    <row r="36" spans="2:31" ht="15" thickBot="1" x14ac:dyDescent="0.35">
      <c r="B36" s="6" t="s">
        <v>85</v>
      </c>
      <c r="C36" s="10" t="s">
        <v>19</v>
      </c>
      <c r="D36" s="10" t="s">
        <v>20</v>
      </c>
      <c r="E36" s="10" t="s">
        <v>21</v>
      </c>
      <c r="F36" s="10" t="s">
        <v>22</v>
      </c>
      <c r="G36" s="10" t="s">
        <v>23</v>
      </c>
      <c r="H36" s="10" t="s">
        <v>24</v>
      </c>
      <c r="I36" s="10" t="s">
        <v>29</v>
      </c>
      <c r="J36" s="31" t="s">
        <v>86</v>
      </c>
      <c r="K36" s="11" t="s">
        <v>87</v>
      </c>
      <c r="L36" s="6" t="s">
        <v>88</v>
      </c>
      <c r="M36" s="5"/>
      <c r="N36" s="27" t="s">
        <v>77</v>
      </c>
      <c r="O36" s="27" t="s">
        <v>78</v>
      </c>
      <c r="P36" s="5"/>
      <c r="Q36" s="5"/>
      <c r="R36" s="5"/>
      <c r="S36" s="5"/>
      <c r="AA36" s="14"/>
      <c r="AB36" s="14"/>
      <c r="AC36" s="14"/>
      <c r="AD36" s="14"/>
      <c r="AE36" s="87"/>
    </row>
    <row r="37" spans="2:31" ht="15.6" thickTop="1" thickBot="1" x14ac:dyDescent="0.35">
      <c r="B37" s="29">
        <v>1</v>
      </c>
      <c r="C37" s="32">
        <v>10</v>
      </c>
      <c r="D37" s="32">
        <v>5</v>
      </c>
      <c r="E37" s="32">
        <v>10</v>
      </c>
      <c r="F37" s="32">
        <v>5</v>
      </c>
      <c r="G37" s="32">
        <v>5</v>
      </c>
      <c r="H37" s="32">
        <v>0</v>
      </c>
      <c r="I37" s="32">
        <v>0</v>
      </c>
      <c r="J37" s="33">
        <f>SUM(Tablo1635[[#This Row],[Q1]:[Q7]])</f>
        <v>35</v>
      </c>
      <c r="K37" s="34">
        <f>IF($J37=0,"0",SUM(Tablo1744[DÇ1])/(30*J37))</f>
        <v>0.36174603174603176</v>
      </c>
      <c r="L37" s="33">
        <f t="shared" ref="L37:L46" si="2">$K37*$J37</f>
        <v>12.661111111111111</v>
      </c>
      <c r="M37" s="5"/>
      <c r="N37" s="30">
        <v>1</v>
      </c>
      <c r="O37" s="5" t="str">
        <f>MAIN!R51</f>
        <v>Çıktı-1</v>
      </c>
      <c r="P37" s="5"/>
      <c r="Q37" s="5"/>
      <c r="R37" s="5"/>
      <c r="S37" s="5"/>
      <c r="AA37" s="14"/>
      <c r="AB37" s="14"/>
      <c r="AC37" s="14"/>
      <c r="AD37" s="14"/>
      <c r="AE37" s="87"/>
    </row>
    <row r="38" spans="2:31" ht="15.6" thickTop="1" thickBot="1" x14ac:dyDescent="0.35">
      <c r="B38" s="14">
        <v>2</v>
      </c>
      <c r="C38" s="35">
        <v>5</v>
      </c>
      <c r="D38" s="35">
        <v>0</v>
      </c>
      <c r="E38" s="35">
        <v>0</v>
      </c>
      <c r="F38" s="35">
        <v>15</v>
      </c>
      <c r="G38" s="35">
        <v>0</v>
      </c>
      <c r="H38" s="35">
        <v>5</v>
      </c>
      <c r="I38" s="35">
        <v>0</v>
      </c>
      <c r="J38" s="33">
        <f>SUM(Tablo1635[[#This Row],[Q1]:[Q7]])</f>
        <v>25</v>
      </c>
      <c r="K38" s="34">
        <f>IF($J38=0,"0",SUM(Tablo1744[DÇ2])/(30*J38))</f>
        <v>0.35722222222222227</v>
      </c>
      <c r="L38" s="33">
        <f t="shared" si="2"/>
        <v>8.9305555555555571</v>
      </c>
      <c r="M38" s="14"/>
      <c r="N38" s="30">
        <v>2</v>
      </c>
      <c r="O38" s="5" t="str">
        <f>MAIN!R52</f>
        <v>Çıktı-2</v>
      </c>
      <c r="P38" s="5"/>
      <c r="Q38" s="5"/>
      <c r="R38" s="5"/>
      <c r="S38" s="5"/>
      <c r="AA38" s="14"/>
      <c r="AB38" s="14"/>
      <c r="AC38" s="14"/>
      <c r="AD38" s="14"/>
      <c r="AE38" s="87"/>
    </row>
    <row r="39" spans="2:31" ht="15.6" thickTop="1" thickBot="1" x14ac:dyDescent="0.35">
      <c r="B39" s="14">
        <v>3</v>
      </c>
      <c r="C39" s="35">
        <v>0</v>
      </c>
      <c r="D39" s="35">
        <v>20</v>
      </c>
      <c r="E39" s="35">
        <v>0</v>
      </c>
      <c r="F39" s="35">
        <v>0</v>
      </c>
      <c r="G39" s="35">
        <v>5</v>
      </c>
      <c r="H39" s="35">
        <v>0</v>
      </c>
      <c r="I39" s="35">
        <v>0</v>
      </c>
      <c r="J39" s="33">
        <f>SUM(Tablo1635[[#This Row],[Q1]:[Q7]])</f>
        <v>25</v>
      </c>
      <c r="K39" s="34">
        <f>IF($J39=0,"0",SUM(Tablo1744[DÇ3])/(30*J39))</f>
        <v>0.44711111111111118</v>
      </c>
      <c r="L39" s="33">
        <f t="shared" si="2"/>
        <v>11.177777777777779</v>
      </c>
      <c r="M39" s="14"/>
      <c r="N39" s="30">
        <v>3</v>
      </c>
      <c r="O39" s="5" t="str">
        <f>MAIN!R53</f>
        <v>Çıktı-3</v>
      </c>
      <c r="P39" s="14"/>
      <c r="Q39" s="5"/>
      <c r="R39" s="5"/>
      <c r="S39" s="5"/>
      <c r="AA39" s="14"/>
      <c r="AB39" s="14"/>
      <c r="AC39" s="14"/>
      <c r="AD39" s="14"/>
      <c r="AE39" s="87"/>
    </row>
    <row r="40" spans="2:31" ht="15.6" thickTop="1" thickBot="1" x14ac:dyDescent="0.35">
      <c r="B40" s="14">
        <v>4</v>
      </c>
      <c r="C40" s="35">
        <v>0</v>
      </c>
      <c r="D40" s="35">
        <v>0</v>
      </c>
      <c r="E40" s="35">
        <v>10</v>
      </c>
      <c r="F40" s="35">
        <v>10</v>
      </c>
      <c r="G40" s="35">
        <v>5</v>
      </c>
      <c r="H40" s="35">
        <v>5</v>
      </c>
      <c r="I40" s="35">
        <v>20</v>
      </c>
      <c r="J40" s="33">
        <f>SUM(Tablo1635[[#This Row],[Q1]:[Q7]])</f>
        <v>50</v>
      </c>
      <c r="K40" s="34">
        <f>IF($J40=0,"0",SUM(Tablo1744[DÇ4])/(30*J40))</f>
        <v>0.41838888888888887</v>
      </c>
      <c r="L40" s="33">
        <f t="shared" si="2"/>
        <v>20.919444444444444</v>
      </c>
      <c r="M40" s="14"/>
      <c r="N40" s="1">
        <v>4</v>
      </c>
      <c r="O40" s="5" t="str">
        <f>MAIN!R54</f>
        <v>Çıktı-4</v>
      </c>
      <c r="P40" s="14"/>
      <c r="Q40" s="5"/>
      <c r="R40" s="5"/>
      <c r="S40" s="5"/>
      <c r="AA40" s="14"/>
      <c r="AB40" s="14"/>
      <c r="AC40" s="14"/>
      <c r="AD40" s="14"/>
      <c r="AE40" s="87"/>
    </row>
    <row r="41" spans="2:31" ht="15.6" thickTop="1" thickBot="1" x14ac:dyDescent="0.35">
      <c r="B41" s="31">
        <v>5</v>
      </c>
      <c r="C41" s="35">
        <v>0</v>
      </c>
      <c r="D41" s="35">
        <v>0</v>
      </c>
      <c r="E41" s="35">
        <v>0</v>
      </c>
      <c r="F41" s="35">
        <v>0</v>
      </c>
      <c r="G41" s="35">
        <v>0</v>
      </c>
      <c r="H41" s="35">
        <v>0</v>
      </c>
      <c r="I41" s="35">
        <v>0</v>
      </c>
      <c r="J41" s="9">
        <f>SUM(Tablo1635[[#This Row],[Q1]:[Q7]])</f>
        <v>0</v>
      </c>
      <c r="K41" s="78" t="str">
        <f>IF($J41=0,"0",SUM(Tablo1744[DÇ5])/(30*J41))</f>
        <v>0</v>
      </c>
      <c r="L41" s="79">
        <f t="shared" si="2"/>
        <v>0</v>
      </c>
      <c r="M41" s="14"/>
      <c r="N41" s="30">
        <v>5</v>
      </c>
      <c r="O41" s="5" t="str">
        <f>MAIN!R55</f>
        <v>Çıktı-5</v>
      </c>
      <c r="P41" s="14"/>
      <c r="Q41" s="5"/>
      <c r="R41" s="5"/>
      <c r="S41" s="5"/>
      <c r="AA41" s="14"/>
      <c r="AB41" s="14"/>
      <c r="AC41" s="14"/>
      <c r="AD41" s="14"/>
      <c r="AE41" s="87"/>
    </row>
    <row r="42" spans="2:31" ht="15.6" thickTop="1" thickBot="1" x14ac:dyDescent="0.35">
      <c r="B42" s="14">
        <v>6</v>
      </c>
      <c r="C42" s="35">
        <v>0</v>
      </c>
      <c r="D42" s="35">
        <v>0</v>
      </c>
      <c r="E42" s="35">
        <v>0</v>
      </c>
      <c r="F42" s="35">
        <v>0</v>
      </c>
      <c r="G42" s="35">
        <v>0</v>
      </c>
      <c r="H42" s="35">
        <v>0</v>
      </c>
      <c r="I42" s="35">
        <v>0</v>
      </c>
      <c r="J42" s="9">
        <f>SUM(Tablo1635[[#This Row],[Q1]:[Q7]])</f>
        <v>0</v>
      </c>
      <c r="K42" s="78" t="str">
        <f>IF($J42=0,"0",SUM(Tablo1744[DÇ6])/(30*J42))</f>
        <v>0</v>
      </c>
      <c r="L42" s="80">
        <f t="shared" si="2"/>
        <v>0</v>
      </c>
      <c r="M42" s="5"/>
      <c r="N42" s="30">
        <v>6</v>
      </c>
      <c r="O42" s="5" t="str">
        <f>MAIN!R56</f>
        <v>Çıktı-6</v>
      </c>
      <c r="P42" s="14"/>
      <c r="Q42" s="5"/>
      <c r="R42" s="5"/>
      <c r="S42" s="5"/>
      <c r="AA42" s="14"/>
      <c r="AB42" s="14"/>
      <c r="AC42" s="14"/>
      <c r="AD42" s="14"/>
      <c r="AE42" s="87"/>
    </row>
    <row r="43" spans="2:31" ht="15.6" thickTop="1" thickBot="1" x14ac:dyDescent="0.35">
      <c r="B43" s="14">
        <v>7</v>
      </c>
      <c r="C43" s="35">
        <v>0</v>
      </c>
      <c r="D43" s="35">
        <v>0</v>
      </c>
      <c r="E43" s="35">
        <v>0</v>
      </c>
      <c r="F43" s="35">
        <v>0</v>
      </c>
      <c r="G43" s="35">
        <v>0</v>
      </c>
      <c r="H43" s="35">
        <v>0</v>
      </c>
      <c r="I43" s="35">
        <v>0</v>
      </c>
      <c r="J43" s="9">
        <f>SUM(Tablo1635[[#This Row],[Q1]:[Q7]])</f>
        <v>0</v>
      </c>
      <c r="K43" s="78" t="str">
        <f>IF($J43=0,"0",SUM(Tablo1744[DÇ7])/(30*J43))</f>
        <v>0</v>
      </c>
      <c r="L43" s="80">
        <f t="shared" si="2"/>
        <v>0</v>
      </c>
      <c r="M43" s="5"/>
      <c r="N43" s="30">
        <v>7</v>
      </c>
      <c r="O43" s="5" t="str">
        <f>MAIN!R57</f>
        <v>Çıktı-7</v>
      </c>
      <c r="P43" s="14"/>
      <c r="Q43" s="5"/>
      <c r="R43" s="5"/>
      <c r="S43" s="5"/>
      <c r="AA43" s="14"/>
      <c r="AB43" s="14"/>
      <c r="AC43" s="14"/>
      <c r="AD43" s="14"/>
      <c r="AE43" s="87"/>
    </row>
    <row r="44" spans="2:31" ht="15.6" thickTop="1" thickBot="1" x14ac:dyDescent="0.35">
      <c r="B44" s="14">
        <v>8</v>
      </c>
      <c r="C44" s="35">
        <v>0</v>
      </c>
      <c r="D44" s="35">
        <v>0</v>
      </c>
      <c r="E44" s="35">
        <v>0</v>
      </c>
      <c r="F44" s="35">
        <v>0</v>
      </c>
      <c r="G44" s="35">
        <v>0</v>
      </c>
      <c r="H44" s="35">
        <v>0</v>
      </c>
      <c r="I44" s="35">
        <v>0</v>
      </c>
      <c r="J44" s="9">
        <f>SUM(Tablo1635[[#This Row],[Q1]:[Q7]])</f>
        <v>0</v>
      </c>
      <c r="K44" s="78" t="str">
        <f>IF($J44=0,"0",SUM(Tablo1744[DÇ8])/(30*J44))</f>
        <v>0</v>
      </c>
      <c r="L44" s="80">
        <f t="shared" si="2"/>
        <v>0</v>
      </c>
      <c r="M44" s="5"/>
      <c r="N44" s="30">
        <v>8</v>
      </c>
      <c r="O44" s="5" t="str">
        <f>MAIN!R58</f>
        <v>Çıktı-8</v>
      </c>
      <c r="P44" s="14"/>
      <c r="Q44" s="5"/>
      <c r="R44" s="5"/>
      <c r="S44" s="5"/>
      <c r="AA44" s="14"/>
      <c r="AB44" s="14"/>
      <c r="AC44" s="14"/>
      <c r="AD44" s="14"/>
      <c r="AE44" s="87"/>
    </row>
    <row r="45" spans="2:31" ht="15.6" thickTop="1" thickBot="1" x14ac:dyDescent="0.35">
      <c r="B45" s="81">
        <v>9</v>
      </c>
      <c r="C45" s="35">
        <v>0</v>
      </c>
      <c r="D45" s="35">
        <v>0</v>
      </c>
      <c r="E45" s="35">
        <v>0</v>
      </c>
      <c r="F45" s="35">
        <v>0</v>
      </c>
      <c r="G45" s="35">
        <v>0</v>
      </c>
      <c r="H45" s="35">
        <v>0</v>
      </c>
      <c r="I45" s="35">
        <v>0</v>
      </c>
      <c r="J45" s="9">
        <f>SUM(Tablo1635[[#This Row],[Q1]:[Q7]])</f>
        <v>0</v>
      </c>
      <c r="K45" s="82" t="str">
        <f>IF($J45=0,"0",SUM(Tablo1744[DÇ9])/(30*J45))</f>
        <v>0</v>
      </c>
      <c r="L45" s="80">
        <f t="shared" si="2"/>
        <v>0</v>
      </c>
      <c r="M45" s="5"/>
      <c r="N45" s="30">
        <v>9</v>
      </c>
      <c r="O45" s="5" t="str">
        <f>MAIN!R59</f>
        <v>Çıktı-9</v>
      </c>
      <c r="P45" s="14"/>
      <c r="Q45" s="5"/>
      <c r="R45" s="5"/>
      <c r="S45" s="5"/>
      <c r="AA45" s="14"/>
      <c r="AB45" s="14"/>
      <c r="AC45" s="14"/>
      <c r="AD45" s="14"/>
      <c r="AE45" s="87"/>
    </row>
    <row r="46" spans="2:31" ht="15.6" thickTop="1" thickBot="1" x14ac:dyDescent="0.35">
      <c r="B46" s="81">
        <v>10</v>
      </c>
      <c r="C46" s="35">
        <v>0</v>
      </c>
      <c r="D46" s="35">
        <v>0</v>
      </c>
      <c r="E46" s="35">
        <v>0</v>
      </c>
      <c r="F46" s="35">
        <v>0</v>
      </c>
      <c r="G46" s="35">
        <v>0</v>
      </c>
      <c r="H46" s="35">
        <v>0</v>
      </c>
      <c r="I46" s="35">
        <v>0</v>
      </c>
      <c r="J46" s="9">
        <f>SUM(Tablo1635[[#This Row],[Q1]:[Q7]])</f>
        <v>0</v>
      </c>
      <c r="K46" s="82" t="str">
        <f>IF($J46=0,"0",SUM(Tablo1744[DÇ10])/(30*J46))</f>
        <v>0</v>
      </c>
      <c r="L46" s="80">
        <f t="shared" si="2"/>
        <v>0</v>
      </c>
      <c r="M46" s="5"/>
      <c r="N46" s="30">
        <v>10</v>
      </c>
      <c r="O46" s="5" t="str">
        <f>MAIN!R60</f>
        <v>Çıktı-10</v>
      </c>
      <c r="P46" s="14"/>
      <c r="Q46" s="5"/>
      <c r="R46" s="5"/>
      <c r="S46" s="5"/>
      <c r="AA46" s="14"/>
      <c r="AB46" s="14"/>
      <c r="AC46" s="14"/>
      <c r="AD46" s="14"/>
      <c r="AE46" s="87"/>
    </row>
    <row r="47" spans="2:31" ht="15" thickTop="1" x14ac:dyDescent="0.3">
      <c r="C47" s="5"/>
      <c r="D47" s="5"/>
      <c r="G47" s="1"/>
      <c r="K47" s="5"/>
      <c r="L47" s="1"/>
      <c r="M47" s="5"/>
      <c r="N47" s="5"/>
      <c r="O47" s="5"/>
      <c r="P47" s="14"/>
      <c r="Q47" s="5"/>
      <c r="R47" s="5"/>
      <c r="S47" s="5"/>
      <c r="AA47" s="14"/>
      <c r="AB47" s="14"/>
      <c r="AC47" s="14"/>
      <c r="AD47" s="14"/>
      <c r="AE47" s="87"/>
    </row>
    <row r="48" spans="2:31" x14ac:dyDescent="0.3">
      <c r="B48" s="5" t="s">
        <v>28</v>
      </c>
      <c r="C48" s="10" t="s">
        <v>19</v>
      </c>
      <c r="D48" s="10" t="s">
        <v>20</v>
      </c>
      <c r="E48" s="10" t="s">
        <v>21</v>
      </c>
      <c r="F48" s="10" t="s">
        <v>22</v>
      </c>
      <c r="G48" s="10" t="s">
        <v>23</v>
      </c>
      <c r="H48" s="10" t="s">
        <v>24</v>
      </c>
      <c r="I48" s="10" t="s">
        <v>29</v>
      </c>
      <c r="J48" s="11" t="s">
        <v>30</v>
      </c>
      <c r="K48" s="5"/>
      <c r="L48" s="1"/>
      <c r="M48" s="14"/>
      <c r="N48" s="14"/>
      <c r="O48" s="14"/>
      <c r="P48" s="14"/>
      <c r="Q48" s="5"/>
      <c r="R48" s="5"/>
      <c r="S48" s="5"/>
      <c r="AA48" s="14"/>
      <c r="AB48" s="14"/>
      <c r="AC48" s="14"/>
      <c r="AD48" s="14"/>
      <c r="AE48" s="87"/>
    </row>
    <row r="49" spans="2:31" x14ac:dyDescent="0.3">
      <c r="B49" s="6" t="s">
        <v>32</v>
      </c>
      <c r="C49" s="1">
        <v>10</v>
      </c>
      <c r="D49" s="1">
        <v>5</v>
      </c>
      <c r="E49" s="1">
        <v>20</v>
      </c>
      <c r="F49" s="1">
        <v>20</v>
      </c>
      <c r="G49" s="1">
        <v>15</v>
      </c>
      <c r="H49" s="1">
        <v>15</v>
      </c>
      <c r="I49" s="1">
        <v>15</v>
      </c>
      <c r="J49" s="1">
        <f>SUM(C49:I49)</f>
        <v>100</v>
      </c>
      <c r="K49" s="5"/>
      <c r="L49" s="1"/>
      <c r="M49" s="14"/>
      <c r="N49" s="14"/>
      <c r="O49" s="14"/>
      <c r="P49" s="14"/>
      <c r="Q49" s="5"/>
      <c r="R49" s="5"/>
      <c r="S49" s="5"/>
      <c r="AA49" s="14"/>
      <c r="AB49" s="14"/>
      <c r="AC49" s="14"/>
      <c r="AD49" s="14"/>
      <c r="AE49" s="87"/>
    </row>
    <row r="50" spans="2:31" x14ac:dyDescent="0.3">
      <c r="C50" s="5"/>
      <c r="D50" s="5"/>
      <c r="G50" s="1"/>
      <c r="K50" s="5"/>
      <c r="L50" s="1"/>
      <c r="M50" s="14"/>
      <c r="N50" s="14"/>
      <c r="O50" s="14"/>
      <c r="P50" s="14"/>
      <c r="Q50" s="5"/>
      <c r="R50" s="5"/>
      <c r="S50" s="5"/>
      <c r="AA50" s="14"/>
      <c r="AB50" s="14"/>
      <c r="AC50" s="14"/>
      <c r="AD50" s="14"/>
      <c r="AE50" s="87"/>
    </row>
    <row r="51" spans="2:31" x14ac:dyDescent="0.3">
      <c r="C51" s="5"/>
      <c r="D51" s="5"/>
      <c r="G51" s="1"/>
      <c r="K51" s="5"/>
      <c r="L51" s="1"/>
      <c r="M51" s="5"/>
      <c r="N51" s="5"/>
      <c r="O51" s="5"/>
      <c r="P51" s="5"/>
      <c r="Q51" s="5"/>
      <c r="R51" s="5"/>
      <c r="S51" s="5"/>
      <c r="AA51" s="14"/>
      <c r="AB51" s="14"/>
      <c r="AC51" s="14"/>
      <c r="AD51" s="14"/>
      <c r="AE51" s="87"/>
    </row>
    <row r="52" spans="2:31" x14ac:dyDescent="0.3">
      <c r="C52" s="5"/>
      <c r="D52" s="5"/>
      <c r="G52" s="1"/>
      <c r="K52" s="5"/>
      <c r="L52" s="1"/>
      <c r="M52" s="5"/>
      <c r="N52" s="5"/>
      <c r="O52" s="5"/>
      <c r="P52" s="5"/>
      <c r="Q52" s="5"/>
      <c r="R52" s="5"/>
      <c r="S52" s="5"/>
      <c r="AA52" s="14"/>
      <c r="AB52" s="14"/>
      <c r="AC52" s="14"/>
      <c r="AD52" s="14"/>
      <c r="AE52" s="87"/>
    </row>
    <row r="53" spans="2:31" x14ac:dyDescent="0.3">
      <c r="C53" s="5"/>
      <c r="D53" s="5"/>
      <c r="G53" s="1"/>
      <c r="K53" s="5"/>
      <c r="L53" s="1"/>
      <c r="M53" s="14"/>
      <c r="N53" s="14"/>
      <c r="O53" s="14"/>
      <c r="P53" s="14"/>
      <c r="Q53" s="5"/>
      <c r="R53" s="5"/>
      <c r="S53" s="5"/>
      <c r="AA53" s="14"/>
      <c r="AB53" s="14"/>
      <c r="AC53" s="14"/>
      <c r="AD53" s="14"/>
      <c r="AE53" s="87"/>
    </row>
    <row r="54" spans="2:31" x14ac:dyDescent="0.3">
      <c r="C54" s="5"/>
      <c r="D54" s="5"/>
      <c r="G54" s="1"/>
      <c r="K54" s="5"/>
      <c r="L54" s="1"/>
      <c r="M54" s="14"/>
      <c r="N54" s="14"/>
      <c r="O54" s="14"/>
      <c r="P54" s="14"/>
      <c r="Q54" s="5"/>
      <c r="R54" s="5"/>
      <c r="S54" s="5"/>
      <c r="AA54" s="14"/>
      <c r="AB54" s="14"/>
      <c r="AC54" s="14"/>
      <c r="AD54" s="14"/>
      <c r="AE54" s="87"/>
    </row>
    <row r="55" spans="2:31" x14ac:dyDescent="0.3">
      <c r="C55" s="5"/>
      <c r="D55" s="5"/>
      <c r="G55" s="1"/>
      <c r="K55" s="5"/>
      <c r="L55" s="1"/>
      <c r="M55" s="14"/>
      <c r="N55" s="14"/>
      <c r="O55" s="14"/>
      <c r="P55" s="14"/>
      <c r="Q55" s="5"/>
      <c r="R55" s="5"/>
      <c r="S55" s="5"/>
      <c r="AA55" s="14"/>
      <c r="AB55" s="14"/>
      <c r="AC55" s="14"/>
      <c r="AD55" s="14"/>
      <c r="AE55" s="87"/>
    </row>
    <row r="56" spans="2:31" x14ac:dyDescent="0.3">
      <c r="C56" s="5"/>
      <c r="D56" s="5"/>
      <c r="G56" s="1"/>
      <c r="K56" s="5"/>
      <c r="L56" s="1"/>
      <c r="M56" s="14"/>
      <c r="N56" s="14"/>
      <c r="O56" s="14"/>
      <c r="P56" s="14"/>
      <c r="Q56" s="5"/>
      <c r="R56" s="5"/>
      <c r="S56" s="5"/>
      <c r="AA56" s="14"/>
      <c r="AB56" s="14"/>
      <c r="AC56" s="14"/>
      <c r="AD56" s="14"/>
      <c r="AE56" s="87"/>
    </row>
    <row r="57" spans="2:31" x14ac:dyDescent="0.3">
      <c r="C57" s="5"/>
      <c r="D57" s="5"/>
      <c r="G57" s="1"/>
      <c r="K57" s="5"/>
      <c r="L57" s="1"/>
      <c r="M57" s="14"/>
      <c r="N57" s="14"/>
      <c r="O57" s="14"/>
      <c r="P57" s="14"/>
      <c r="Q57" s="5"/>
      <c r="R57" s="5"/>
      <c r="S57" s="5"/>
      <c r="AA57" s="14"/>
      <c r="AB57" s="14"/>
      <c r="AC57" s="14"/>
      <c r="AD57" s="14"/>
      <c r="AE57" s="87"/>
    </row>
    <row r="58" spans="2:31" x14ac:dyDescent="0.3">
      <c r="C58" s="5"/>
      <c r="D58" s="5"/>
      <c r="G58" s="1"/>
      <c r="K58" s="5"/>
      <c r="L58" s="1"/>
      <c r="M58" s="14"/>
      <c r="N58" s="14"/>
      <c r="O58" s="14"/>
      <c r="P58" s="14"/>
      <c r="Q58" s="5"/>
      <c r="R58" s="5"/>
      <c r="S58" s="5"/>
      <c r="AA58" s="14"/>
      <c r="AB58" s="14"/>
      <c r="AC58" s="14"/>
      <c r="AD58" s="14"/>
      <c r="AE58" s="87"/>
    </row>
    <row r="59" spans="2:31" x14ac:dyDescent="0.3">
      <c r="B59" s="30"/>
      <c r="C59" s="30"/>
      <c r="D59" s="5"/>
      <c r="G59" s="1"/>
      <c r="L59" s="1"/>
      <c r="M59" s="14"/>
      <c r="N59" s="14"/>
      <c r="O59" s="14"/>
      <c r="P59" s="14"/>
      <c r="Q59" s="5"/>
      <c r="R59" s="5"/>
      <c r="S59" s="5"/>
      <c r="AA59" s="14"/>
      <c r="AB59" s="14"/>
      <c r="AC59" s="14"/>
      <c r="AD59" s="14"/>
      <c r="AE59" s="87"/>
    </row>
    <row r="60" spans="2:31" x14ac:dyDescent="0.3">
      <c r="B60" s="30"/>
      <c r="C60" s="30"/>
      <c r="D60" s="5"/>
      <c r="G60" s="1"/>
      <c r="L60" s="1"/>
      <c r="M60" s="14"/>
      <c r="N60" s="14"/>
      <c r="O60" s="14"/>
      <c r="P60" s="14"/>
      <c r="Q60" s="5"/>
      <c r="R60" s="5"/>
      <c r="S60" s="5"/>
      <c r="AA60" s="14"/>
      <c r="AB60" s="14"/>
      <c r="AC60" s="14"/>
      <c r="AD60" s="14"/>
      <c r="AE60" s="87"/>
    </row>
    <row r="61" spans="2:31" x14ac:dyDescent="0.3">
      <c r="B61" s="30"/>
      <c r="C61" s="30"/>
      <c r="D61" s="5"/>
      <c r="G61" s="1"/>
      <c r="L61" s="1"/>
      <c r="M61" s="14"/>
      <c r="N61" s="29" t="s">
        <v>117</v>
      </c>
      <c r="O61" s="29" t="s">
        <v>118</v>
      </c>
      <c r="P61" s="14"/>
      <c r="Q61" s="5"/>
      <c r="R61" s="5"/>
      <c r="S61" s="5"/>
      <c r="AA61" s="14"/>
      <c r="AB61" s="14"/>
      <c r="AC61" s="14"/>
      <c r="AD61" s="14"/>
      <c r="AE61" s="87"/>
    </row>
    <row r="62" spans="2:31" x14ac:dyDescent="0.3">
      <c r="B62" s="30"/>
      <c r="C62" s="30"/>
      <c r="D62" s="5"/>
      <c r="G62" s="1"/>
      <c r="L62" s="1"/>
      <c r="M62" s="14"/>
      <c r="N62" s="14">
        <f>AVERAGE(Tablo1744[TOTAL GRADE])</f>
        <v>39.56666666666667</v>
      </c>
      <c r="O62" s="14">
        <f>_xlfn.STDEV.P(Tablo1744[TOTAL GRADE])</f>
        <v>18.930897730664778</v>
      </c>
      <c r="P62" s="14"/>
      <c r="Q62" s="5"/>
      <c r="R62" s="5"/>
      <c r="S62" s="5"/>
      <c r="AA62" s="14"/>
      <c r="AB62" s="14"/>
      <c r="AC62" s="14"/>
      <c r="AD62" s="14"/>
      <c r="AE62" s="87"/>
    </row>
    <row r="63" spans="2:31" x14ac:dyDescent="0.3">
      <c r="B63" s="30"/>
      <c r="C63" s="30"/>
      <c r="D63" s="5"/>
      <c r="G63" s="1"/>
      <c r="L63" s="1"/>
      <c r="M63" s="14"/>
      <c r="N63" s="14"/>
      <c r="O63" s="14"/>
      <c r="P63" s="14"/>
      <c r="Q63" s="5"/>
      <c r="R63" s="5"/>
      <c r="S63" s="5"/>
      <c r="AA63" s="14"/>
      <c r="AB63" s="14"/>
      <c r="AC63" s="14"/>
      <c r="AD63" s="14"/>
      <c r="AE63" s="87"/>
    </row>
    <row r="64" spans="2:31" x14ac:dyDescent="0.3">
      <c r="B64" s="30"/>
      <c r="C64" s="30"/>
      <c r="D64" s="5"/>
      <c r="G64" s="1"/>
      <c r="L64" s="1"/>
      <c r="M64" s="14"/>
      <c r="N64" s="14"/>
      <c r="O64" s="14"/>
      <c r="P64" s="14"/>
      <c r="Q64" s="5"/>
      <c r="R64" s="5"/>
      <c r="S64" s="5"/>
      <c r="AA64" s="14"/>
      <c r="AB64" s="14"/>
      <c r="AC64" s="14"/>
      <c r="AD64" s="14"/>
      <c r="AE64" s="87"/>
    </row>
    <row r="65" spans="2:31" x14ac:dyDescent="0.3">
      <c r="B65" s="30"/>
      <c r="C65" s="30"/>
      <c r="D65" s="5"/>
      <c r="G65" s="1"/>
      <c r="L65" s="1"/>
      <c r="M65" s="14"/>
      <c r="N65" s="14"/>
      <c r="O65" s="14"/>
      <c r="P65" s="14"/>
      <c r="Q65" s="5"/>
      <c r="R65" s="5"/>
      <c r="S65" s="5"/>
      <c r="AA65" s="14"/>
      <c r="AB65" s="14"/>
      <c r="AC65" s="14"/>
      <c r="AD65" s="14"/>
      <c r="AE65" s="87"/>
    </row>
    <row r="66" spans="2:31" x14ac:dyDescent="0.3">
      <c r="B66" s="30"/>
      <c r="C66" s="30"/>
      <c r="D66" s="5"/>
      <c r="G66" s="1"/>
      <c r="L66" s="1"/>
      <c r="M66" s="14"/>
      <c r="N66" s="14"/>
      <c r="O66" s="14"/>
      <c r="P66" s="14"/>
      <c r="Q66" s="5"/>
      <c r="R66" s="5"/>
      <c r="S66" s="5"/>
      <c r="AA66" s="14"/>
      <c r="AB66" s="14"/>
      <c r="AC66" s="14"/>
      <c r="AD66" s="14"/>
      <c r="AE66" s="87"/>
    </row>
    <row r="67" spans="2:31" x14ac:dyDescent="0.3">
      <c r="B67" s="30"/>
      <c r="C67" s="30"/>
      <c r="D67" s="5"/>
      <c r="G67" s="1"/>
      <c r="L67" s="1"/>
      <c r="M67" s="14"/>
      <c r="N67" s="14"/>
      <c r="O67" s="14"/>
      <c r="P67" s="14"/>
      <c r="Q67" s="5"/>
      <c r="R67" s="5"/>
      <c r="S67" s="5"/>
      <c r="AA67" s="14"/>
      <c r="AB67" s="14"/>
      <c r="AC67" s="14"/>
      <c r="AD67" s="14"/>
      <c r="AE67" s="87"/>
    </row>
    <row r="68" spans="2:31" x14ac:dyDescent="0.3">
      <c r="B68" s="30"/>
      <c r="C68" s="30"/>
      <c r="D68" s="5"/>
      <c r="G68" s="1"/>
      <c r="L68" s="1"/>
      <c r="M68" s="14"/>
      <c r="N68" s="14"/>
      <c r="O68" s="14"/>
      <c r="P68" s="14"/>
      <c r="Q68" s="5"/>
      <c r="R68" s="5"/>
      <c r="S68" s="5"/>
      <c r="AA68" s="14"/>
      <c r="AB68" s="14"/>
      <c r="AC68" s="14"/>
      <c r="AD68" s="14"/>
      <c r="AE68" s="87"/>
    </row>
    <row r="69" spans="2:31" x14ac:dyDescent="0.3">
      <c r="B69" s="139" t="s">
        <v>116</v>
      </c>
      <c r="C69" s="139"/>
      <c r="D69" s="139"/>
      <c r="E69" s="139"/>
      <c r="F69" s="139"/>
      <c r="G69" s="139"/>
      <c r="H69" s="139"/>
      <c r="I69" s="139"/>
      <c r="J69" s="139"/>
      <c r="K69" s="139"/>
      <c r="L69" s="139"/>
      <c r="M69" s="14"/>
      <c r="N69" s="14"/>
      <c r="O69" s="14"/>
      <c r="P69" s="14"/>
      <c r="Q69" s="5"/>
      <c r="R69" s="5"/>
      <c r="S69" s="5"/>
      <c r="AA69" s="14"/>
      <c r="AB69" s="14"/>
      <c r="AC69" s="14"/>
      <c r="AD69" s="14"/>
      <c r="AE69" s="87"/>
    </row>
    <row r="70" spans="2:31" x14ac:dyDescent="0.3">
      <c r="B70" s="139"/>
      <c r="C70" s="139"/>
      <c r="D70" s="139"/>
      <c r="E70" s="139"/>
      <c r="F70" s="139"/>
      <c r="G70" s="139"/>
      <c r="H70" s="139"/>
      <c r="I70" s="139"/>
      <c r="J70" s="139"/>
      <c r="K70" s="139"/>
      <c r="L70" s="139"/>
      <c r="M70" s="14"/>
      <c r="N70" s="14"/>
      <c r="O70" s="14"/>
      <c r="P70" s="14"/>
      <c r="Q70" s="5"/>
      <c r="R70" s="5"/>
      <c r="S70" s="5"/>
      <c r="AA70" s="14"/>
      <c r="AB70" s="14"/>
      <c r="AC70" s="14"/>
      <c r="AD70" s="14"/>
      <c r="AE70" s="87"/>
    </row>
    <row r="71" spans="2:31" x14ac:dyDescent="0.3">
      <c r="B71" s="30"/>
      <c r="C71" s="30"/>
      <c r="D71" s="5"/>
      <c r="G71" s="1"/>
      <c r="L71" s="1"/>
      <c r="M71" s="14"/>
      <c r="N71" s="14"/>
      <c r="O71" s="14"/>
      <c r="P71" s="14"/>
      <c r="Q71" s="5"/>
      <c r="R71" s="5"/>
      <c r="S71" s="5"/>
      <c r="AA71" s="14"/>
      <c r="AB71" s="14"/>
      <c r="AC71" s="14"/>
      <c r="AD71" s="14"/>
      <c r="AE71" s="87"/>
    </row>
    <row r="72" spans="2:31" x14ac:dyDescent="0.3">
      <c r="B72" s="30"/>
      <c r="G72" s="1"/>
      <c r="L72" s="1"/>
      <c r="M72" s="1"/>
      <c r="N72" s="1"/>
      <c r="O72" s="1"/>
      <c r="P72" s="1"/>
      <c r="Q72" s="1"/>
      <c r="R72" s="1"/>
      <c r="S72" s="1"/>
      <c r="T72" s="1"/>
      <c r="U72" s="14"/>
      <c r="V72" s="14"/>
      <c r="W72" s="14"/>
      <c r="X72" s="14"/>
      <c r="Y72" s="14"/>
      <c r="Z72" s="14"/>
      <c r="AA72" s="14"/>
      <c r="AB72" s="14"/>
      <c r="AC72" s="14"/>
      <c r="AD72" s="14"/>
      <c r="AE72" s="87"/>
    </row>
    <row r="73" spans="2:31" x14ac:dyDescent="0.3">
      <c r="B73" s="30"/>
      <c r="G73" s="1"/>
      <c r="L73" s="1"/>
      <c r="M73" s="1"/>
      <c r="N73" s="1"/>
      <c r="O73" s="1"/>
      <c r="P73" s="1"/>
      <c r="Q73" s="1"/>
      <c r="R73" s="1"/>
      <c r="S73" s="1"/>
      <c r="T73" s="1"/>
      <c r="U73" s="14"/>
      <c r="V73" s="14"/>
      <c r="W73" s="14"/>
      <c r="X73" s="14"/>
      <c r="Y73" s="14"/>
      <c r="Z73" s="14"/>
      <c r="AA73" s="14"/>
      <c r="AB73" s="14"/>
      <c r="AC73" s="14"/>
      <c r="AD73" s="14"/>
      <c r="AE73" s="87"/>
    </row>
    <row r="74" spans="2:31" x14ac:dyDescent="0.3">
      <c r="B74" s="30"/>
      <c r="G74" s="1"/>
      <c r="L74" s="1"/>
      <c r="M74" s="1"/>
      <c r="N74" s="1"/>
      <c r="O74" s="1"/>
      <c r="P74" s="1"/>
      <c r="Q74" s="1"/>
      <c r="R74" s="1"/>
      <c r="S74" s="1"/>
      <c r="T74" s="1"/>
      <c r="U74" s="14"/>
      <c r="V74" s="14"/>
      <c r="W74" s="14"/>
      <c r="X74" s="14"/>
      <c r="Y74" s="14"/>
      <c r="Z74" s="14"/>
      <c r="AA74" s="14"/>
      <c r="AB74" s="14"/>
      <c r="AC74" s="14"/>
      <c r="AD74" s="14"/>
      <c r="AE74" s="87"/>
    </row>
    <row r="75" spans="2:31" x14ac:dyDescent="0.3">
      <c r="B75" s="30"/>
      <c r="G75" s="1"/>
      <c r="L75" s="1"/>
      <c r="M75" s="1"/>
      <c r="N75" s="1"/>
      <c r="O75" s="1"/>
      <c r="P75" s="1"/>
      <c r="Q75" s="1"/>
      <c r="R75" s="1"/>
      <c r="S75" s="1"/>
      <c r="T75" s="1"/>
      <c r="U75" s="14"/>
      <c r="V75" s="14"/>
      <c r="W75" s="14"/>
      <c r="X75" s="14"/>
      <c r="Y75" s="14"/>
      <c r="Z75" s="14"/>
      <c r="AA75" s="14"/>
      <c r="AB75" s="14"/>
      <c r="AC75" s="14"/>
      <c r="AD75" s="14"/>
      <c r="AE75" s="87"/>
    </row>
    <row r="76" spans="2:31" x14ac:dyDescent="0.3">
      <c r="B76" s="30"/>
      <c r="G76" s="1"/>
      <c r="L76" s="1"/>
      <c r="M76" s="1"/>
      <c r="N76" s="1"/>
      <c r="O76" s="1"/>
      <c r="P76" s="1"/>
      <c r="Q76" s="1"/>
      <c r="R76" s="1"/>
      <c r="S76" s="1"/>
      <c r="T76" s="1"/>
      <c r="U76" s="14"/>
      <c r="V76" s="14"/>
      <c r="W76" s="14"/>
      <c r="X76" s="14"/>
      <c r="Y76" s="14"/>
      <c r="Z76" s="14"/>
      <c r="AA76" s="14"/>
      <c r="AB76" s="14"/>
      <c r="AC76" s="14"/>
      <c r="AD76" s="14"/>
      <c r="AE76" s="87"/>
    </row>
    <row r="77" spans="2:31" x14ac:dyDescent="0.3">
      <c r="B77" s="30"/>
      <c r="G77" s="1"/>
      <c r="L77" s="1"/>
      <c r="M77" s="1"/>
      <c r="N77" s="1"/>
      <c r="O77" s="1"/>
      <c r="P77" s="1"/>
      <c r="Q77" s="1"/>
      <c r="R77" s="1"/>
      <c r="S77" s="1"/>
      <c r="T77" s="1"/>
      <c r="U77" s="14"/>
      <c r="V77" s="14"/>
      <c r="W77" s="14"/>
      <c r="X77" s="14"/>
      <c r="Y77" s="14"/>
      <c r="Z77" s="14"/>
      <c r="AA77" s="14"/>
      <c r="AB77" s="14"/>
      <c r="AC77" s="14"/>
      <c r="AD77" s="14"/>
      <c r="AE77" s="87"/>
    </row>
    <row r="78" spans="2:31" x14ac:dyDescent="0.3">
      <c r="B78" s="30"/>
      <c r="G78" s="1"/>
      <c r="L78" s="1"/>
      <c r="M78" s="1"/>
      <c r="N78" s="1"/>
      <c r="O78" s="1"/>
      <c r="P78" s="1"/>
      <c r="Q78" s="1"/>
      <c r="R78" s="1"/>
      <c r="S78" s="1"/>
      <c r="T78" s="1"/>
      <c r="U78" s="14"/>
      <c r="V78" s="14"/>
      <c r="W78" s="14"/>
      <c r="X78" s="14"/>
      <c r="Y78" s="14"/>
      <c r="Z78" s="14"/>
      <c r="AA78" s="14"/>
      <c r="AB78" s="14"/>
      <c r="AC78" s="14"/>
      <c r="AD78" s="14"/>
      <c r="AE78" s="87"/>
    </row>
    <row r="79" spans="2:31" x14ac:dyDescent="0.3">
      <c r="B79" s="30"/>
      <c r="G79" s="1"/>
      <c r="L79" s="1"/>
      <c r="M79" s="1"/>
      <c r="N79" s="1"/>
      <c r="O79" s="1"/>
      <c r="P79" s="1"/>
      <c r="Q79" s="1"/>
      <c r="R79" s="1"/>
      <c r="S79" s="1"/>
      <c r="T79" s="1"/>
      <c r="U79" s="14"/>
      <c r="V79" s="14"/>
      <c r="W79" s="14"/>
      <c r="X79" s="14"/>
      <c r="Y79" s="14"/>
      <c r="Z79" s="14"/>
      <c r="AA79" s="14"/>
      <c r="AB79" s="14"/>
      <c r="AC79" s="14"/>
      <c r="AD79" s="14"/>
      <c r="AE79" s="87"/>
    </row>
    <row r="80" spans="2:31" x14ac:dyDescent="0.3">
      <c r="B80" s="30"/>
      <c r="G80" s="1"/>
      <c r="L80" s="1"/>
      <c r="M80" s="1"/>
      <c r="N80" s="1"/>
      <c r="O80" s="1"/>
      <c r="P80" s="1"/>
      <c r="Q80" s="1"/>
      <c r="R80" s="1"/>
      <c r="S80" s="1"/>
      <c r="T80" s="1"/>
      <c r="U80" s="14"/>
      <c r="V80" s="14"/>
      <c r="W80" s="14"/>
      <c r="X80" s="14"/>
      <c r="Y80" s="14"/>
      <c r="Z80" s="14"/>
      <c r="AA80" s="14"/>
      <c r="AB80" s="14"/>
      <c r="AC80" s="14"/>
      <c r="AD80" s="14"/>
      <c r="AE80" s="87"/>
    </row>
    <row r="81" spans="2:20" x14ac:dyDescent="0.3">
      <c r="B81" s="30"/>
      <c r="T81" s="1"/>
    </row>
    <row r="82" spans="2:20" x14ac:dyDescent="0.3">
      <c r="B82" s="30"/>
      <c r="T82" s="1"/>
    </row>
    <row r="83" spans="2:20" x14ac:dyDescent="0.3">
      <c r="B83" s="30"/>
      <c r="T83" s="1"/>
    </row>
    <row r="84" spans="2:20" x14ac:dyDescent="0.3">
      <c r="B84" s="30"/>
      <c r="T84" s="1"/>
    </row>
    <row r="85" spans="2:20" x14ac:dyDescent="0.3">
      <c r="B85" s="30"/>
      <c r="T85" s="1"/>
    </row>
    <row r="86" spans="2:20" x14ac:dyDescent="0.3">
      <c r="B86" s="30"/>
      <c r="T86" s="1"/>
    </row>
    <row r="87" spans="2:20" x14ac:dyDescent="0.3">
      <c r="B87" s="30"/>
      <c r="T87" s="1"/>
    </row>
    <row r="88" spans="2:20" x14ac:dyDescent="0.3">
      <c r="B88" s="30"/>
      <c r="T88" s="1"/>
    </row>
    <row r="89" spans="2:20" x14ac:dyDescent="0.3">
      <c r="B89" s="30"/>
      <c r="T89" s="1"/>
    </row>
    <row r="90" spans="2:20" x14ac:dyDescent="0.3">
      <c r="B90" s="30"/>
      <c r="T90" s="1"/>
    </row>
    <row r="91" spans="2:20" x14ac:dyDescent="0.3">
      <c r="B91" s="30"/>
      <c r="T91" s="1"/>
    </row>
    <row r="92" spans="2:20" x14ac:dyDescent="0.3">
      <c r="B92" s="30"/>
      <c r="T92" s="1"/>
    </row>
    <row r="93" spans="2:20" x14ac:dyDescent="0.3">
      <c r="B93" s="30"/>
      <c r="T93" s="1"/>
    </row>
    <row r="94" spans="2:20" x14ac:dyDescent="0.3">
      <c r="B94" s="30"/>
      <c r="T94" s="1"/>
    </row>
    <row r="95" spans="2:20" x14ac:dyDescent="0.3">
      <c r="B95" s="30"/>
      <c r="T95" s="1"/>
    </row>
    <row r="96" spans="2:20" x14ac:dyDescent="0.3">
      <c r="B96" s="30"/>
      <c r="T96" s="1"/>
    </row>
    <row r="97" spans="2:20" x14ac:dyDescent="0.3">
      <c r="B97" s="30"/>
      <c r="T97" s="1"/>
    </row>
  </sheetData>
  <mergeCells count="2">
    <mergeCell ref="B1:V1"/>
    <mergeCell ref="B69:L70"/>
  </mergeCells>
  <conditionalFormatting sqref="F5:L34">
    <cfRule type="cellIs" dxfId="27" priority="11" operator="lessThan">
      <formula>0</formula>
    </cfRule>
  </conditionalFormatting>
  <conditionalFormatting sqref="F5:F34">
    <cfRule type="cellIs" dxfId="26" priority="10" operator="greaterThan">
      <formula>"0$T$10"</formula>
    </cfRule>
  </conditionalFormatting>
  <conditionalFormatting sqref="M5:M34">
    <cfRule type="cellIs" dxfId="25" priority="8" operator="greaterThan">
      <formula>100</formula>
    </cfRule>
    <cfRule type="cellIs" dxfId="24" priority="9" operator="lessThan">
      <formula>0</formula>
    </cfRule>
  </conditionalFormatting>
  <conditionalFormatting sqref="J37:J46">
    <cfRule type="cellIs" dxfId="23" priority="5" operator="equal">
      <formula>0</formula>
    </cfRule>
    <cfRule type="cellIs" dxfId="22" priority="6" operator="lessThan">
      <formula>0</formula>
    </cfRule>
    <cfRule type="cellIs" dxfId="21" priority="7" operator="greaterThan">
      <formula>0</formula>
    </cfRule>
  </conditionalFormatting>
  <conditionalFormatting sqref="Q5:Q34">
    <cfRule type="cellIs" dxfId="20" priority="12" operator="greaterThan">
      <formula>$J$40</formula>
    </cfRule>
  </conditionalFormatting>
  <conditionalFormatting sqref="N5:N34">
    <cfRule type="cellIs" dxfId="19" priority="13" operator="greaterThan">
      <formula>$J$37</formula>
    </cfRule>
  </conditionalFormatting>
  <conditionalFormatting sqref="O5:O34">
    <cfRule type="cellIs" dxfId="18" priority="14" operator="greaterThan">
      <formula>$J$38</formula>
    </cfRule>
  </conditionalFormatting>
  <conditionalFormatting sqref="P5:P34">
    <cfRule type="cellIs" dxfId="17" priority="15" operator="greaterThan">
      <formula>$J$39</formula>
    </cfRule>
  </conditionalFormatting>
  <conditionalFormatting sqref="G5:G34">
    <cfRule type="cellIs" dxfId="16" priority="16" operator="greaterThan">
      <formula>$D$49</formula>
    </cfRule>
  </conditionalFormatting>
  <conditionalFormatting sqref="H5:H34">
    <cfRule type="cellIs" dxfId="15" priority="17" operator="greaterThan">
      <formula>$E$49</formula>
    </cfRule>
  </conditionalFormatting>
  <conditionalFormatting sqref="I5:I34">
    <cfRule type="cellIs" dxfId="14" priority="18" operator="greaterThan">
      <formula>$F$49</formula>
    </cfRule>
  </conditionalFormatting>
  <conditionalFormatting sqref="J5:J34">
    <cfRule type="cellIs" dxfId="13" priority="19" operator="greaterThan">
      <formula>$G$49</formula>
    </cfRule>
  </conditionalFormatting>
  <conditionalFormatting sqref="K5:K34">
    <cfRule type="cellIs" dxfId="12" priority="20" operator="greaterThan">
      <formula>$H$49</formula>
    </cfRule>
  </conditionalFormatting>
  <conditionalFormatting sqref="L5:L34">
    <cfRule type="cellIs" dxfId="11" priority="21" operator="greaterThan">
      <formula>$I$49</formula>
    </cfRule>
  </conditionalFormatting>
  <conditionalFormatting sqref="G16:G20">
    <cfRule type="cellIs" dxfId="10" priority="1" operator="greaterThan">
      <formula>$E$49</formula>
    </cfRule>
  </conditionalFormatting>
  <conditionalFormatting sqref="H16:H20">
    <cfRule type="cellIs" dxfId="9" priority="2" operator="greaterThan">
      <formula>$F$49</formula>
    </cfRule>
  </conditionalFormatting>
  <conditionalFormatting sqref="I16:I20">
    <cfRule type="cellIs" dxfId="8" priority="3" operator="greaterThan">
      <formula>$G$49</formula>
    </cfRule>
  </conditionalFormatting>
  <conditionalFormatting sqref="J16:J20">
    <cfRule type="cellIs" dxfId="7" priority="4" operator="greaterThan">
      <formula>$H$49</formula>
    </cfRule>
  </conditionalFormatting>
  <pageMargins left="0.7" right="0.7" top="0.75" bottom="0.75" header="0.511811023622047" footer="0.511811023622047"/>
  <pageSetup paperSize="9" orientation="portrait" horizontalDpi="300" verticalDpi="300" r:id="rId1"/>
  <drawing r:id="rId2"/>
  <legacyDrawing r:id="rId3"/>
  <tableParts count="6">
    <tablePart r:id="rId4"/>
    <tablePart r:id="rId5"/>
    <tablePart r:id="rId6"/>
    <tablePart r:id="rId7"/>
    <tablePart r:id="rId8"/>
    <tablePart r:id="rId9"/>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559BE0-E88B-412C-9AAA-9B00893E01FC}">
  <dimension ref="B1:W81"/>
  <sheetViews>
    <sheetView topLeftCell="A43" zoomScale="70" zoomScaleNormal="70" workbookViewId="0">
      <selection activeCell="J14" sqref="J14"/>
    </sheetView>
  </sheetViews>
  <sheetFormatPr defaultColWidth="8.88671875" defaultRowHeight="14.4" x14ac:dyDescent="0.3"/>
  <cols>
    <col min="1" max="1" width="14.5546875" style="5" customWidth="1"/>
    <col min="2" max="2" width="15.33203125" style="5" customWidth="1"/>
    <col min="3" max="3" width="17.44140625" style="5" bestFit="1" customWidth="1"/>
    <col min="4" max="4" width="11.6640625" style="5" bestFit="1" customWidth="1"/>
    <col min="5" max="5" width="12" style="5" customWidth="1"/>
    <col min="6" max="6" width="10" style="5" bestFit="1" customWidth="1"/>
    <col min="7" max="8" width="11.6640625" style="5" bestFit="1" customWidth="1"/>
    <col min="9" max="9" width="14.88671875" style="5" bestFit="1" customWidth="1"/>
    <col min="10" max="10" width="15.6640625" style="5" customWidth="1"/>
    <col min="11" max="11" width="17.44140625" style="5" bestFit="1" customWidth="1"/>
    <col min="12" max="12" width="15.6640625" style="5" bestFit="1" customWidth="1"/>
    <col min="13" max="13" width="14" style="5" bestFit="1" customWidth="1"/>
    <col min="14" max="14" width="15.33203125" style="5" bestFit="1" customWidth="1"/>
    <col min="15" max="20" width="7.6640625" style="5" bestFit="1" customWidth="1"/>
    <col min="21" max="21" width="13.33203125" style="5" bestFit="1" customWidth="1"/>
    <col min="22" max="22" width="16.88671875" style="5" bestFit="1" customWidth="1"/>
    <col min="23" max="23" width="18.33203125" style="5" bestFit="1" customWidth="1"/>
    <col min="24" max="24" width="23.88671875" style="5" bestFit="1" customWidth="1"/>
    <col min="25" max="25" width="18" style="5" bestFit="1" customWidth="1"/>
    <col min="26" max="16384" width="8.88671875" style="5"/>
  </cols>
  <sheetData>
    <row r="1" spans="2:23" ht="33.6" x14ac:dyDescent="0.3">
      <c r="B1" s="137" t="s">
        <v>145</v>
      </c>
      <c r="C1" s="137"/>
      <c r="D1" s="137"/>
      <c r="E1" s="137"/>
      <c r="F1" s="137"/>
      <c r="G1" s="137"/>
      <c r="H1" s="137"/>
      <c r="I1" s="137"/>
      <c r="J1" s="137"/>
      <c r="K1" s="137"/>
      <c r="L1" s="137"/>
      <c r="M1" s="137"/>
      <c r="N1" s="137"/>
      <c r="O1" s="137"/>
      <c r="P1" s="137"/>
      <c r="Q1" s="137"/>
      <c r="R1" s="137"/>
      <c r="S1" s="137"/>
      <c r="T1" s="137"/>
      <c r="U1" s="137"/>
      <c r="V1" s="137"/>
    </row>
    <row r="4" spans="2:23" ht="15" thickBot="1" x14ac:dyDescent="0.35">
      <c r="B4" s="89" t="s">
        <v>94</v>
      </c>
      <c r="C4" s="2" t="s">
        <v>95</v>
      </c>
      <c r="D4" s="90" t="s">
        <v>110</v>
      </c>
      <c r="E4" s="90" t="s">
        <v>111</v>
      </c>
      <c r="F4" s="6" t="s">
        <v>146</v>
      </c>
      <c r="G4" s="6" t="s">
        <v>147</v>
      </c>
      <c r="H4" s="6" t="s">
        <v>148</v>
      </c>
      <c r="I4" s="6" t="s">
        <v>149</v>
      </c>
      <c r="J4" s="6" t="s">
        <v>150</v>
      </c>
      <c r="K4" s="6" t="s">
        <v>30</v>
      </c>
      <c r="L4" s="6" t="s">
        <v>72</v>
      </c>
      <c r="M4" s="6" t="s">
        <v>73</v>
      </c>
      <c r="N4" s="6" t="s">
        <v>74</v>
      </c>
      <c r="O4" s="6" t="s">
        <v>75</v>
      </c>
      <c r="P4" s="6" t="s">
        <v>135</v>
      </c>
      <c r="Q4" s="6" t="s">
        <v>136</v>
      </c>
      <c r="R4" s="6" t="s">
        <v>137</v>
      </c>
      <c r="S4" s="6" t="s">
        <v>138</v>
      </c>
      <c r="T4" s="6" t="s">
        <v>139</v>
      </c>
      <c r="U4" s="6" t="s">
        <v>140</v>
      </c>
      <c r="V4" s="29" t="s">
        <v>142</v>
      </c>
      <c r="W4" s="6" t="s">
        <v>115</v>
      </c>
    </row>
    <row r="5" spans="2:23" ht="15.6" thickTop="1" thickBot="1" x14ac:dyDescent="0.35">
      <c r="B5" s="91">
        <v>1</v>
      </c>
      <c r="C5" s="14">
        <v>16</v>
      </c>
      <c r="D5" s="61" t="s">
        <v>110</v>
      </c>
      <c r="E5" s="61" t="s">
        <v>111</v>
      </c>
      <c r="F5" s="5">
        <v>10</v>
      </c>
      <c r="G5" s="5">
        <v>10</v>
      </c>
      <c r="H5" s="5">
        <v>10</v>
      </c>
      <c r="I5" s="5">
        <v>10</v>
      </c>
      <c r="J5" s="5">
        <v>10</v>
      </c>
      <c r="K5" s="8">
        <f>(Tablo3[[#This Row],[HW1]]+Tablo3[[#This Row],[HW2]]+Tablo3[[#This Row],[HW3]]+Tablo3[[#This Row],[HW4]]+Tablo3[[#This Row],[HW5]])/5</f>
        <v>10</v>
      </c>
      <c r="L5" s="8" cm="1">
        <f t="array" ref="L5">Tablo3[[#This Row],[HW1]]*$D$38/Tablo11[HW1]+Tablo3[[#This Row],[HW2]]*$E$38/Tablo11[HW2]+Tablo3[[#This Row],[HW3]]*$F$38/Tablo11[HW3]+Tablo3[[#This Row],[HW4]]*$G$38/Tablo11[HW4]+Tablo3[[#This Row],[HW5]]*$H$38/Tablo11[HW5]</f>
        <v>45</v>
      </c>
      <c r="M5" s="8" cm="1">
        <f t="array" ref="M5">Tablo3[[#This Row],[HW1]]*$D$39/Tablo11[HW1]+Tablo3[[#This Row],[HW2]]*$E$39/Tablo11[HW2]+Tablo3[[#This Row],[HW3]]*$F$39/Tablo11[HW3]+Tablo3[[#This Row],[HW4]]*$G$39/Tablo11[HW4]+Tablo3[[#This Row],[HW5]]*$H$39/Tablo11[HW5]</f>
        <v>10</v>
      </c>
      <c r="N5" s="8" cm="1">
        <f t="array" ref="N5">Tablo3[[#This Row],[HW1]]*$D$40/Tablo11[HW1]+Tablo3[[#This Row],[HW2]]*$E$40/Tablo11[HW2]+Tablo3[[#This Row],[HW3]]*$F$40/Tablo11[HW3]+Tablo3[[#This Row],[HW4]]*$G$40/Tablo11[HW4]+Tablo3[[#This Row],[HW5]]*$H$40/Tablo11[HW5]</f>
        <v>20</v>
      </c>
      <c r="O5" s="8" cm="1">
        <f t="array" ref="O5">Tablo3[[#This Row],[HW1]]*$D$41/Tablo11[HW1]+Tablo3[[#This Row],[HW2]]*$E$41/Tablo11[HW2]+Tablo3[[#This Row],[HW3]]*$F$41/Tablo11[HW3]+Tablo3[[#This Row],[HW4]]*$G$41/Tablo11[HW4]+Tablo3[[#This Row],[HW5]]*$H$41/Tablo11[HW5]</f>
        <v>10</v>
      </c>
      <c r="P5" s="92" cm="1">
        <f t="array" ref="P5">Tablo3[[#This Row],[HW1]]*$D$42/Tablo11[HW1]+Tablo3[[#This Row],[HW2]]*$E$42/Tablo11[HW2]+Tablo3[[#This Row],[HW3]]*$F$42/Tablo11[HW3]+Tablo3[[#This Row],[HW4]]*$G$42/Tablo11[HW4]+Tablo3[[#This Row],[HW5]]*$H$42/Tablo11[HW5]</f>
        <v>0</v>
      </c>
      <c r="Q5" s="92" cm="1">
        <f t="array" ref="Q5">Tablo3[[#This Row],[HW1]]*$D$43/Tablo11[HW1]+Tablo3[[#This Row],[HW2]]*$E$43/Tablo11[HW2]+Tablo3[[#This Row],[HW3]]*$F$43/Tablo11[HW3]+Tablo3[[#This Row],[HW4]]*$G$43/Tablo11[HW4]+Tablo3[[#This Row],[HW5]]*$H$43/Tablo11[HW5]</f>
        <v>0</v>
      </c>
      <c r="R5" s="92" cm="1">
        <f t="array" ref="R5">Tablo3[[#This Row],[HW1]]*$D$44/Tablo11[HW1]+Tablo3[[#This Row],[HW2]]*$E$44/Tablo11[HW2]+Tablo3[[#This Row],[HW3]]*$F$44/Tablo11[HW3]+Tablo3[[#This Row],[HW4]]*$G$44/Tablo11[HW4]+Tablo3[[#This Row],[HW5]]*$H$44/Tablo11[HW5]</f>
        <v>0</v>
      </c>
      <c r="S5" s="92" cm="1">
        <f t="array" ref="S5">Tablo3[[#This Row],[HW1]]*$D$45/Tablo11[HW1]+Tablo3[[#This Row],[HW2]]*$E$45/Tablo11[HW2]+Tablo3[[#This Row],[HW3]]*$F$45/Tablo11[HW3]+Tablo3[[#This Row],[HW4]]*$G$45/Tablo11[HW4]+Tablo3[[#This Row],[HW5]]*$H$45/Tablo11[HW5]</f>
        <v>0</v>
      </c>
      <c r="T5" s="92" cm="1">
        <f t="array" ref="T5">Tablo3[[#This Row],[HW1]]*$D$46/Tablo11[HW1]+Tablo3[[#This Row],[HW2]]*$E$46/Tablo11[HW2]+Tablo3[[#This Row],[HW3]]*$F$46/Tablo11[HW3]+Tablo3[[#This Row],[HW4]]*$G$46/Tablo11[HW4]+Tablo3[[#This Row],[HW5]]*$H$46/Tablo11[HW5]</f>
        <v>0</v>
      </c>
      <c r="U5" s="92" cm="1">
        <f t="array" ref="U5">Tablo3[[#This Row],[HW1]]*$D$47/Tablo11[HW1]+Tablo3[[#This Row],[HW2]]*$E$47/Tablo11[HW2]+Tablo3[[#This Row],[HW3]]*$F$47/Tablo11[HW3]+Tablo3[[#This Row],[HW4]]*$G$47/Tablo11[HW4]+Tablo3[[#This Row],[HW5]]*$H$47/Tablo11[HW5]</f>
        <v>0</v>
      </c>
      <c r="V5" s="9">
        <f>SUM(Tablo3[[#This Row],[DÇ1]:[DÇ10]])</f>
        <v>85</v>
      </c>
      <c r="W5" s="8">
        <f>_xlfn.NORM.DIST(Tablo3[[#This Row],[TOTAL]],$M$60,$N$60,FALSE)</f>
        <v>3.4931466957325874E-3</v>
      </c>
    </row>
    <row r="6" spans="2:23" ht="15.6" thickTop="1" thickBot="1" x14ac:dyDescent="0.35">
      <c r="B6" s="93">
        <v>2</v>
      </c>
      <c r="C6" s="14">
        <v>15</v>
      </c>
      <c r="D6" s="61" t="s">
        <v>110</v>
      </c>
      <c r="E6" s="61" t="s">
        <v>111</v>
      </c>
      <c r="F6" s="5">
        <v>6</v>
      </c>
      <c r="G6" s="5">
        <v>3.5</v>
      </c>
      <c r="H6" s="5">
        <v>8</v>
      </c>
      <c r="I6" s="5">
        <v>10</v>
      </c>
      <c r="J6" s="5">
        <v>6</v>
      </c>
      <c r="K6" s="8">
        <f>(Tablo3[[#This Row],[HW1]]+Tablo3[[#This Row],[HW2]]+Tablo3[[#This Row],[HW3]]+Tablo3[[#This Row],[HW4]]+Tablo3[[#This Row],[HW5]])/5</f>
        <v>6.7</v>
      </c>
      <c r="L6" s="8" cm="1">
        <f t="array" ref="L6">Tablo3[[#This Row],[HW1]]*$D$38/Tablo11[HW1]+Tablo3[[#This Row],[HW2]]*$E$38/Tablo11[HW2]+Tablo3[[#This Row],[HW3]]*$F$38/Tablo11[HW3]+Tablo3[[#This Row],[HW4]]*$G$38/Tablo11[HW4]+Tablo3[[#This Row],[HW5]]*$H$38/Tablo11[HW5]</f>
        <v>35.75</v>
      </c>
      <c r="M6" s="8" cm="1">
        <f t="array" ref="M6">Tablo3[[#This Row],[HW1]]*$D$39/Tablo11[HW1]+Tablo3[[#This Row],[HW2]]*$E$39/Tablo11[HW2]+Tablo3[[#This Row],[HW3]]*$F$39/Tablo11[HW3]+Tablo3[[#This Row],[HW4]]*$G$39/Tablo11[HW4]+Tablo3[[#This Row],[HW5]]*$H$39/Tablo11[HW5]</f>
        <v>3.5</v>
      </c>
      <c r="N6" s="8" cm="1">
        <f t="array" ref="N6">Tablo3[[#This Row],[HW1]]*$D$40/Tablo11[HW1]+Tablo3[[#This Row],[HW2]]*$E$40/Tablo11[HW2]+Tablo3[[#This Row],[HW3]]*$F$40/Tablo11[HW3]+Tablo3[[#This Row],[HW4]]*$G$40/Tablo11[HW4]+Tablo3[[#This Row],[HW5]]*$H$40/Tablo11[HW5]</f>
        <v>12.75</v>
      </c>
      <c r="O6" s="8" cm="1">
        <f t="array" ref="O6">Tablo3[[#This Row],[HW1]]*$D$41/Tablo11[HW1]+Tablo3[[#This Row],[HW2]]*$E$41/Tablo11[HW2]+Tablo3[[#This Row],[HW3]]*$F$41/Tablo11[HW3]+Tablo3[[#This Row],[HW4]]*$G$41/Tablo11[HW4]+Tablo3[[#This Row],[HW5]]*$H$41/Tablo11[HW5]</f>
        <v>6</v>
      </c>
      <c r="P6" s="92" cm="1">
        <f t="array" ref="P6">Tablo3[[#This Row],[HW1]]*$D$42/Tablo11[HW1]+Tablo3[[#This Row],[HW2]]*$E$42/Tablo11[HW2]+Tablo3[[#This Row],[HW3]]*$F$42/Tablo11[HW3]+Tablo3[[#This Row],[HW4]]*$G$42/Tablo11[HW4]+Tablo3[[#This Row],[HW5]]*$H$42/Tablo11[HW5]</f>
        <v>0</v>
      </c>
      <c r="Q6" s="92" cm="1">
        <f t="array" ref="Q6">Tablo3[[#This Row],[HW1]]*$D$43/Tablo11[HW1]+Tablo3[[#This Row],[HW2]]*$E$43/Tablo11[HW2]+Tablo3[[#This Row],[HW3]]*$F$43/Tablo11[HW3]+Tablo3[[#This Row],[HW4]]*$G$43/Tablo11[HW4]+Tablo3[[#This Row],[HW5]]*$H$43/Tablo11[HW5]</f>
        <v>0</v>
      </c>
      <c r="R6" s="92" cm="1">
        <f t="array" ref="R6">Tablo3[[#This Row],[HW1]]*$D$44/Tablo11[HW1]+Tablo3[[#This Row],[HW2]]*$E$44/Tablo11[HW2]+Tablo3[[#This Row],[HW3]]*$F$44/Tablo11[HW3]+Tablo3[[#This Row],[HW4]]*$G$44/Tablo11[HW4]+Tablo3[[#This Row],[HW5]]*$H$44/Tablo11[HW5]</f>
        <v>0</v>
      </c>
      <c r="S6" s="92" cm="1">
        <f t="array" ref="S6">Tablo3[[#This Row],[HW1]]*$D$45/Tablo11[HW1]+Tablo3[[#This Row],[HW2]]*$E$45/Tablo11[HW2]+Tablo3[[#This Row],[HW3]]*$F$45/Tablo11[HW3]+Tablo3[[#This Row],[HW4]]*$G$45/Tablo11[HW4]+Tablo3[[#This Row],[HW5]]*$H$45/Tablo11[HW5]</f>
        <v>0</v>
      </c>
      <c r="T6" s="92" cm="1">
        <f t="array" ref="T6">Tablo3[[#This Row],[HW1]]*$D$46/Tablo11[HW1]+Tablo3[[#This Row],[HW2]]*$E$46/Tablo11[HW2]+Tablo3[[#This Row],[HW3]]*$F$46/Tablo11[HW3]+Tablo3[[#This Row],[HW4]]*$G$46/Tablo11[HW4]+Tablo3[[#This Row],[HW5]]*$H$46/Tablo11[HW5]</f>
        <v>0</v>
      </c>
      <c r="U6" s="92" cm="1">
        <f t="array" ref="U6">Tablo3[[#This Row],[HW1]]*$D$47/Tablo11[HW1]+Tablo3[[#This Row],[HW2]]*$E$47/Tablo11[HW2]+Tablo3[[#This Row],[HW3]]*$F$47/Tablo11[HW3]+Tablo3[[#This Row],[HW4]]*$G$47/Tablo11[HW4]+Tablo3[[#This Row],[HW5]]*$H$47/Tablo11[HW5]</f>
        <v>0</v>
      </c>
      <c r="V6" s="9">
        <f>SUM(Tablo3[[#This Row],[DÇ1]:[DÇ10]])</f>
        <v>58</v>
      </c>
      <c r="W6" s="8">
        <f>_xlfn.NORM.DIST(Tablo3[[#This Row],[TOTAL]],$M$60,$N$60,FALSE)</f>
        <v>0.12216212399088243</v>
      </c>
    </row>
    <row r="7" spans="2:23" ht="15.6" thickTop="1" thickBot="1" x14ac:dyDescent="0.35">
      <c r="B7" s="91">
        <v>3</v>
      </c>
      <c r="C7" s="14">
        <v>23</v>
      </c>
      <c r="D7" s="61" t="s">
        <v>110</v>
      </c>
      <c r="E7" s="61" t="s">
        <v>111</v>
      </c>
      <c r="F7" s="5">
        <v>3</v>
      </c>
      <c r="G7" s="5">
        <v>4</v>
      </c>
      <c r="H7" s="5">
        <v>8</v>
      </c>
      <c r="I7" s="5">
        <v>10</v>
      </c>
      <c r="J7" s="5">
        <v>6</v>
      </c>
      <c r="K7" s="8">
        <f>(Tablo3[[#This Row],[HW1]]+Tablo3[[#This Row],[HW2]]+Tablo3[[#This Row],[HW3]]+Tablo3[[#This Row],[HW4]]+Tablo3[[#This Row],[HW5]])/5</f>
        <v>6.2</v>
      </c>
      <c r="L7" s="8" cm="1">
        <f t="array" ref="L7">Tablo3[[#This Row],[HW1]]*$D$38/Tablo11[HW1]+Tablo3[[#This Row],[HW2]]*$E$38/Tablo11[HW2]+Tablo3[[#This Row],[HW3]]*$F$38/Tablo11[HW3]+Tablo3[[#This Row],[HW4]]*$G$38/Tablo11[HW4]+Tablo3[[#This Row],[HW5]]*$H$38/Tablo11[HW5]</f>
        <v>36</v>
      </c>
      <c r="M7" s="8" cm="1">
        <f t="array" ref="M7">Tablo3[[#This Row],[HW1]]*$D$39/Tablo11[HW1]+Tablo3[[#This Row],[HW2]]*$E$39/Tablo11[HW2]+Tablo3[[#This Row],[HW3]]*$F$39/Tablo11[HW3]+Tablo3[[#This Row],[HW4]]*$G$39/Tablo11[HW4]+Tablo3[[#This Row],[HW5]]*$H$39/Tablo11[HW5]</f>
        <v>4</v>
      </c>
      <c r="N7" s="8" cm="1">
        <f t="array" ref="N7">Tablo3[[#This Row],[HW1]]*$D$40/Tablo11[HW1]+Tablo3[[#This Row],[HW2]]*$E$40/Tablo11[HW2]+Tablo3[[#This Row],[HW3]]*$F$40/Tablo11[HW3]+Tablo3[[#This Row],[HW4]]*$G$40/Tablo11[HW4]+Tablo3[[#This Row],[HW5]]*$H$40/Tablo11[HW5]</f>
        <v>11.5</v>
      </c>
      <c r="O7" s="8" cm="1">
        <f t="array" ref="O7">Tablo3[[#This Row],[HW1]]*$D$41/Tablo11[HW1]+Tablo3[[#This Row],[HW2]]*$E$41/Tablo11[HW2]+Tablo3[[#This Row],[HW3]]*$F$41/Tablo11[HW3]+Tablo3[[#This Row],[HW4]]*$G$41/Tablo11[HW4]+Tablo3[[#This Row],[HW5]]*$H$41/Tablo11[HW5]</f>
        <v>3</v>
      </c>
      <c r="P7" s="92" cm="1">
        <f t="array" ref="P7">Tablo3[[#This Row],[HW1]]*$D$42/Tablo11[HW1]+Tablo3[[#This Row],[HW2]]*$E$42/Tablo11[HW2]+Tablo3[[#This Row],[HW3]]*$F$42/Tablo11[HW3]+Tablo3[[#This Row],[HW4]]*$G$42/Tablo11[HW4]+Tablo3[[#This Row],[HW5]]*$H$42/Tablo11[HW5]</f>
        <v>0</v>
      </c>
      <c r="Q7" s="92" cm="1">
        <f t="array" ref="Q7">Tablo3[[#This Row],[HW1]]*$D$43/Tablo11[HW1]+Tablo3[[#This Row],[HW2]]*$E$43/Tablo11[HW2]+Tablo3[[#This Row],[HW3]]*$F$43/Tablo11[HW3]+Tablo3[[#This Row],[HW4]]*$G$43/Tablo11[HW4]+Tablo3[[#This Row],[HW5]]*$H$43/Tablo11[HW5]</f>
        <v>0</v>
      </c>
      <c r="R7" s="92" cm="1">
        <f t="array" ref="R7">Tablo3[[#This Row],[HW1]]*$D$44/Tablo11[HW1]+Tablo3[[#This Row],[HW2]]*$E$44/Tablo11[HW2]+Tablo3[[#This Row],[HW3]]*$F$44/Tablo11[HW3]+Tablo3[[#This Row],[HW4]]*$G$44/Tablo11[HW4]+Tablo3[[#This Row],[HW5]]*$H$44/Tablo11[HW5]</f>
        <v>0</v>
      </c>
      <c r="S7" s="92" cm="1">
        <f t="array" ref="S7">Tablo3[[#This Row],[HW1]]*$D$45/Tablo11[HW1]+Tablo3[[#This Row],[HW2]]*$E$45/Tablo11[HW2]+Tablo3[[#This Row],[HW3]]*$F$45/Tablo11[HW3]+Tablo3[[#This Row],[HW4]]*$G$45/Tablo11[HW4]+Tablo3[[#This Row],[HW5]]*$H$45/Tablo11[HW5]</f>
        <v>0</v>
      </c>
      <c r="T7" s="92" cm="1">
        <f t="array" ref="T7">Tablo3[[#This Row],[HW1]]*$D$46/Tablo11[HW1]+Tablo3[[#This Row],[HW2]]*$E$46/Tablo11[HW2]+Tablo3[[#This Row],[HW3]]*$F$46/Tablo11[HW3]+Tablo3[[#This Row],[HW4]]*$G$46/Tablo11[HW4]+Tablo3[[#This Row],[HW5]]*$H$46/Tablo11[HW5]</f>
        <v>0</v>
      </c>
      <c r="U7" s="92" cm="1">
        <f t="array" ref="U7">Tablo3[[#This Row],[HW1]]*$D$47/Tablo11[HW1]+Tablo3[[#This Row],[HW2]]*$E$47/Tablo11[HW2]+Tablo3[[#This Row],[HW3]]*$F$47/Tablo11[HW3]+Tablo3[[#This Row],[HW4]]*$G$47/Tablo11[HW4]+Tablo3[[#This Row],[HW5]]*$H$47/Tablo11[HW5]</f>
        <v>0</v>
      </c>
      <c r="V7" s="9">
        <f>SUM(Tablo3[[#This Row],[DÇ1]:[DÇ10]])</f>
        <v>54.5</v>
      </c>
      <c r="W7" s="8">
        <f>_xlfn.NORM.DIST(Tablo3[[#This Row],[TOTAL]],$M$60,$N$60,FALSE)</f>
        <v>0.15778652946488611</v>
      </c>
    </row>
    <row r="8" spans="2:23" ht="15.6" thickTop="1" thickBot="1" x14ac:dyDescent="0.35">
      <c r="B8" s="93">
        <v>4</v>
      </c>
      <c r="C8" s="14">
        <v>2</v>
      </c>
      <c r="D8" s="66" t="s">
        <v>110</v>
      </c>
      <c r="E8" s="61" t="s">
        <v>111</v>
      </c>
      <c r="F8" s="5">
        <v>0</v>
      </c>
      <c r="G8" s="5">
        <v>5</v>
      </c>
      <c r="H8" s="5">
        <v>8</v>
      </c>
      <c r="I8" s="5">
        <v>9</v>
      </c>
      <c r="J8" s="5">
        <v>8</v>
      </c>
      <c r="K8" s="8">
        <f>(Tablo3[[#This Row],[HW1]]+Tablo3[[#This Row],[HW2]]+Tablo3[[#This Row],[HW3]]+Tablo3[[#This Row],[HW4]]+Tablo3[[#This Row],[HW5]])/5</f>
        <v>6</v>
      </c>
      <c r="L8" s="8" cm="1">
        <f t="array" ref="L8">Tablo3[[#This Row],[HW1]]*$D$38/Tablo11[HW1]+Tablo3[[#This Row],[HW2]]*$E$38/Tablo11[HW2]+Tablo3[[#This Row],[HW3]]*$F$38/Tablo11[HW3]+Tablo3[[#This Row],[HW4]]*$G$38/Tablo11[HW4]+Tablo3[[#This Row],[HW5]]*$H$38/Tablo11[HW5]</f>
        <v>36.5</v>
      </c>
      <c r="M8" s="8" cm="1">
        <f t="array" ref="M8">Tablo3[[#This Row],[HW1]]*$D$39/Tablo11[HW1]+Tablo3[[#This Row],[HW2]]*$E$39/Tablo11[HW2]+Tablo3[[#This Row],[HW3]]*$F$39/Tablo11[HW3]+Tablo3[[#This Row],[HW4]]*$G$39/Tablo11[HW4]+Tablo3[[#This Row],[HW5]]*$H$39/Tablo11[HW5]</f>
        <v>5</v>
      </c>
      <c r="N8" s="8" cm="1">
        <f t="array" ref="N8">Tablo3[[#This Row],[HW1]]*$D$40/Tablo11[HW1]+Tablo3[[#This Row],[HW2]]*$E$40/Tablo11[HW2]+Tablo3[[#This Row],[HW3]]*$F$40/Tablo11[HW3]+Tablo3[[#This Row],[HW4]]*$G$40/Tablo11[HW4]+Tablo3[[#This Row],[HW5]]*$H$40/Tablo11[HW5]</f>
        <v>11</v>
      </c>
      <c r="O8" s="8" cm="1">
        <f t="array" ref="O8">Tablo3[[#This Row],[HW1]]*$D$41/Tablo11[HW1]+Tablo3[[#This Row],[HW2]]*$E$41/Tablo11[HW2]+Tablo3[[#This Row],[HW3]]*$F$41/Tablo11[HW3]+Tablo3[[#This Row],[HW4]]*$G$41/Tablo11[HW4]+Tablo3[[#This Row],[HW5]]*$H$41/Tablo11[HW5]</f>
        <v>0</v>
      </c>
      <c r="P8" s="92" cm="1">
        <f t="array" ref="P8">Tablo3[[#This Row],[HW1]]*$D$42/Tablo11[HW1]+Tablo3[[#This Row],[HW2]]*$E$42/Tablo11[HW2]+Tablo3[[#This Row],[HW3]]*$F$42/Tablo11[HW3]+Tablo3[[#This Row],[HW4]]*$G$42/Tablo11[HW4]+Tablo3[[#This Row],[HW5]]*$H$42/Tablo11[HW5]</f>
        <v>0</v>
      </c>
      <c r="Q8" s="92" cm="1">
        <f t="array" ref="Q8">Tablo3[[#This Row],[HW1]]*$D$43/Tablo11[HW1]+Tablo3[[#This Row],[HW2]]*$E$43/Tablo11[HW2]+Tablo3[[#This Row],[HW3]]*$F$43/Tablo11[HW3]+Tablo3[[#This Row],[HW4]]*$G$43/Tablo11[HW4]+Tablo3[[#This Row],[HW5]]*$H$43/Tablo11[HW5]</f>
        <v>0</v>
      </c>
      <c r="R8" s="92" cm="1">
        <f t="array" ref="R8">Tablo3[[#This Row],[HW1]]*$D$44/Tablo11[HW1]+Tablo3[[#This Row],[HW2]]*$E$44/Tablo11[HW2]+Tablo3[[#This Row],[HW3]]*$F$44/Tablo11[HW3]+Tablo3[[#This Row],[HW4]]*$G$44/Tablo11[HW4]+Tablo3[[#This Row],[HW5]]*$H$44/Tablo11[HW5]</f>
        <v>0</v>
      </c>
      <c r="S8" s="92" cm="1">
        <f t="array" ref="S8">Tablo3[[#This Row],[HW1]]*$D$45/Tablo11[HW1]+Tablo3[[#This Row],[HW2]]*$E$45/Tablo11[HW2]+Tablo3[[#This Row],[HW3]]*$F$45/Tablo11[HW3]+Tablo3[[#This Row],[HW4]]*$G$45/Tablo11[HW4]+Tablo3[[#This Row],[HW5]]*$H$45/Tablo11[HW5]</f>
        <v>0</v>
      </c>
      <c r="T8" s="92" cm="1">
        <f t="array" ref="T8">Tablo3[[#This Row],[HW1]]*$D$46/Tablo11[HW1]+Tablo3[[#This Row],[HW2]]*$E$46/Tablo11[HW2]+Tablo3[[#This Row],[HW3]]*$F$46/Tablo11[HW3]+Tablo3[[#This Row],[HW4]]*$G$46/Tablo11[HW4]+Tablo3[[#This Row],[HW5]]*$H$46/Tablo11[HW5]</f>
        <v>0</v>
      </c>
      <c r="U8" s="92" cm="1">
        <f t="array" ref="U8">Tablo3[[#This Row],[HW1]]*$D$47/Tablo11[HW1]+Tablo3[[#This Row],[HW2]]*$E$47/Tablo11[HW2]+Tablo3[[#This Row],[HW3]]*$F$47/Tablo11[HW3]+Tablo3[[#This Row],[HW4]]*$G$47/Tablo11[HW4]+Tablo3[[#This Row],[HW5]]*$H$47/Tablo11[HW5]</f>
        <v>0</v>
      </c>
      <c r="V8" s="9">
        <f>SUM(Tablo3[[#This Row],[DÇ1]:[DÇ10]])</f>
        <v>52.5</v>
      </c>
      <c r="W8" s="8">
        <f>_xlfn.NORM.DIST(Tablo3[[#This Row],[TOTAL]],$M$60,$N$60,FALSE)</f>
        <v>0.17118965857390353</v>
      </c>
    </row>
    <row r="9" spans="2:23" ht="15.6" thickTop="1" thickBot="1" x14ac:dyDescent="0.35">
      <c r="B9" s="91">
        <v>5</v>
      </c>
      <c r="C9" s="14">
        <v>21</v>
      </c>
      <c r="D9" s="61" t="s">
        <v>110</v>
      </c>
      <c r="E9" s="61" t="s">
        <v>111</v>
      </c>
      <c r="F9" s="5">
        <v>1</v>
      </c>
      <c r="G9" s="5">
        <v>3</v>
      </c>
      <c r="H9" s="5">
        <v>8</v>
      </c>
      <c r="I9" s="5">
        <v>10</v>
      </c>
      <c r="J9" s="5">
        <v>8</v>
      </c>
      <c r="K9" s="8">
        <f>(Tablo3[[#This Row],[HW1]]+Tablo3[[#This Row],[HW2]]+Tablo3[[#This Row],[HW3]]+Tablo3[[#This Row],[HW4]]+Tablo3[[#This Row],[HW5]])/5</f>
        <v>6</v>
      </c>
      <c r="L9" s="8" cm="1">
        <f t="array" ref="L9">Tablo3[[#This Row],[HW1]]*$D$38/Tablo11[HW1]+Tablo3[[#This Row],[HW2]]*$E$38/Tablo11[HW2]+Tablo3[[#This Row],[HW3]]*$F$38/Tablo11[HW3]+Tablo3[[#This Row],[HW4]]*$G$38/Tablo11[HW4]+Tablo3[[#This Row],[HW5]]*$H$38/Tablo11[HW5]</f>
        <v>37.5</v>
      </c>
      <c r="M9" s="8" cm="1">
        <f t="array" ref="M9">Tablo3[[#This Row],[HW1]]*$D$39/Tablo11[HW1]+Tablo3[[#This Row],[HW2]]*$E$39/Tablo11[HW2]+Tablo3[[#This Row],[HW3]]*$F$39/Tablo11[HW3]+Tablo3[[#This Row],[HW4]]*$G$39/Tablo11[HW4]+Tablo3[[#This Row],[HW5]]*$H$39/Tablo11[HW5]</f>
        <v>3</v>
      </c>
      <c r="N9" s="8" cm="1">
        <f t="array" ref="N9">Tablo3[[#This Row],[HW1]]*$D$40/Tablo11[HW1]+Tablo3[[#This Row],[HW2]]*$E$40/Tablo11[HW2]+Tablo3[[#This Row],[HW3]]*$F$40/Tablo11[HW3]+Tablo3[[#This Row],[HW4]]*$G$40/Tablo11[HW4]+Tablo3[[#This Row],[HW5]]*$H$40/Tablo11[HW5]</f>
        <v>11</v>
      </c>
      <c r="O9" s="8" cm="1">
        <f t="array" ref="O9">Tablo3[[#This Row],[HW1]]*$D$41/Tablo11[HW1]+Tablo3[[#This Row],[HW2]]*$E$41/Tablo11[HW2]+Tablo3[[#This Row],[HW3]]*$F$41/Tablo11[HW3]+Tablo3[[#This Row],[HW4]]*$G$41/Tablo11[HW4]+Tablo3[[#This Row],[HW5]]*$H$41/Tablo11[HW5]</f>
        <v>1</v>
      </c>
      <c r="P9" s="92" cm="1">
        <f t="array" ref="P9">Tablo3[[#This Row],[HW1]]*$D$42/Tablo11[HW1]+Tablo3[[#This Row],[HW2]]*$E$42/Tablo11[HW2]+Tablo3[[#This Row],[HW3]]*$F$42/Tablo11[HW3]+Tablo3[[#This Row],[HW4]]*$G$42/Tablo11[HW4]+Tablo3[[#This Row],[HW5]]*$H$42/Tablo11[HW5]</f>
        <v>0</v>
      </c>
      <c r="Q9" s="92" cm="1">
        <f t="array" ref="Q9">Tablo3[[#This Row],[HW1]]*$D$43/Tablo11[HW1]+Tablo3[[#This Row],[HW2]]*$E$43/Tablo11[HW2]+Tablo3[[#This Row],[HW3]]*$F$43/Tablo11[HW3]+Tablo3[[#This Row],[HW4]]*$G$43/Tablo11[HW4]+Tablo3[[#This Row],[HW5]]*$H$43/Tablo11[HW5]</f>
        <v>0</v>
      </c>
      <c r="R9" s="92" cm="1">
        <f t="array" ref="R9">Tablo3[[#This Row],[HW1]]*$D$44/Tablo11[HW1]+Tablo3[[#This Row],[HW2]]*$E$44/Tablo11[HW2]+Tablo3[[#This Row],[HW3]]*$F$44/Tablo11[HW3]+Tablo3[[#This Row],[HW4]]*$G$44/Tablo11[HW4]+Tablo3[[#This Row],[HW5]]*$H$44/Tablo11[HW5]</f>
        <v>0</v>
      </c>
      <c r="S9" s="92" cm="1">
        <f t="array" ref="S9">Tablo3[[#This Row],[HW1]]*$D$45/Tablo11[HW1]+Tablo3[[#This Row],[HW2]]*$E$45/Tablo11[HW2]+Tablo3[[#This Row],[HW3]]*$F$45/Tablo11[HW3]+Tablo3[[#This Row],[HW4]]*$G$45/Tablo11[HW4]+Tablo3[[#This Row],[HW5]]*$H$45/Tablo11[HW5]</f>
        <v>0</v>
      </c>
      <c r="T9" s="92" cm="1">
        <f t="array" ref="T9">Tablo3[[#This Row],[HW1]]*$D$46/Tablo11[HW1]+Tablo3[[#This Row],[HW2]]*$E$46/Tablo11[HW2]+Tablo3[[#This Row],[HW3]]*$F$46/Tablo11[HW3]+Tablo3[[#This Row],[HW4]]*$G$46/Tablo11[HW4]+Tablo3[[#This Row],[HW5]]*$H$46/Tablo11[HW5]</f>
        <v>0</v>
      </c>
      <c r="U9" s="92" cm="1">
        <f t="array" ref="U9">Tablo3[[#This Row],[HW1]]*$D$47/Tablo11[HW1]+Tablo3[[#This Row],[HW2]]*$E$47/Tablo11[HW2]+Tablo3[[#This Row],[HW3]]*$F$47/Tablo11[HW3]+Tablo3[[#This Row],[HW4]]*$G$47/Tablo11[HW4]+Tablo3[[#This Row],[HW5]]*$H$47/Tablo11[HW5]</f>
        <v>0</v>
      </c>
      <c r="V9" s="9">
        <f>SUM(Tablo3[[#This Row],[DÇ1]:[DÇ10]])</f>
        <v>52.5</v>
      </c>
      <c r="W9" s="8">
        <f>_xlfn.NORM.DIST(Tablo3[[#This Row],[TOTAL]],$M$60,$N$60,FALSE)</f>
        <v>0.17118965857390353</v>
      </c>
    </row>
    <row r="10" spans="2:23" ht="15.6" thickTop="1" thickBot="1" x14ac:dyDescent="0.35">
      <c r="B10" s="93">
        <v>6</v>
      </c>
      <c r="C10" s="14">
        <v>10</v>
      </c>
      <c r="D10" s="61" t="s">
        <v>110</v>
      </c>
      <c r="E10" s="61" t="s">
        <v>111</v>
      </c>
      <c r="F10" s="5">
        <v>4</v>
      </c>
      <c r="G10" s="5">
        <v>1</v>
      </c>
      <c r="H10" s="5">
        <v>8</v>
      </c>
      <c r="I10" s="5">
        <v>8</v>
      </c>
      <c r="J10" s="5">
        <v>8</v>
      </c>
      <c r="K10" s="8">
        <f>(Tablo3[[#This Row],[HW1]]+Tablo3[[#This Row],[HW2]]+Tablo3[[#This Row],[HW3]]+Tablo3[[#This Row],[HW4]]+Tablo3[[#This Row],[HW5]])/5</f>
        <v>5.8</v>
      </c>
      <c r="L10" s="8" cm="1">
        <f t="array" ref="L10">Tablo3[[#This Row],[HW1]]*$D$38/Tablo11[HW1]+Tablo3[[#This Row],[HW2]]*$E$38/Tablo11[HW2]+Tablo3[[#This Row],[HW3]]*$F$38/Tablo11[HW3]+Tablo3[[#This Row],[HW4]]*$G$38/Tablo11[HW4]+Tablo3[[#This Row],[HW5]]*$H$38/Tablo11[HW5]</f>
        <v>32.5</v>
      </c>
      <c r="M10" s="8" cm="1">
        <f t="array" ref="M10">Tablo3[[#This Row],[HW1]]*$D$39/Tablo11[HW1]+Tablo3[[#This Row],[HW2]]*$E$39/Tablo11[HW2]+Tablo3[[#This Row],[HW3]]*$F$39/Tablo11[HW3]+Tablo3[[#This Row],[HW4]]*$G$39/Tablo11[HW4]+Tablo3[[#This Row],[HW5]]*$H$39/Tablo11[HW5]</f>
        <v>1</v>
      </c>
      <c r="N10" s="8" cm="1">
        <f t="array" ref="N10">Tablo3[[#This Row],[HW1]]*$D$40/Tablo11[HW1]+Tablo3[[#This Row],[HW2]]*$E$40/Tablo11[HW2]+Tablo3[[#This Row],[HW3]]*$F$40/Tablo11[HW3]+Tablo3[[#This Row],[HW4]]*$G$40/Tablo11[HW4]+Tablo3[[#This Row],[HW5]]*$H$40/Tablo11[HW5]</f>
        <v>10.5</v>
      </c>
      <c r="O10" s="8" cm="1">
        <f t="array" ref="O10">Tablo3[[#This Row],[HW1]]*$D$41/Tablo11[HW1]+Tablo3[[#This Row],[HW2]]*$E$41/Tablo11[HW2]+Tablo3[[#This Row],[HW3]]*$F$41/Tablo11[HW3]+Tablo3[[#This Row],[HW4]]*$G$41/Tablo11[HW4]+Tablo3[[#This Row],[HW5]]*$H$41/Tablo11[HW5]</f>
        <v>4</v>
      </c>
      <c r="P10" s="92" cm="1">
        <f t="array" ref="P10">Tablo3[[#This Row],[HW1]]*$D$42/Tablo11[HW1]+Tablo3[[#This Row],[HW2]]*$E$42/Tablo11[HW2]+Tablo3[[#This Row],[HW3]]*$F$42/Tablo11[HW3]+Tablo3[[#This Row],[HW4]]*$G$42/Tablo11[HW4]+Tablo3[[#This Row],[HW5]]*$H$42/Tablo11[HW5]</f>
        <v>0</v>
      </c>
      <c r="Q10" s="92" cm="1">
        <f t="array" ref="Q10">Tablo3[[#This Row],[HW1]]*$D$43/Tablo11[HW1]+Tablo3[[#This Row],[HW2]]*$E$43/Tablo11[HW2]+Tablo3[[#This Row],[HW3]]*$F$43/Tablo11[HW3]+Tablo3[[#This Row],[HW4]]*$G$43/Tablo11[HW4]+Tablo3[[#This Row],[HW5]]*$H$43/Tablo11[HW5]</f>
        <v>0</v>
      </c>
      <c r="R10" s="92" cm="1">
        <f t="array" ref="R10">Tablo3[[#This Row],[HW1]]*$D$44/Tablo11[HW1]+Tablo3[[#This Row],[HW2]]*$E$44/Tablo11[HW2]+Tablo3[[#This Row],[HW3]]*$F$44/Tablo11[HW3]+Tablo3[[#This Row],[HW4]]*$G$44/Tablo11[HW4]+Tablo3[[#This Row],[HW5]]*$H$44/Tablo11[HW5]</f>
        <v>0</v>
      </c>
      <c r="S10" s="92" cm="1">
        <f t="array" ref="S10">Tablo3[[#This Row],[HW1]]*$D$45/Tablo11[HW1]+Tablo3[[#This Row],[HW2]]*$E$45/Tablo11[HW2]+Tablo3[[#This Row],[HW3]]*$F$45/Tablo11[HW3]+Tablo3[[#This Row],[HW4]]*$G$45/Tablo11[HW4]+Tablo3[[#This Row],[HW5]]*$H$45/Tablo11[HW5]</f>
        <v>0</v>
      </c>
      <c r="T10" s="92" cm="1">
        <f t="array" ref="T10">Tablo3[[#This Row],[HW1]]*$D$46/Tablo11[HW1]+Tablo3[[#This Row],[HW2]]*$E$46/Tablo11[HW2]+Tablo3[[#This Row],[HW3]]*$F$46/Tablo11[HW3]+Tablo3[[#This Row],[HW4]]*$G$46/Tablo11[HW4]+Tablo3[[#This Row],[HW5]]*$H$46/Tablo11[HW5]</f>
        <v>0</v>
      </c>
      <c r="U10" s="92" cm="1">
        <f t="array" ref="U10">Tablo3[[#This Row],[HW1]]*$D$47/Tablo11[HW1]+Tablo3[[#This Row],[HW2]]*$E$47/Tablo11[HW2]+Tablo3[[#This Row],[HW3]]*$F$47/Tablo11[HW3]+Tablo3[[#This Row],[HW4]]*$G$47/Tablo11[HW4]+Tablo3[[#This Row],[HW5]]*$H$47/Tablo11[HW5]</f>
        <v>0</v>
      </c>
      <c r="V10" s="9">
        <f>SUM(Tablo3[[#This Row],[DÇ1]:[DÇ10]])</f>
        <v>48</v>
      </c>
      <c r="W10" s="8">
        <f>_xlfn.NORM.DIST(Tablo3[[#This Row],[TOTAL]],$M$60,$N$60,FALSE)</f>
        <v>0.18353383297655085</v>
      </c>
    </row>
    <row r="11" spans="2:23" ht="15.6" thickTop="1" thickBot="1" x14ac:dyDescent="0.35">
      <c r="B11" s="91">
        <v>7</v>
      </c>
      <c r="C11" s="14">
        <v>30</v>
      </c>
      <c r="D11" s="61" t="s">
        <v>110</v>
      </c>
      <c r="E11" s="61" t="s">
        <v>111</v>
      </c>
      <c r="F11" s="5">
        <v>3</v>
      </c>
      <c r="G11" s="5">
        <v>2</v>
      </c>
      <c r="H11" s="5">
        <v>8</v>
      </c>
      <c r="I11" s="5">
        <v>8</v>
      </c>
      <c r="J11" s="5">
        <v>8</v>
      </c>
      <c r="K11" s="8">
        <f>(Tablo3[[#This Row],[HW1]]+Tablo3[[#This Row],[HW2]]+Tablo3[[#This Row],[HW3]]+Tablo3[[#This Row],[HW4]]+Tablo3[[#This Row],[HW5]])/5</f>
        <v>5.8</v>
      </c>
      <c r="L11" s="8" cm="1">
        <f t="array" ref="L11">Tablo3[[#This Row],[HW1]]*$D$38/Tablo11[HW1]+Tablo3[[#This Row],[HW2]]*$E$38/Tablo11[HW2]+Tablo3[[#This Row],[HW3]]*$F$38/Tablo11[HW3]+Tablo3[[#This Row],[HW4]]*$G$38/Tablo11[HW4]+Tablo3[[#This Row],[HW5]]*$H$38/Tablo11[HW5]</f>
        <v>33</v>
      </c>
      <c r="M11" s="8" cm="1">
        <f t="array" ref="M11">Tablo3[[#This Row],[HW1]]*$D$39/Tablo11[HW1]+Tablo3[[#This Row],[HW2]]*$E$39/Tablo11[HW2]+Tablo3[[#This Row],[HW3]]*$F$39/Tablo11[HW3]+Tablo3[[#This Row],[HW4]]*$G$39/Tablo11[HW4]+Tablo3[[#This Row],[HW5]]*$H$39/Tablo11[HW5]</f>
        <v>2</v>
      </c>
      <c r="N11" s="8" cm="1">
        <f t="array" ref="N11">Tablo3[[#This Row],[HW1]]*$D$40/Tablo11[HW1]+Tablo3[[#This Row],[HW2]]*$E$40/Tablo11[HW2]+Tablo3[[#This Row],[HW3]]*$F$40/Tablo11[HW3]+Tablo3[[#This Row],[HW4]]*$G$40/Tablo11[HW4]+Tablo3[[#This Row],[HW5]]*$H$40/Tablo11[HW5]</f>
        <v>10.5</v>
      </c>
      <c r="O11" s="8" cm="1">
        <f t="array" ref="O11">Tablo3[[#This Row],[HW1]]*$D$41/Tablo11[HW1]+Tablo3[[#This Row],[HW2]]*$E$41/Tablo11[HW2]+Tablo3[[#This Row],[HW3]]*$F$41/Tablo11[HW3]+Tablo3[[#This Row],[HW4]]*$G$41/Tablo11[HW4]+Tablo3[[#This Row],[HW5]]*$H$41/Tablo11[HW5]</f>
        <v>3</v>
      </c>
      <c r="P11" s="92" cm="1">
        <f t="array" ref="P11">Tablo3[[#This Row],[HW1]]*$D$42/Tablo11[HW1]+Tablo3[[#This Row],[HW2]]*$E$42/Tablo11[HW2]+Tablo3[[#This Row],[HW3]]*$F$42/Tablo11[HW3]+Tablo3[[#This Row],[HW4]]*$G$42/Tablo11[HW4]+Tablo3[[#This Row],[HW5]]*$H$42/Tablo11[HW5]</f>
        <v>0</v>
      </c>
      <c r="Q11" s="92" cm="1">
        <f t="array" ref="Q11">Tablo3[[#This Row],[HW1]]*$D$43/Tablo11[HW1]+Tablo3[[#This Row],[HW2]]*$E$43/Tablo11[HW2]+Tablo3[[#This Row],[HW3]]*$F$43/Tablo11[HW3]+Tablo3[[#This Row],[HW4]]*$G$43/Tablo11[HW4]+Tablo3[[#This Row],[HW5]]*$H$43/Tablo11[HW5]</f>
        <v>0</v>
      </c>
      <c r="R11" s="92" cm="1">
        <f t="array" ref="R11">Tablo3[[#This Row],[HW1]]*$D$44/Tablo11[HW1]+Tablo3[[#This Row],[HW2]]*$E$44/Tablo11[HW2]+Tablo3[[#This Row],[HW3]]*$F$44/Tablo11[HW3]+Tablo3[[#This Row],[HW4]]*$G$44/Tablo11[HW4]+Tablo3[[#This Row],[HW5]]*$H$44/Tablo11[HW5]</f>
        <v>0</v>
      </c>
      <c r="S11" s="92" cm="1">
        <f t="array" ref="S11">Tablo3[[#This Row],[HW1]]*$D$45/Tablo11[HW1]+Tablo3[[#This Row],[HW2]]*$E$45/Tablo11[HW2]+Tablo3[[#This Row],[HW3]]*$F$45/Tablo11[HW3]+Tablo3[[#This Row],[HW4]]*$G$45/Tablo11[HW4]+Tablo3[[#This Row],[HW5]]*$H$45/Tablo11[HW5]</f>
        <v>0</v>
      </c>
      <c r="T11" s="92" cm="1">
        <f t="array" ref="T11">Tablo3[[#This Row],[HW1]]*$D$46/Tablo11[HW1]+Tablo3[[#This Row],[HW2]]*$E$46/Tablo11[HW2]+Tablo3[[#This Row],[HW3]]*$F$46/Tablo11[HW3]+Tablo3[[#This Row],[HW4]]*$G$46/Tablo11[HW4]+Tablo3[[#This Row],[HW5]]*$H$46/Tablo11[HW5]</f>
        <v>0</v>
      </c>
      <c r="U11" s="92" cm="1">
        <f t="array" ref="U11">Tablo3[[#This Row],[HW1]]*$D$47/Tablo11[HW1]+Tablo3[[#This Row],[HW2]]*$E$47/Tablo11[HW2]+Tablo3[[#This Row],[HW3]]*$F$47/Tablo11[HW3]+Tablo3[[#This Row],[HW4]]*$G$47/Tablo11[HW4]+Tablo3[[#This Row],[HW5]]*$H$47/Tablo11[HW5]</f>
        <v>0</v>
      </c>
      <c r="V11" s="9">
        <f>SUM(Tablo3[[#This Row],[DÇ1]:[DÇ10]])</f>
        <v>48.5</v>
      </c>
      <c r="W11" s="8">
        <f>_xlfn.NORM.DIST(Tablo3[[#This Row],[TOTAL]],$M$60,$N$60,FALSE)</f>
        <v>0.18353383297655085</v>
      </c>
    </row>
    <row r="12" spans="2:23" ht="15.6" thickTop="1" thickBot="1" x14ac:dyDescent="0.35">
      <c r="B12" s="93">
        <v>8</v>
      </c>
      <c r="C12" s="14">
        <v>1</v>
      </c>
      <c r="D12" s="61" t="s">
        <v>110</v>
      </c>
      <c r="E12" s="61" t="s">
        <v>111</v>
      </c>
      <c r="F12" s="5">
        <v>5</v>
      </c>
      <c r="G12" s="5">
        <v>2</v>
      </c>
      <c r="H12" s="5">
        <v>7</v>
      </c>
      <c r="I12" s="5">
        <v>8</v>
      </c>
      <c r="J12" s="5">
        <v>6</v>
      </c>
      <c r="K12" s="8">
        <f>(Tablo3[[#This Row],[HW1]]+Tablo3[[#This Row],[HW2]]+Tablo3[[#This Row],[HW3]]+Tablo3[[#This Row],[HW4]]+Tablo3[[#This Row],[HW5]])/5</f>
        <v>5.6</v>
      </c>
      <c r="L12" s="8" cm="1">
        <f t="array" ref="L12">Tablo3[[#This Row],[HW1]]*$D$38/Tablo11[HW1]+Tablo3[[#This Row],[HW2]]*$E$38/Tablo11[HW2]+Tablo3[[#This Row],[HW3]]*$F$38/Tablo11[HW3]+Tablo3[[#This Row],[HW4]]*$G$38/Tablo11[HW4]+Tablo3[[#This Row],[HW5]]*$H$38/Tablo11[HW5]</f>
        <v>30</v>
      </c>
      <c r="M12" s="8" cm="1">
        <f t="array" ref="M12">Tablo3[[#This Row],[HW1]]*$D$39/Tablo11[HW1]+Tablo3[[#This Row],[HW2]]*$E$39/Tablo11[HW2]+Tablo3[[#This Row],[HW3]]*$F$39/Tablo11[HW3]+Tablo3[[#This Row],[HW4]]*$G$39/Tablo11[HW4]+Tablo3[[#This Row],[HW5]]*$H$39/Tablo11[HW5]</f>
        <v>2</v>
      </c>
      <c r="N12" s="8" cm="1">
        <f t="array" ref="N12">Tablo3[[#This Row],[HW1]]*$D$40/Tablo11[HW1]+Tablo3[[#This Row],[HW2]]*$E$40/Tablo11[HW2]+Tablo3[[#This Row],[HW3]]*$F$40/Tablo11[HW3]+Tablo3[[#This Row],[HW4]]*$G$40/Tablo11[HW4]+Tablo3[[#This Row],[HW5]]*$H$40/Tablo11[HW5]</f>
        <v>10.5</v>
      </c>
      <c r="O12" s="8" cm="1">
        <f t="array" ref="O12">Tablo3[[#This Row],[HW1]]*$D$41/Tablo11[HW1]+Tablo3[[#This Row],[HW2]]*$E$41/Tablo11[HW2]+Tablo3[[#This Row],[HW3]]*$F$41/Tablo11[HW3]+Tablo3[[#This Row],[HW4]]*$G$41/Tablo11[HW4]+Tablo3[[#This Row],[HW5]]*$H$41/Tablo11[HW5]</f>
        <v>5</v>
      </c>
      <c r="P12" s="92" cm="1">
        <f t="array" ref="P12">Tablo3[[#This Row],[HW1]]*$D$42/Tablo11[HW1]+Tablo3[[#This Row],[HW2]]*$E$42/Tablo11[HW2]+Tablo3[[#This Row],[HW3]]*$F$42/Tablo11[HW3]+Tablo3[[#This Row],[HW4]]*$G$42/Tablo11[HW4]+Tablo3[[#This Row],[HW5]]*$H$42/Tablo11[HW5]</f>
        <v>0</v>
      </c>
      <c r="Q12" s="92" cm="1">
        <f t="array" ref="Q12">Tablo3[[#This Row],[HW1]]*$D$43/Tablo11[HW1]+Tablo3[[#This Row],[HW2]]*$E$43/Tablo11[HW2]+Tablo3[[#This Row],[HW3]]*$F$43/Tablo11[HW3]+Tablo3[[#This Row],[HW4]]*$G$43/Tablo11[HW4]+Tablo3[[#This Row],[HW5]]*$H$43/Tablo11[HW5]</f>
        <v>0</v>
      </c>
      <c r="R12" s="92" cm="1">
        <f t="array" ref="R12">Tablo3[[#This Row],[HW1]]*$D$44/Tablo11[HW1]+Tablo3[[#This Row],[HW2]]*$E$44/Tablo11[HW2]+Tablo3[[#This Row],[HW3]]*$F$44/Tablo11[HW3]+Tablo3[[#This Row],[HW4]]*$G$44/Tablo11[HW4]+Tablo3[[#This Row],[HW5]]*$H$44/Tablo11[HW5]</f>
        <v>0</v>
      </c>
      <c r="S12" s="92" cm="1">
        <f t="array" ref="S12">Tablo3[[#This Row],[HW1]]*$D$45/Tablo11[HW1]+Tablo3[[#This Row],[HW2]]*$E$45/Tablo11[HW2]+Tablo3[[#This Row],[HW3]]*$F$45/Tablo11[HW3]+Tablo3[[#This Row],[HW4]]*$G$45/Tablo11[HW4]+Tablo3[[#This Row],[HW5]]*$H$45/Tablo11[HW5]</f>
        <v>0</v>
      </c>
      <c r="T12" s="92" cm="1">
        <f t="array" ref="T12">Tablo3[[#This Row],[HW1]]*$D$46/Tablo11[HW1]+Tablo3[[#This Row],[HW2]]*$E$46/Tablo11[HW2]+Tablo3[[#This Row],[HW3]]*$F$46/Tablo11[HW3]+Tablo3[[#This Row],[HW4]]*$G$46/Tablo11[HW4]+Tablo3[[#This Row],[HW5]]*$H$46/Tablo11[HW5]</f>
        <v>0</v>
      </c>
      <c r="U12" s="92" cm="1">
        <f t="array" ref="U12">Tablo3[[#This Row],[HW1]]*$D$47/Tablo11[HW1]+Tablo3[[#This Row],[HW2]]*$E$47/Tablo11[HW2]+Tablo3[[#This Row],[HW3]]*$F$47/Tablo11[HW3]+Tablo3[[#This Row],[HW4]]*$G$47/Tablo11[HW4]+Tablo3[[#This Row],[HW5]]*$H$47/Tablo11[HW5]</f>
        <v>0</v>
      </c>
      <c r="V12" s="9">
        <f>SUM(Tablo3[[#This Row],[DÇ1]:[DÇ10]])</f>
        <v>47.5</v>
      </c>
      <c r="W12" s="8">
        <f>_xlfn.NORM.DIST(Tablo3[[#This Row],[TOTAL]],$M$60,$N$60,FALSE)</f>
        <v>0.19444006184996038</v>
      </c>
    </row>
    <row r="13" spans="2:23" ht="15.6" thickTop="1" thickBot="1" x14ac:dyDescent="0.35">
      <c r="B13" s="91">
        <v>9</v>
      </c>
      <c r="C13" s="14">
        <v>24</v>
      </c>
      <c r="D13" s="61" t="s">
        <v>110</v>
      </c>
      <c r="E13" s="61" t="s">
        <v>111</v>
      </c>
      <c r="F13" s="5">
        <v>2</v>
      </c>
      <c r="G13" s="5">
        <v>2</v>
      </c>
      <c r="H13" s="5">
        <v>8</v>
      </c>
      <c r="I13" s="5">
        <v>8</v>
      </c>
      <c r="J13" s="5">
        <v>8</v>
      </c>
      <c r="K13" s="8">
        <f>(Tablo3[[#This Row],[HW1]]+Tablo3[[#This Row],[HW2]]+Tablo3[[#This Row],[HW3]]+Tablo3[[#This Row],[HW4]]+Tablo3[[#This Row],[HW5]])/5</f>
        <v>5.6</v>
      </c>
      <c r="L13" s="8" cm="1">
        <f t="array" ref="L13">Tablo3[[#This Row],[HW1]]*$D$38/Tablo11[HW1]+Tablo3[[#This Row],[HW2]]*$E$38/Tablo11[HW2]+Tablo3[[#This Row],[HW3]]*$F$38/Tablo11[HW3]+Tablo3[[#This Row],[HW4]]*$G$38/Tablo11[HW4]+Tablo3[[#This Row],[HW5]]*$H$38/Tablo11[HW5]</f>
        <v>33</v>
      </c>
      <c r="M13" s="8" cm="1">
        <f t="array" ref="M13">Tablo3[[#This Row],[HW1]]*$D$39/Tablo11[HW1]+Tablo3[[#This Row],[HW2]]*$E$39/Tablo11[HW2]+Tablo3[[#This Row],[HW3]]*$F$39/Tablo11[HW3]+Tablo3[[#This Row],[HW4]]*$G$39/Tablo11[HW4]+Tablo3[[#This Row],[HW5]]*$H$39/Tablo11[HW5]</f>
        <v>2</v>
      </c>
      <c r="N13" s="8" cm="1">
        <f t="array" ref="N13">Tablo3[[#This Row],[HW1]]*$D$40/Tablo11[HW1]+Tablo3[[#This Row],[HW2]]*$E$40/Tablo11[HW2]+Tablo3[[#This Row],[HW3]]*$F$40/Tablo11[HW3]+Tablo3[[#This Row],[HW4]]*$G$40/Tablo11[HW4]+Tablo3[[#This Row],[HW5]]*$H$40/Tablo11[HW5]</f>
        <v>10</v>
      </c>
      <c r="O13" s="8" cm="1">
        <f t="array" ref="O13">Tablo3[[#This Row],[HW1]]*$D$41/Tablo11[HW1]+Tablo3[[#This Row],[HW2]]*$E$41/Tablo11[HW2]+Tablo3[[#This Row],[HW3]]*$F$41/Tablo11[HW3]+Tablo3[[#This Row],[HW4]]*$G$41/Tablo11[HW4]+Tablo3[[#This Row],[HW5]]*$H$41/Tablo11[HW5]</f>
        <v>2</v>
      </c>
      <c r="P13" s="92" cm="1">
        <f t="array" ref="P13">Tablo3[[#This Row],[HW1]]*$D$42/Tablo11[HW1]+Tablo3[[#This Row],[HW2]]*$E$42/Tablo11[HW2]+Tablo3[[#This Row],[HW3]]*$F$42/Tablo11[HW3]+Tablo3[[#This Row],[HW4]]*$G$42/Tablo11[HW4]+Tablo3[[#This Row],[HW5]]*$H$42/Tablo11[HW5]</f>
        <v>0</v>
      </c>
      <c r="Q13" s="92" cm="1">
        <f t="array" ref="Q13">Tablo3[[#This Row],[HW1]]*$D$43/Tablo11[HW1]+Tablo3[[#This Row],[HW2]]*$E$43/Tablo11[HW2]+Tablo3[[#This Row],[HW3]]*$F$43/Tablo11[HW3]+Tablo3[[#This Row],[HW4]]*$G$43/Tablo11[HW4]+Tablo3[[#This Row],[HW5]]*$H$43/Tablo11[HW5]</f>
        <v>0</v>
      </c>
      <c r="R13" s="92" cm="1">
        <f t="array" ref="R13">Tablo3[[#This Row],[HW1]]*$D$44/Tablo11[HW1]+Tablo3[[#This Row],[HW2]]*$E$44/Tablo11[HW2]+Tablo3[[#This Row],[HW3]]*$F$44/Tablo11[HW3]+Tablo3[[#This Row],[HW4]]*$G$44/Tablo11[HW4]+Tablo3[[#This Row],[HW5]]*$H$44/Tablo11[HW5]</f>
        <v>0</v>
      </c>
      <c r="S13" s="92" cm="1">
        <f t="array" ref="S13">Tablo3[[#This Row],[HW1]]*$D$45/Tablo11[HW1]+Tablo3[[#This Row],[HW2]]*$E$45/Tablo11[HW2]+Tablo3[[#This Row],[HW3]]*$F$45/Tablo11[HW3]+Tablo3[[#This Row],[HW4]]*$G$45/Tablo11[HW4]+Tablo3[[#This Row],[HW5]]*$H$45/Tablo11[HW5]</f>
        <v>0</v>
      </c>
      <c r="T13" s="92" cm="1">
        <f t="array" ref="T13">Tablo3[[#This Row],[HW1]]*$D$46/Tablo11[HW1]+Tablo3[[#This Row],[HW2]]*$E$46/Tablo11[HW2]+Tablo3[[#This Row],[HW3]]*$F$46/Tablo11[HW3]+Tablo3[[#This Row],[HW4]]*$G$46/Tablo11[HW4]+Tablo3[[#This Row],[HW5]]*$H$46/Tablo11[HW5]</f>
        <v>0</v>
      </c>
      <c r="U13" s="92" cm="1">
        <f t="array" ref="U13">Tablo3[[#This Row],[HW1]]*$D$47/Tablo11[HW1]+Tablo3[[#This Row],[HW2]]*$E$47/Tablo11[HW2]+Tablo3[[#This Row],[HW3]]*$F$47/Tablo11[HW3]+Tablo3[[#This Row],[HW4]]*$G$47/Tablo11[HW4]+Tablo3[[#This Row],[HW5]]*$H$47/Tablo11[HW5]</f>
        <v>0</v>
      </c>
      <c r="V13" s="9">
        <f>SUM(Tablo3[[#This Row],[DÇ1]:[DÇ10]])</f>
        <v>47</v>
      </c>
      <c r="W13" s="8">
        <f>_xlfn.NORM.DIST(Tablo3[[#This Row],[TOTAL]],$M$60,$N$60,FALSE)</f>
        <v>0.19444006184996038</v>
      </c>
    </row>
    <row r="14" spans="2:23" ht="15.6" thickTop="1" thickBot="1" x14ac:dyDescent="0.35">
      <c r="B14" s="93">
        <v>10</v>
      </c>
      <c r="C14" s="14">
        <v>7</v>
      </c>
      <c r="D14" s="61" t="s">
        <v>110</v>
      </c>
      <c r="E14" s="61" t="s">
        <v>111</v>
      </c>
      <c r="F14" s="5">
        <v>1</v>
      </c>
      <c r="G14" s="5">
        <v>1</v>
      </c>
      <c r="H14" s="5">
        <v>9</v>
      </c>
      <c r="I14" s="5">
        <v>8</v>
      </c>
      <c r="J14" s="5">
        <v>8</v>
      </c>
      <c r="K14" s="8">
        <f>(Tablo3[[#This Row],[HW1]]+Tablo3[[#This Row],[HW2]]+Tablo3[[#This Row],[HW3]]+Tablo3[[#This Row],[HW4]]+Tablo3[[#This Row],[HW5]])/5</f>
        <v>5.4</v>
      </c>
      <c r="L14" s="8" cm="1">
        <f t="array" ref="L14">Tablo3[[#This Row],[HW1]]*$D$38/Tablo11[HW1]+Tablo3[[#This Row],[HW2]]*$E$38/Tablo11[HW2]+Tablo3[[#This Row],[HW3]]*$F$38/Tablo11[HW3]+Tablo3[[#This Row],[HW4]]*$G$38/Tablo11[HW4]+Tablo3[[#This Row],[HW5]]*$H$38/Tablo11[HW5]</f>
        <v>33.5</v>
      </c>
      <c r="M14" s="8" cm="1">
        <f t="array" ref="M14">Tablo3[[#This Row],[HW1]]*$D$39/Tablo11[HW1]+Tablo3[[#This Row],[HW2]]*$E$39/Tablo11[HW2]+Tablo3[[#This Row],[HW3]]*$F$39/Tablo11[HW3]+Tablo3[[#This Row],[HW4]]*$G$39/Tablo11[HW4]+Tablo3[[#This Row],[HW5]]*$H$39/Tablo11[HW5]</f>
        <v>1</v>
      </c>
      <c r="N14" s="8" cm="1">
        <f t="array" ref="N14">Tablo3[[#This Row],[HW1]]*$D$40/Tablo11[HW1]+Tablo3[[#This Row],[HW2]]*$E$40/Tablo11[HW2]+Tablo3[[#This Row],[HW3]]*$F$40/Tablo11[HW3]+Tablo3[[#This Row],[HW4]]*$G$40/Tablo11[HW4]+Tablo3[[#This Row],[HW5]]*$H$40/Tablo11[HW5]</f>
        <v>9</v>
      </c>
      <c r="O14" s="8" cm="1">
        <f t="array" ref="O14">Tablo3[[#This Row],[HW1]]*$D$41/Tablo11[HW1]+Tablo3[[#This Row],[HW2]]*$E$41/Tablo11[HW2]+Tablo3[[#This Row],[HW3]]*$F$41/Tablo11[HW3]+Tablo3[[#This Row],[HW4]]*$G$41/Tablo11[HW4]+Tablo3[[#This Row],[HW5]]*$H$41/Tablo11[HW5]</f>
        <v>1</v>
      </c>
      <c r="P14" s="92" cm="1">
        <f t="array" ref="P14">Tablo3[[#This Row],[HW1]]*$D$42/Tablo11[HW1]+Tablo3[[#This Row],[HW2]]*$E$42/Tablo11[HW2]+Tablo3[[#This Row],[HW3]]*$F$42/Tablo11[HW3]+Tablo3[[#This Row],[HW4]]*$G$42/Tablo11[HW4]+Tablo3[[#This Row],[HW5]]*$H$42/Tablo11[HW5]</f>
        <v>0</v>
      </c>
      <c r="Q14" s="92" cm="1">
        <f t="array" ref="Q14">Tablo3[[#This Row],[HW1]]*$D$43/Tablo11[HW1]+Tablo3[[#This Row],[HW2]]*$E$43/Tablo11[HW2]+Tablo3[[#This Row],[HW3]]*$F$43/Tablo11[HW3]+Tablo3[[#This Row],[HW4]]*$G$43/Tablo11[HW4]+Tablo3[[#This Row],[HW5]]*$H$43/Tablo11[HW5]</f>
        <v>0</v>
      </c>
      <c r="R14" s="92" cm="1">
        <f t="array" ref="R14">Tablo3[[#This Row],[HW1]]*$D$44/Tablo11[HW1]+Tablo3[[#This Row],[HW2]]*$E$44/Tablo11[HW2]+Tablo3[[#This Row],[HW3]]*$F$44/Tablo11[HW3]+Tablo3[[#This Row],[HW4]]*$G$44/Tablo11[HW4]+Tablo3[[#This Row],[HW5]]*$H$44/Tablo11[HW5]</f>
        <v>0</v>
      </c>
      <c r="S14" s="92" cm="1">
        <f t="array" ref="S14">Tablo3[[#This Row],[HW1]]*$D$45/Tablo11[HW1]+Tablo3[[#This Row],[HW2]]*$E$45/Tablo11[HW2]+Tablo3[[#This Row],[HW3]]*$F$45/Tablo11[HW3]+Tablo3[[#This Row],[HW4]]*$G$45/Tablo11[HW4]+Tablo3[[#This Row],[HW5]]*$H$45/Tablo11[HW5]</f>
        <v>0</v>
      </c>
      <c r="T14" s="92" cm="1">
        <f t="array" ref="T14">Tablo3[[#This Row],[HW1]]*$D$46/Tablo11[HW1]+Tablo3[[#This Row],[HW2]]*$E$46/Tablo11[HW2]+Tablo3[[#This Row],[HW3]]*$F$46/Tablo11[HW3]+Tablo3[[#This Row],[HW4]]*$G$46/Tablo11[HW4]+Tablo3[[#This Row],[HW5]]*$H$46/Tablo11[HW5]</f>
        <v>0</v>
      </c>
      <c r="U14" s="92" cm="1">
        <f t="array" ref="U14">Tablo3[[#This Row],[HW1]]*$D$47/Tablo11[HW1]+Tablo3[[#This Row],[HW2]]*$E$47/Tablo11[HW2]+Tablo3[[#This Row],[HW3]]*$F$47/Tablo11[HW3]+Tablo3[[#This Row],[HW4]]*$G$47/Tablo11[HW4]+Tablo3[[#This Row],[HW5]]*$H$47/Tablo11[HW5]</f>
        <v>0</v>
      </c>
      <c r="V14" s="9">
        <f>SUM(Tablo3[[#This Row],[DÇ1]:[DÇ10]])</f>
        <v>44.5</v>
      </c>
      <c r="W14" s="8">
        <f>_xlfn.NORM.DIST(Tablo3[[#This Row],[TOTAL]],$M$60,$N$60,FALSE)</f>
        <v>0.20355715552652953</v>
      </c>
    </row>
    <row r="15" spans="2:23" ht="15.6" thickTop="1" thickBot="1" x14ac:dyDescent="0.35">
      <c r="B15" s="91">
        <v>11</v>
      </c>
      <c r="C15" s="14">
        <v>8</v>
      </c>
      <c r="D15" s="61" t="s">
        <v>110</v>
      </c>
      <c r="E15" s="61" t="s">
        <v>111</v>
      </c>
      <c r="F15" s="5">
        <v>1</v>
      </c>
      <c r="G15" s="5">
        <v>1</v>
      </c>
      <c r="H15" s="5">
        <v>9</v>
      </c>
      <c r="I15" s="5">
        <v>10</v>
      </c>
      <c r="J15" s="5">
        <v>6</v>
      </c>
      <c r="K15" s="8">
        <f>(Tablo3[[#This Row],[HW1]]+Tablo3[[#This Row],[HW2]]+Tablo3[[#This Row],[HW3]]+Tablo3[[#This Row],[HW4]]+Tablo3[[#This Row],[HW5]])/5</f>
        <v>5.4</v>
      </c>
      <c r="L15" s="8" cm="1">
        <f t="array" ref="L15">Tablo3[[#This Row],[HW1]]*$D$38/Tablo11[HW1]+Tablo3[[#This Row],[HW2]]*$E$38/Tablo11[HW2]+Tablo3[[#This Row],[HW3]]*$F$38/Tablo11[HW3]+Tablo3[[#This Row],[HW4]]*$G$38/Tablo11[HW4]+Tablo3[[#This Row],[HW5]]*$H$38/Tablo11[HW5]</f>
        <v>35.5</v>
      </c>
      <c r="M15" s="8" cm="1">
        <f t="array" ref="M15">Tablo3[[#This Row],[HW1]]*$D$39/Tablo11[HW1]+Tablo3[[#This Row],[HW2]]*$E$39/Tablo11[HW2]+Tablo3[[#This Row],[HW3]]*$F$39/Tablo11[HW3]+Tablo3[[#This Row],[HW4]]*$G$39/Tablo11[HW4]+Tablo3[[#This Row],[HW5]]*$H$39/Tablo11[HW5]</f>
        <v>1</v>
      </c>
      <c r="N15" s="8" cm="1">
        <f t="array" ref="N15">Tablo3[[#This Row],[HW1]]*$D$40/Tablo11[HW1]+Tablo3[[#This Row],[HW2]]*$E$40/Tablo11[HW2]+Tablo3[[#This Row],[HW3]]*$F$40/Tablo11[HW3]+Tablo3[[#This Row],[HW4]]*$G$40/Tablo11[HW4]+Tablo3[[#This Row],[HW5]]*$H$40/Tablo11[HW5]</f>
        <v>9</v>
      </c>
      <c r="O15" s="8" cm="1">
        <f t="array" ref="O15">Tablo3[[#This Row],[HW1]]*$D$41/Tablo11[HW1]+Tablo3[[#This Row],[HW2]]*$E$41/Tablo11[HW2]+Tablo3[[#This Row],[HW3]]*$F$41/Tablo11[HW3]+Tablo3[[#This Row],[HW4]]*$G$41/Tablo11[HW4]+Tablo3[[#This Row],[HW5]]*$H$41/Tablo11[HW5]</f>
        <v>1</v>
      </c>
      <c r="P15" s="92" cm="1">
        <f t="array" ref="P15">Tablo3[[#This Row],[HW1]]*$D$42/Tablo11[HW1]+Tablo3[[#This Row],[HW2]]*$E$42/Tablo11[HW2]+Tablo3[[#This Row],[HW3]]*$F$42/Tablo11[HW3]+Tablo3[[#This Row],[HW4]]*$G$42/Tablo11[HW4]+Tablo3[[#This Row],[HW5]]*$H$42/Tablo11[HW5]</f>
        <v>0</v>
      </c>
      <c r="Q15" s="92" cm="1">
        <f t="array" ref="Q15">Tablo3[[#This Row],[HW1]]*$D$43/Tablo11[HW1]+Tablo3[[#This Row],[HW2]]*$E$43/Tablo11[HW2]+Tablo3[[#This Row],[HW3]]*$F$43/Tablo11[HW3]+Tablo3[[#This Row],[HW4]]*$G$43/Tablo11[HW4]+Tablo3[[#This Row],[HW5]]*$H$43/Tablo11[HW5]</f>
        <v>0</v>
      </c>
      <c r="R15" s="92" cm="1">
        <f t="array" ref="R15">Tablo3[[#This Row],[HW1]]*$D$44/Tablo11[HW1]+Tablo3[[#This Row],[HW2]]*$E$44/Tablo11[HW2]+Tablo3[[#This Row],[HW3]]*$F$44/Tablo11[HW3]+Tablo3[[#This Row],[HW4]]*$G$44/Tablo11[HW4]+Tablo3[[#This Row],[HW5]]*$H$44/Tablo11[HW5]</f>
        <v>0</v>
      </c>
      <c r="S15" s="92" cm="1">
        <f t="array" ref="S15">Tablo3[[#This Row],[HW1]]*$D$45/Tablo11[HW1]+Tablo3[[#This Row],[HW2]]*$E$45/Tablo11[HW2]+Tablo3[[#This Row],[HW3]]*$F$45/Tablo11[HW3]+Tablo3[[#This Row],[HW4]]*$G$45/Tablo11[HW4]+Tablo3[[#This Row],[HW5]]*$H$45/Tablo11[HW5]</f>
        <v>0</v>
      </c>
      <c r="T15" s="92" cm="1">
        <f t="array" ref="T15">Tablo3[[#This Row],[HW1]]*$D$46/Tablo11[HW1]+Tablo3[[#This Row],[HW2]]*$E$46/Tablo11[HW2]+Tablo3[[#This Row],[HW3]]*$F$46/Tablo11[HW3]+Tablo3[[#This Row],[HW4]]*$G$46/Tablo11[HW4]+Tablo3[[#This Row],[HW5]]*$H$46/Tablo11[HW5]</f>
        <v>0</v>
      </c>
      <c r="U15" s="92" cm="1">
        <f t="array" ref="U15">Tablo3[[#This Row],[HW1]]*$D$47/Tablo11[HW1]+Tablo3[[#This Row],[HW2]]*$E$47/Tablo11[HW2]+Tablo3[[#This Row],[HW3]]*$F$47/Tablo11[HW3]+Tablo3[[#This Row],[HW4]]*$G$47/Tablo11[HW4]+Tablo3[[#This Row],[HW5]]*$H$47/Tablo11[HW5]</f>
        <v>0</v>
      </c>
      <c r="V15" s="9">
        <f>SUM(Tablo3[[#This Row],[DÇ1]:[DÇ10]])</f>
        <v>46.5</v>
      </c>
      <c r="W15" s="8">
        <f>_xlfn.NORM.DIST(Tablo3[[#This Row],[TOTAL]],$M$60,$N$60,FALSE)</f>
        <v>0.20355715552652953</v>
      </c>
    </row>
    <row r="16" spans="2:23" ht="15.6" thickTop="1" thickBot="1" x14ac:dyDescent="0.35">
      <c r="B16" s="93">
        <v>12</v>
      </c>
      <c r="C16" s="14">
        <v>26</v>
      </c>
      <c r="D16" s="61" t="s">
        <v>110</v>
      </c>
      <c r="E16" s="61" t="s">
        <v>111</v>
      </c>
      <c r="F16" s="5">
        <v>0</v>
      </c>
      <c r="G16" s="5">
        <v>2</v>
      </c>
      <c r="H16" s="5">
        <v>8</v>
      </c>
      <c r="I16" s="5">
        <v>8</v>
      </c>
      <c r="J16" s="5">
        <v>8</v>
      </c>
      <c r="K16" s="8">
        <f>(Tablo3[[#This Row],[HW1]]+Tablo3[[#This Row],[HW2]]+Tablo3[[#This Row],[HW3]]+Tablo3[[#This Row],[HW4]]+Tablo3[[#This Row],[HW5]])/5</f>
        <v>5.2</v>
      </c>
      <c r="L16" s="8" cm="1">
        <f t="array" ref="L16">Tablo3[[#This Row],[HW1]]*$D$38/Tablo11[HW1]+Tablo3[[#This Row],[HW2]]*$E$38/Tablo11[HW2]+Tablo3[[#This Row],[HW3]]*$F$38/Tablo11[HW3]+Tablo3[[#This Row],[HW4]]*$G$38/Tablo11[HW4]+Tablo3[[#This Row],[HW5]]*$H$38/Tablo11[HW5]</f>
        <v>33</v>
      </c>
      <c r="M16" s="8" cm="1">
        <f t="array" ref="M16">Tablo3[[#This Row],[HW1]]*$D$39/Tablo11[HW1]+Tablo3[[#This Row],[HW2]]*$E$39/Tablo11[HW2]+Tablo3[[#This Row],[HW3]]*$F$39/Tablo11[HW3]+Tablo3[[#This Row],[HW4]]*$G$39/Tablo11[HW4]+Tablo3[[#This Row],[HW5]]*$H$39/Tablo11[HW5]</f>
        <v>2</v>
      </c>
      <c r="N16" s="8" cm="1">
        <f t="array" ref="N16">Tablo3[[#This Row],[HW1]]*$D$40/Tablo11[HW1]+Tablo3[[#This Row],[HW2]]*$E$40/Tablo11[HW2]+Tablo3[[#This Row],[HW3]]*$F$40/Tablo11[HW3]+Tablo3[[#This Row],[HW4]]*$G$40/Tablo11[HW4]+Tablo3[[#This Row],[HW5]]*$H$40/Tablo11[HW5]</f>
        <v>9</v>
      </c>
      <c r="O16" s="8" cm="1">
        <f t="array" ref="O16">Tablo3[[#This Row],[HW1]]*$D$41/Tablo11[HW1]+Tablo3[[#This Row],[HW2]]*$E$41/Tablo11[HW2]+Tablo3[[#This Row],[HW3]]*$F$41/Tablo11[HW3]+Tablo3[[#This Row],[HW4]]*$G$41/Tablo11[HW4]+Tablo3[[#This Row],[HW5]]*$H$41/Tablo11[HW5]</f>
        <v>0</v>
      </c>
      <c r="P16" s="92" cm="1">
        <f t="array" ref="P16">Tablo3[[#This Row],[HW1]]*$D$42/Tablo11[HW1]+Tablo3[[#This Row],[HW2]]*$E$42/Tablo11[HW2]+Tablo3[[#This Row],[HW3]]*$F$42/Tablo11[HW3]+Tablo3[[#This Row],[HW4]]*$G$42/Tablo11[HW4]+Tablo3[[#This Row],[HW5]]*$H$42/Tablo11[HW5]</f>
        <v>0</v>
      </c>
      <c r="Q16" s="92" cm="1">
        <f t="array" ref="Q16">Tablo3[[#This Row],[HW1]]*$D$43/Tablo11[HW1]+Tablo3[[#This Row],[HW2]]*$E$43/Tablo11[HW2]+Tablo3[[#This Row],[HW3]]*$F$43/Tablo11[HW3]+Tablo3[[#This Row],[HW4]]*$G$43/Tablo11[HW4]+Tablo3[[#This Row],[HW5]]*$H$43/Tablo11[HW5]</f>
        <v>0</v>
      </c>
      <c r="R16" s="92" cm="1">
        <f t="array" ref="R16">Tablo3[[#This Row],[HW1]]*$D$44/Tablo11[HW1]+Tablo3[[#This Row],[HW2]]*$E$44/Tablo11[HW2]+Tablo3[[#This Row],[HW3]]*$F$44/Tablo11[HW3]+Tablo3[[#This Row],[HW4]]*$G$44/Tablo11[HW4]+Tablo3[[#This Row],[HW5]]*$H$44/Tablo11[HW5]</f>
        <v>0</v>
      </c>
      <c r="S16" s="92" cm="1">
        <f t="array" ref="S16">Tablo3[[#This Row],[HW1]]*$D$45/Tablo11[HW1]+Tablo3[[#This Row],[HW2]]*$E$45/Tablo11[HW2]+Tablo3[[#This Row],[HW3]]*$F$45/Tablo11[HW3]+Tablo3[[#This Row],[HW4]]*$G$45/Tablo11[HW4]+Tablo3[[#This Row],[HW5]]*$H$45/Tablo11[HW5]</f>
        <v>0</v>
      </c>
      <c r="T16" s="92" cm="1">
        <f t="array" ref="T16">Tablo3[[#This Row],[HW1]]*$D$46/Tablo11[HW1]+Tablo3[[#This Row],[HW2]]*$E$46/Tablo11[HW2]+Tablo3[[#This Row],[HW3]]*$F$46/Tablo11[HW3]+Tablo3[[#This Row],[HW4]]*$G$46/Tablo11[HW4]+Tablo3[[#This Row],[HW5]]*$H$46/Tablo11[HW5]</f>
        <v>0</v>
      </c>
      <c r="U16" s="92" cm="1">
        <f t="array" ref="U16">Tablo3[[#This Row],[HW1]]*$D$47/Tablo11[HW1]+Tablo3[[#This Row],[HW2]]*$E$47/Tablo11[HW2]+Tablo3[[#This Row],[HW3]]*$F$47/Tablo11[HW3]+Tablo3[[#This Row],[HW4]]*$G$47/Tablo11[HW4]+Tablo3[[#This Row],[HW5]]*$H$47/Tablo11[HW5]</f>
        <v>0</v>
      </c>
      <c r="V16" s="9">
        <f>SUM(Tablo3[[#This Row],[DÇ1]:[DÇ10]])</f>
        <v>44</v>
      </c>
      <c r="W16" s="8">
        <f>_xlfn.NORM.DIST(Tablo3[[#This Row],[TOTAL]],$M$60,$N$60,FALSE)</f>
        <v>0.21058042771243266</v>
      </c>
    </row>
    <row r="17" spans="2:23" ht="15.6" thickTop="1" thickBot="1" x14ac:dyDescent="0.35">
      <c r="B17" s="91">
        <v>13</v>
      </c>
      <c r="C17" s="14">
        <v>4</v>
      </c>
      <c r="D17" s="61" t="s">
        <v>110</v>
      </c>
      <c r="E17" s="61" t="s">
        <v>111</v>
      </c>
      <c r="F17" s="5">
        <v>1</v>
      </c>
      <c r="G17" s="5">
        <v>1</v>
      </c>
      <c r="H17" s="5">
        <v>8</v>
      </c>
      <c r="I17" s="5">
        <v>9</v>
      </c>
      <c r="J17" s="5">
        <v>6</v>
      </c>
      <c r="K17" s="8">
        <f>(Tablo3[[#This Row],[HW1]]+Tablo3[[#This Row],[HW2]]+Tablo3[[#This Row],[HW3]]+Tablo3[[#This Row],[HW4]]+Tablo3[[#This Row],[HW5]])/5</f>
        <v>5</v>
      </c>
      <c r="L17" s="8" cm="1">
        <f t="array" ref="L17">Tablo3[[#This Row],[HW1]]*$D$38/Tablo11[HW1]+Tablo3[[#This Row],[HW2]]*$E$38/Tablo11[HW2]+Tablo3[[#This Row],[HW3]]*$F$38/Tablo11[HW3]+Tablo3[[#This Row],[HW4]]*$G$38/Tablo11[HW4]+Tablo3[[#This Row],[HW5]]*$H$38/Tablo11[HW5]</f>
        <v>32.5</v>
      </c>
      <c r="M17" s="8" cm="1">
        <f t="array" ref="M17">Tablo3[[#This Row],[HW1]]*$D$39/Tablo11[HW1]+Tablo3[[#This Row],[HW2]]*$E$39/Tablo11[HW2]+Tablo3[[#This Row],[HW3]]*$F$39/Tablo11[HW3]+Tablo3[[#This Row],[HW4]]*$G$39/Tablo11[HW4]+Tablo3[[#This Row],[HW5]]*$H$39/Tablo11[HW5]</f>
        <v>1</v>
      </c>
      <c r="N17" s="8" cm="1">
        <f t="array" ref="N17">Tablo3[[#This Row],[HW1]]*$D$40/Tablo11[HW1]+Tablo3[[#This Row],[HW2]]*$E$40/Tablo11[HW2]+Tablo3[[#This Row],[HW3]]*$F$40/Tablo11[HW3]+Tablo3[[#This Row],[HW4]]*$G$40/Tablo11[HW4]+Tablo3[[#This Row],[HW5]]*$H$40/Tablo11[HW5]</f>
        <v>8.5</v>
      </c>
      <c r="O17" s="8" cm="1">
        <f t="array" ref="O17">Tablo3[[#This Row],[HW1]]*$D$41/Tablo11[HW1]+Tablo3[[#This Row],[HW2]]*$E$41/Tablo11[HW2]+Tablo3[[#This Row],[HW3]]*$F$41/Tablo11[HW3]+Tablo3[[#This Row],[HW4]]*$G$41/Tablo11[HW4]+Tablo3[[#This Row],[HW5]]*$H$41/Tablo11[HW5]</f>
        <v>1</v>
      </c>
      <c r="P17" s="92" cm="1">
        <f t="array" ref="P17">Tablo3[[#This Row],[HW1]]*$D$42/Tablo11[HW1]+Tablo3[[#This Row],[HW2]]*$E$42/Tablo11[HW2]+Tablo3[[#This Row],[HW3]]*$F$42/Tablo11[HW3]+Tablo3[[#This Row],[HW4]]*$G$42/Tablo11[HW4]+Tablo3[[#This Row],[HW5]]*$H$42/Tablo11[HW5]</f>
        <v>0</v>
      </c>
      <c r="Q17" s="92" cm="1">
        <f t="array" ref="Q17">Tablo3[[#This Row],[HW1]]*$D$43/Tablo11[HW1]+Tablo3[[#This Row],[HW2]]*$E$43/Tablo11[HW2]+Tablo3[[#This Row],[HW3]]*$F$43/Tablo11[HW3]+Tablo3[[#This Row],[HW4]]*$G$43/Tablo11[HW4]+Tablo3[[#This Row],[HW5]]*$H$43/Tablo11[HW5]</f>
        <v>0</v>
      </c>
      <c r="R17" s="92" cm="1">
        <f t="array" ref="R17">Tablo3[[#This Row],[HW1]]*$D$44/Tablo11[HW1]+Tablo3[[#This Row],[HW2]]*$E$44/Tablo11[HW2]+Tablo3[[#This Row],[HW3]]*$F$44/Tablo11[HW3]+Tablo3[[#This Row],[HW4]]*$G$44/Tablo11[HW4]+Tablo3[[#This Row],[HW5]]*$H$44/Tablo11[HW5]</f>
        <v>0</v>
      </c>
      <c r="S17" s="92" cm="1">
        <f t="array" ref="S17">Tablo3[[#This Row],[HW1]]*$D$45/Tablo11[HW1]+Tablo3[[#This Row],[HW2]]*$E$45/Tablo11[HW2]+Tablo3[[#This Row],[HW3]]*$F$45/Tablo11[HW3]+Tablo3[[#This Row],[HW4]]*$G$45/Tablo11[HW4]+Tablo3[[#This Row],[HW5]]*$H$45/Tablo11[HW5]</f>
        <v>0</v>
      </c>
      <c r="T17" s="92" cm="1">
        <f t="array" ref="T17">Tablo3[[#This Row],[HW1]]*$D$46/Tablo11[HW1]+Tablo3[[#This Row],[HW2]]*$E$46/Tablo11[HW2]+Tablo3[[#This Row],[HW3]]*$F$46/Tablo11[HW3]+Tablo3[[#This Row],[HW4]]*$G$46/Tablo11[HW4]+Tablo3[[#This Row],[HW5]]*$H$46/Tablo11[HW5]</f>
        <v>0</v>
      </c>
      <c r="U17" s="92" cm="1">
        <f t="array" ref="U17">Tablo3[[#This Row],[HW1]]*$D$47/Tablo11[HW1]+Tablo3[[#This Row],[HW2]]*$E$47/Tablo11[HW2]+Tablo3[[#This Row],[HW3]]*$F$47/Tablo11[HW3]+Tablo3[[#This Row],[HW4]]*$G$47/Tablo11[HW4]+Tablo3[[#This Row],[HW5]]*$H$47/Tablo11[HW5]</f>
        <v>0</v>
      </c>
      <c r="V17" s="9">
        <f>SUM(Tablo3[[#This Row],[DÇ1]:[DÇ10]])</f>
        <v>43</v>
      </c>
      <c r="W17" s="8">
        <f>_xlfn.NORM.DIST(Tablo3[[#This Row],[TOTAL]],$M$60,$N$60,FALSE)</f>
        <v>0.21526857722768813</v>
      </c>
    </row>
    <row r="18" spans="2:23" ht="15.6" thickTop="1" thickBot="1" x14ac:dyDescent="0.35">
      <c r="B18" s="93">
        <v>14</v>
      </c>
      <c r="C18" s="14">
        <v>12</v>
      </c>
      <c r="D18" s="61" t="s">
        <v>110</v>
      </c>
      <c r="E18" s="61" t="s">
        <v>111</v>
      </c>
      <c r="F18" s="5">
        <v>0</v>
      </c>
      <c r="G18" s="5">
        <v>2</v>
      </c>
      <c r="H18" s="5">
        <v>7</v>
      </c>
      <c r="I18" s="5">
        <v>8</v>
      </c>
      <c r="J18" s="5">
        <v>8</v>
      </c>
      <c r="K18" s="8">
        <f>(Tablo3[[#This Row],[HW1]]+Tablo3[[#This Row],[HW2]]+Tablo3[[#This Row],[HW3]]+Tablo3[[#This Row],[HW4]]+Tablo3[[#This Row],[HW5]])/5</f>
        <v>5</v>
      </c>
      <c r="L18" s="8" cm="1">
        <f t="array" ref="L18">Tablo3[[#This Row],[HW1]]*$D$38/Tablo11[HW1]+Tablo3[[#This Row],[HW2]]*$E$38/Tablo11[HW2]+Tablo3[[#This Row],[HW3]]*$F$38/Tablo11[HW3]+Tablo3[[#This Row],[HW4]]*$G$38/Tablo11[HW4]+Tablo3[[#This Row],[HW5]]*$H$38/Tablo11[HW5]</f>
        <v>32</v>
      </c>
      <c r="M18" s="8" cm="1">
        <f t="array" ref="M18">Tablo3[[#This Row],[HW1]]*$D$39/Tablo11[HW1]+Tablo3[[#This Row],[HW2]]*$E$39/Tablo11[HW2]+Tablo3[[#This Row],[HW3]]*$F$39/Tablo11[HW3]+Tablo3[[#This Row],[HW4]]*$G$39/Tablo11[HW4]+Tablo3[[#This Row],[HW5]]*$H$39/Tablo11[HW5]</f>
        <v>2</v>
      </c>
      <c r="N18" s="8" cm="1">
        <f t="array" ref="N18">Tablo3[[#This Row],[HW1]]*$D$40/Tablo11[HW1]+Tablo3[[#This Row],[HW2]]*$E$40/Tablo11[HW2]+Tablo3[[#This Row],[HW3]]*$F$40/Tablo11[HW3]+Tablo3[[#This Row],[HW4]]*$G$40/Tablo11[HW4]+Tablo3[[#This Row],[HW5]]*$H$40/Tablo11[HW5]</f>
        <v>9</v>
      </c>
      <c r="O18" s="8" cm="1">
        <f t="array" ref="O18">Tablo3[[#This Row],[HW1]]*$D$41/Tablo11[HW1]+Tablo3[[#This Row],[HW2]]*$E$41/Tablo11[HW2]+Tablo3[[#This Row],[HW3]]*$F$41/Tablo11[HW3]+Tablo3[[#This Row],[HW4]]*$G$41/Tablo11[HW4]+Tablo3[[#This Row],[HW5]]*$H$41/Tablo11[HW5]</f>
        <v>0</v>
      </c>
      <c r="P18" s="92" cm="1">
        <f t="array" ref="P18">Tablo3[[#This Row],[HW1]]*$D$42/Tablo11[HW1]+Tablo3[[#This Row],[HW2]]*$E$42/Tablo11[HW2]+Tablo3[[#This Row],[HW3]]*$F$42/Tablo11[HW3]+Tablo3[[#This Row],[HW4]]*$G$42/Tablo11[HW4]+Tablo3[[#This Row],[HW5]]*$H$42/Tablo11[HW5]</f>
        <v>0</v>
      </c>
      <c r="Q18" s="92" cm="1">
        <f t="array" ref="Q18">Tablo3[[#This Row],[HW1]]*$D$43/Tablo11[HW1]+Tablo3[[#This Row],[HW2]]*$E$43/Tablo11[HW2]+Tablo3[[#This Row],[HW3]]*$F$43/Tablo11[HW3]+Tablo3[[#This Row],[HW4]]*$G$43/Tablo11[HW4]+Tablo3[[#This Row],[HW5]]*$H$43/Tablo11[HW5]</f>
        <v>0</v>
      </c>
      <c r="R18" s="92" cm="1">
        <f t="array" ref="R18">Tablo3[[#This Row],[HW1]]*$D$44/Tablo11[HW1]+Tablo3[[#This Row],[HW2]]*$E$44/Tablo11[HW2]+Tablo3[[#This Row],[HW3]]*$F$44/Tablo11[HW3]+Tablo3[[#This Row],[HW4]]*$G$44/Tablo11[HW4]+Tablo3[[#This Row],[HW5]]*$H$44/Tablo11[HW5]</f>
        <v>0</v>
      </c>
      <c r="S18" s="92" cm="1">
        <f t="array" ref="S18">Tablo3[[#This Row],[HW1]]*$D$45/Tablo11[HW1]+Tablo3[[#This Row],[HW2]]*$E$45/Tablo11[HW2]+Tablo3[[#This Row],[HW3]]*$F$45/Tablo11[HW3]+Tablo3[[#This Row],[HW4]]*$G$45/Tablo11[HW4]+Tablo3[[#This Row],[HW5]]*$H$45/Tablo11[HW5]</f>
        <v>0</v>
      </c>
      <c r="T18" s="92" cm="1">
        <f t="array" ref="T18">Tablo3[[#This Row],[HW1]]*$D$46/Tablo11[HW1]+Tablo3[[#This Row],[HW2]]*$E$46/Tablo11[HW2]+Tablo3[[#This Row],[HW3]]*$F$46/Tablo11[HW3]+Tablo3[[#This Row],[HW4]]*$G$46/Tablo11[HW4]+Tablo3[[#This Row],[HW5]]*$H$46/Tablo11[HW5]</f>
        <v>0</v>
      </c>
      <c r="U18" s="92" cm="1">
        <f t="array" ref="U18">Tablo3[[#This Row],[HW1]]*$D$47/Tablo11[HW1]+Tablo3[[#This Row],[HW2]]*$E$47/Tablo11[HW2]+Tablo3[[#This Row],[HW3]]*$F$47/Tablo11[HW3]+Tablo3[[#This Row],[HW4]]*$G$47/Tablo11[HW4]+Tablo3[[#This Row],[HW5]]*$H$47/Tablo11[HW5]</f>
        <v>0</v>
      </c>
      <c r="V18" s="9">
        <f>SUM(Tablo3[[#This Row],[DÇ1]:[DÇ10]])</f>
        <v>43</v>
      </c>
      <c r="W18" s="8">
        <f>_xlfn.NORM.DIST(Tablo3[[#This Row],[TOTAL]],$M$60,$N$60,FALSE)</f>
        <v>0.21526857722768813</v>
      </c>
    </row>
    <row r="19" spans="2:23" ht="15.6" thickTop="1" thickBot="1" x14ac:dyDescent="0.35">
      <c r="B19" s="91">
        <v>15</v>
      </c>
      <c r="C19" s="14">
        <v>17</v>
      </c>
      <c r="D19" s="61" t="s">
        <v>110</v>
      </c>
      <c r="E19" s="61" t="s">
        <v>111</v>
      </c>
      <c r="F19" s="5">
        <v>0</v>
      </c>
      <c r="G19" s="5">
        <v>2</v>
      </c>
      <c r="H19" s="5">
        <v>8</v>
      </c>
      <c r="I19" s="5">
        <v>9</v>
      </c>
      <c r="J19" s="5">
        <v>6</v>
      </c>
      <c r="K19" s="8">
        <f>(Tablo3[[#This Row],[HW1]]+Tablo3[[#This Row],[HW2]]+Tablo3[[#This Row],[HW3]]+Tablo3[[#This Row],[HW4]]+Tablo3[[#This Row],[HW5]])/5</f>
        <v>5</v>
      </c>
      <c r="L19" s="8" cm="1">
        <f t="array" ref="L19">Tablo3[[#This Row],[HW1]]*$D$38/Tablo11[HW1]+Tablo3[[#This Row],[HW2]]*$E$38/Tablo11[HW2]+Tablo3[[#This Row],[HW3]]*$F$38/Tablo11[HW3]+Tablo3[[#This Row],[HW4]]*$G$38/Tablo11[HW4]+Tablo3[[#This Row],[HW5]]*$H$38/Tablo11[HW5]</f>
        <v>33</v>
      </c>
      <c r="M19" s="8" cm="1">
        <f t="array" ref="M19">Tablo3[[#This Row],[HW1]]*$D$39/Tablo11[HW1]+Tablo3[[#This Row],[HW2]]*$E$39/Tablo11[HW2]+Tablo3[[#This Row],[HW3]]*$F$39/Tablo11[HW3]+Tablo3[[#This Row],[HW4]]*$G$39/Tablo11[HW4]+Tablo3[[#This Row],[HW5]]*$H$39/Tablo11[HW5]</f>
        <v>2</v>
      </c>
      <c r="N19" s="8" cm="1">
        <f t="array" ref="N19">Tablo3[[#This Row],[HW1]]*$D$40/Tablo11[HW1]+Tablo3[[#This Row],[HW2]]*$E$40/Tablo11[HW2]+Tablo3[[#This Row],[HW3]]*$F$40/Tablo11[HW3]+Tablo3[[#This Row],[HW4]]*$G$40/Tablo11[HW4]+Tablo3[[#This Row],[HW5]]*$H$40/Tablo11[HW5]</f>
        <v>8.5</v>
      </c>
      <c r="O19" s="8" cm="1">
        <f t="array" ref="O19">Tablo3[[#This Row],[HW1]]*$D$41/Tablo11[HW1]+Tablo3[[#This Row],[HW2]]*$E$41/Tablo11[HW2]+Tablo3[[#This Row],[HW3]]*$F$41/Tablo11[HW3]+Tablo3[[#This Row],[HW4]]*$G$41/Tablo11[HW4]+Tablo3[[#This Row],[HW5]]*$H$41/Tablo11[HW5]</f>
        <v>0</v>
      </c>
      <c r="P19" s="92" cm="1">
        <f t="array" ref="P19">Tablo3[[#This Row],[HW1]]*$D$42/Tablo11[HW1]+Tablo3[[#This Row],[HW2]]*$E$42/Tablo11[HW2]+Tablo3[[#This Row],[HW3]]*$F$42/Tablo11[HW3]+Tablo3[[#This Row],[HW4]]*$G$42/Tablo11[HW4]+Tablo3[[#This Row],[HW5]]*$H$42/Tablo11[HW5]</f>
        <v>0</v>
      </c>
      <c r="Q19" s="92" cm="1">
        <f t="array" ref="Q19">Tablo3[[#This Row],[HW1]]*$D$43/Tablo11[HW1]+Tablo3[[#This Row],[HW2]]*$E$43/Tablo11[HW2]+Tablo3[[#This Row],[HW3]]*$F$43/Tablo11[HW3]+Tablo3[[#This Row],[HW4]]*$G$43/Tablo11[HW4]+Tablo3[[#This Row],[HW5]]*$H$43/Tablo11[HW5]</f>
        <v>0</v>
      </c>
      <c r="R19" s="92" cm="1">
        <f t="array" ref="R19">Tablo3[[#This Row],[HW1]]*$D$44/Tablo11[HW1]+Tablo3[[#This Row],[HW2]]*$E$44/Tablo11[HW2]+Tablo3[[#This Row],[HW3]]*$F$44/Tablo11[HW3]+Tablo3[[#This Row],[HW4]]*$G$44/Tablo11[HW4]+Tablo3[[#This Row],[HW5]]*$H$44/Tablo11[HW5]</f>
        <v>0</v>
      </c>
      <c r="S19" s="92" cm="1">
        <f t="array" ref="S19">Tablo3[[#This Row],[HW1]]*$D$45/Tablo11[HW1]+Tablo3[[#This Row],[HW2]]*$E$45/Tablo11[HW2]+Tablo3[[#This Row],[HW3]]*$F$45/Tablo11[HW3]+Tablo3[[#This Row],[HW4]]*$G$45/Tablo11[HW4]+Tablo3[[#This Row],[HW5]]*$H$45/Tablo11[HW5]</f>
        <v>0</v>
      </c>
      <c r="T19" s="92" cm="1">
        <f t="array" ref="T19">Tablo3[[#This Row],[HW1]]*$D$46/Tablo11[HW1]+Tablo3[[#This Row],[HW2]]*$E$46/Tablo11[HW2]+Tablo3[[#This Row],[HW3]]*$F$46/Tablo11[HW3]+Tablo3[[#This Row],[HW4]]*$G$46/Tablo11[HW4]+Tablo3[[#This Row],[HW5]]*$H$46/Tablo11[HW5]</f>
        <v>0</v>
      </c>
      <c r="U19" s="92" cm="1">
        <f t="array" ref="U19">Tablo3[[#This Row],[HW1]]*$D$47/Tablo11[HW1]+Tablo3[[#This Row],[HW2]]*$E$47/Tablo11[HW2]+Tablo3[[#This Row],[HW3]]*$F$47/Tablo11[HW3]+Tablo3[[#This Row],[HW4]]*$G$47/Tablo11[HW4]+Tablo3[[#This Row],[HW5]]*$H$47/Tablo11[HW5]</f>
        <v>0</v>
      </c>
      <c r="V19" s="9">
        <f>SUM(Tablo3[[#This Row],[DÇ1]:[DÇ10]])</f>
        <v>43.5</v>
      </c>
      <c r="W19" s="8">
        <f>_xlfn.NORM.DIST(Tablo3[[#This Row],[TOTAL]],$M$60,$N$60,FALSE)</f>
        <v>0.21526857722768813</v>
      </c>
    </row>
    <row r="20" spans="2:23" ht="15.6" thickTop="1" thickBot="1" x14ac:dyDescent="0.35">
      <c r="B20" s="93">
        <v>16</v>
      </c>
      <c r="C20" s="14">
        <v>19</v>
      </c>
      <c r="D20" s="61" t="s">
        <v>110</v>
      </c>
      <c r="E20" s="61" t="s">
        <v>111</v>
      </c>
      <c r="F20" s="5">
        <v>2</v>
      </c>
      <c r="G20" s="5">
        <v>1</v>
      </c>
      <c r="H20" s="5">
        <v>8</v>
      </c>
      <c r="I20" s="5">
        <v>8</v>
      </c>
      <c r="J20" s="5">
        <v>6</v>
      </c>
      <c r="K20" s="8">
        <f>(Tablo3[[#This Row],[HW1]]+Tablo3[[#This Row],[HW2]]+Tablo3[[#This Row],[HW3]]+Tablo3[[#This Row],[HW4]]+Tablo3[[#This Row],[HW5]])/5</f>
        <v>5</v>
      </c>
      <c r="L20" s="8" cm="1">
        <f t="array" ref="L20">Tablo3[[#This Row],[HW1]]*$D$38/Tablo11[HW1]+Tablo3[[#This Row],[HW2]]*$E$38/Tablo11[HW2]+Tablo3[[#This Row],[HW3]]*$F$38/Tablo11[HW3]+Tablo3[[#This Row],[HW4]]*$G$38/Tablo11[HW4]+Tablo3[[#This Row],[HW5]]*$H$38/Tablo11[HW5]</f>
        <v>30.5</v>
      </c>
      <c r="M20" s="8" cm="1">
        <f t="array" ref="M20">Tablo3[[#This Row],[HW1]]*$D$39/Tablo11[HW1]+Tablo3[[#This Row],[HW2]]*$E$39/Tablo11[HW2]+Tablo3[[#This Row],[HW3]]*$F$39/Tablo11[HW3]+Tablo3[[#This Row],[HW4]]*$G$39/Tablo11[HW4]+Tablo3[[#This Row],[HW5]]*$H$39/Tablo11[HW5]</f>
        <v>1</v>
      </c>
      <c r="N20" s="8" cm="1">
        <f t="array" ref="N20">Tablo3[[#This Row],[HW1]]*$D$40/Tablo11[HW1]+Tablo3[[#This Row],[HW2]]*$E$40/Tablo11[HW2]+Tablo3[[#This Row],[HW3]]*$F$40/Tablo11[HW3]+Tablo3[[#This Row],[HW4]]*$G$40/Tablo11[HW4]+Tablo3[[#This Row],[HW5]]*$H$40/Tablo11[HW5]</f>
        <v>8.5</v>
      </c>
      <c r="O20" s="8" cm="1">
        <f t="array" ref="O20">Tablo3[[#This Row],[HW1]]*$D$41/Tablo11[HW1]+Tablo3[[#This Row],[HW2]]*$E$41/Tablo11[HW2]+Tablo3[[#This Row],[HW3]]*$F$41/Tablo11[HW3]+Tablo3[[#This Row],[HW4]]*$G$41/Tablo11[HW4]+Tablo3[[#This Row],[HW5]]*$H$41/Tablo11[HW5]</f>
        <v>2</v>
      </c>
      <c r="P20" s="92" cm="1">
        <f t="array" ref="P20">Tablo3[[#This Row],[HW1]]*$D$42/Tablo11[HW1]+Tablo3[[#This Row],[HW2]]*$E$42/Tablo11[HW2]+Tablo3[[#This Row],[HW3]]*$F$42/Tablo11[HW3]+Tablo3[[#This Row],[HW4]]*$G$42/Tablo11[HW4]+Tablo3[[#This Row],[HW5]]*$H$42/Tablo11[HW5]</f>
        <v>0</v>
      </c>
      <c r="Q20" s="92" cm="1">
        <f t="array" ref="Q20">Tablo3[[#This Row],[HW1]]*$D$43/Tablo11[HW1]+Tablo3[[#This Row],[HW2]]*$E$43/Tablo11[HW2]+Tablo3[[#This Row],[HW3]]*$F$43/Tablo11[HW3]+Tablo3[[#This Row],[HW4]]*$G$43/Tablo11[HW4]+Tablo3[[#This Row],[HW5]]*$H$43/Tablo11[HW5]</f>
        <v>0</v>
      </c>
      <c r="R20" s="92" cm="1">
        <f t="array" ref="R20">Tablo3[[#This Row],[HW1]]*$D$44/Tablo11[HW1]+Tablo3[[#This Row],[HW2]]*$E$44/Tablo11[HW2]+Tablo3[[#This Row],[HW3]]*$F$44/Tablo11[HW3]+Tablo3[[#This Row],[HW4]]*$G$44/Tablo11[HW4]+Tablo3[[#This Row],[HW5]]*$H$44/Tablo11[HW5]</f>
        <v>0</v>
      </c>
      <c r="S20" s="92" cm="1">
        <f t="array" ref="S20">Tablo3[[#This Row],[HW1]]*$D$45/Tablo11[HW1]+Tablo3[[#This Row],[HW2]]*$E$45/Tablo11[HW2]+Tablo3[[#This Row],[HW3]]*$F$45/Tablo11[HW3]+Tablo3[[#This Row],[HW4]]*$G$45/Tablo11[HW4]+Tablo3[[#This Row],[HW5]]*$H$45/Tablo11[HW5]</f>
        <v>0</v>
      </c>
      <c r="T20" s="92" cm="1">
        <f t="array" ref="T20">Tablo3[[#This Row],[HW1]]*$D$46/Tablo11[HW1]+Tablo3[[#This Row],[HW2]]*$E$46/Tablo11[HW2]+Tablo3[[#This Row],[HW3]]*$F$46/Tablo11[HW3]+Tablo3[[#This Row],[HW4]]*$G$46/Tablo11[HW4]+Tablo3[[#This Row],[HW5]]*$H$46/Tablo11[HW5]</f>
        <v>0</v>
      </c>
      <c r="U20" s="92" cm="1">
        <f t="array" ref="U20">Tablo3[[#This Row],[HW1]]*$D$47/Tablo11[HW1]+Tablo3[[#This Row],[HW2]]*$E$47/Tablo11[HW2]+Tablo3[[#This Row],[HW3]]*$F$47/Tablo11[HW3]+Tablo3[[#This Row],[HW4]]*$G$47/Tablo11[HW4]+Tablo3[[#This Row],[HW5]]*$H$47/Tablo11[HW5]</f>
        <v>0</v>
      </c>
      <c r="V20" s="9">
        <f>SUM(Tablo3[[#This Row],[DÇ1]:[DÇ10]])</f>
        <v>42</v>
      </c>
      <c r="W20" s="8">
        <f>_xlfn.NORM.DIST(Tablo3[[#This Row],[TOTAL]],$M$60,$N$60,FALSE)</f>
        <v>0.21526857722768813</v>
      </c>
    </row>
    <row r="21" spans="2:23" ht="15.6" thickTop="1" thickBot="1" x14ac:dyDescent="0.35">
      <c r="B21" s="91">
        <v>17</v>
      </c>
      <c r="C21" s="14">
        <v>28</v>
      </c>
      <c r="D21" s="61" t="s">
        <v>110</v>
      </c>
      <c r="E21" s="61" t="s">
        <v>111</v>
      </c>
      <c r="F21" s="5">
        <v>3</v>
      </c>
      <c r="G21" s="5">
        <v>1</v>
      </c>
      <c r="H21" s="5">
        <v>7</v>
      </c>
      <c r="I21" s="5">
        <v>9</v>
      </c>
      <c r="J21" s="5">
        <v>5</v>
      </c>
      <c r="K21" s="8">
        <f>(Tablo3[[#This Row],[HW1]]+Tablo3[[#This Row],[HW2]]+Tablo3[[#This Row],[HW3]]+Tablo3[[#This Row],[HW4]]+Tablo3[[#This Row],[HW5]])/5</f>
        <v>5</v>
      </c>
      <c r="L21" s="8" cm="1">
        <f t="array" ref="L21">Tablo3[[#This Row],[HW1]]*$D$38/Tablo11[HW1]+Tablo3[[#This Row],[HW2]]*$E$38/Tablo11[HW2]+Tablo3[[#This Row],[HW3]]*$F$38/Tablo11[HW3]+Tablo3[[#This Row],[HW4]]*$G$38/Tablo11[HW4]+Tablo3[[#This Row],[HW5]]*$H$38/Tablo11[HW5]</f>
        <v>30.5</v>
      </c>
      <c r="M21" s="8" cm="1">
        <f t="array" ref="M21">Tablo3[[#This Row],[HW1]]*$D$39/Tablo11[HW1]+Tablo3[[#This Row],[HW2]]*$E$39/Tablo11[HW2]+Tablo3[[#This Row],[HW3]]*$F$39/Tablo11[HW3]+Tablo3[[#This Row],[HW4]]*$G$39/Tablo11[HW4]+Tablo3[[#This Row],[HW5]]*$H$39/Tablo11[HW5]</f>
        <v>1</v>
      </c>
      <c r="N21" s="8" cm="1">
        <f t="array" ref="N21">Tablo3[[#This Row],[HW1]]*$D$40/Tablo11[HW1]+Tablo3[[#This Row],[HW2]]*$E$40/Tablo11[HW2]+Tablo3[[#This Row],[HW3]]*$F$40/Tablo11[HW3]+Tablo3[[#This Row],[HW4]]*$G$40/Tablo11[HW4]+Tablo3[[#This Row],[HW5]]*$H$40/Tablo11[HW5]</f>
        <v>9</v>
      </c>
      <c r="O21" s="8" cm="1">
        <f t="array" ref="O21">Tablo3[[#This Row],[HW1]]*$D$41/Tablo11[HW1]+Tablo3[[#This Row],[HW2]]*$E$41/Tablo11[HW2]+Tablo3[[#This Row],[HW3]]*$F$41/Tablo11[HW3]+Tablo3[[#This Row],[HW4]]*$G$41/Tablo11[HW4]+Tablo3[[#This Row],[HW5]]*$H$41/Tablo11[HW5]</f>
        <v>3</v>
      </c>
      <c r="P21" s="92" cm="1">
        <f t="array" ref="P21">Tablo3[[#This Row],[HW1]]*$D$42/Tablo11[HW1]+Tablo3[[#This Row],[HW2]]*$E$42/Tablo11[HW2]+Tablo3[[#This Row],[HW3]]*$F$42/Tablo11[HW3]+Tablo3[[#This Row],[HW4]]*$G$42/Tablo11[HW4]+Tablo3[[#This Row],[HW5]]*$H$42/Tablo11[HW5]</f>
        <v>0</v>
      </c>
      <c r="Q21" s="92" cm="1">
        <f t="array" ref="Q21">Tablo3[[#This Row],[HW1]]*$D$43/Tablo11[HW1]+Tablo3[[#This Row],[HW2]]*$E$43/Tablo11[HW2]+Tablo3[[#This Row],[HW3]]*$F$43/Tablo11[HW3]+Tablo3[[#This Row],[HW4]]*$G$43/Tablo11[HW4]+Tablo3[[#This Row],[HW5]]*$H$43/Tablo11[HW5]</f>
        <v>0</v>
      </c>
      <c r="R21" s="92" cm="1">
        <f t="array" ref="R21">Tablo3[[#This Row],[HW1]]*$D$44/Tablo11[HW1]+Tablo3[[#This Row],[HW2]]*$E$44/Tablo11[HW2]+Tablo3[[#This Row],[HW3]]*$F$44/Tablo11[HW3]+Tablo3[[#This Row],[HW4]]*$G$44/Tablo11[HW4]+Tablo3[[#This Row],[HW5]]*$H$44/Tablo11[HW5]</f>
        <v>0</v>
      </c>
      <c r="S21" s="92" cm="1">
        <f t="array" ref="S21">Tablo3[[#This Row],[HW1]]*$D$45/Tablo11[HW1]+Tablo3[[#This Row],[HW2]]*$E$45/Tablo11[HW2]+Tablo3[[#This Row],[HW3]]*$F$45/Tablo11[HW3]+Tablo3[[#This Row],[HW4]]*$G$45/Tablo11[HW4]+Tablo3[[#This Row],[HW5]]*$H$45/Tablo11[HW5]</f>
        <v>0</v>
      </c>
      <c r="T21" s="92" cm="1">
        <f t="array" ref="T21">Tablo3[[#This Row],[HW1]]*$D$46/Tablo11[HW1]+Tablo3[[#This Row],[HW2]]*$E$46/Tablo11[HW2]+Tablo3[[#This Row],[HW3]]*$F$46/Tablo11[HW3]+Tablo3[[#This Row],[HW4]]*$G$46/Tablo11[HW4]+Tablo3[[#This Row],[HW5]]*$H$46/Tablo11[HW5]</f>
        <v>0</v>
      </c>
      <c r="U21" s="92" cm="1">
        <f t="array" ref="U21">Tablo3[[#This Row],[HW1]]*$D$47/Tablo11[HW1]+Tablo3[[#This Row],[HW2]]*$E$47/Tablo11[HW2]+Tablo3[[#This Row],[HW3]]*$F$47/Tablo11[HW3]+Tablo3[[#This Row],[HW4]]*$G$47/Tablo11[HW4]+Tablo3[[#This Row],[HW5]]*$H$47/Tablo11[HW5]</f>
        <v>0</v>
      </c>
      <c r="V21" s="9">
        <f>SUM(Tablo3[[#This Row],[DÇ1]:[DÇ10]])</f>
        <v>43.5</v>
      </c>
      <c r="W21" s="8">
        <f>_xlfn.NORM.DIST(Tablo3[[#This Row],[TOTAL]],$M$60,$N$60,FALSE)</f>
        <v>0.21526857722768813</v>
      </c>
    </row>
    <row r="22" spans="2:23" ht="15.6" thickTop="1" thickBot="1" x14ac:dyDescent="0.35">
      <c r="B22" s="93">
        <v>18</v>
      </c>
      <c r="C22" s="14">
        <v>20</v>
      </c>
      <c r="D22" s="61" t="s">
        <v>110</v>
      </c>
      <c r="E22" s="61" t="s">
        <v>111</v>
      </c>
      <c r="F22" s="5">
        <v>2</v>
      </c>
      <c r="G22" s="5">
        <v>5</v>
      </c>
      <c r="H22" s="5">
        <v>10</v>
      </c>
      <c r="I22" s="5">
        <v>4</v>
      </c>
      <c r="J22" s="5">
        <v>3</v>
      </c>
      <c r="K22" s="8">
        <f>(Tablo3[[#This Row],[HW1]]+Tablo3[[#This Row],[HW2]]+Tablo3[[#This Row],[HW3]]+Tablo3[[#This Row],[HW4]]+Tablo3[[#This Row],[HW5]])/5</f>
        <v>4.8</v>
      </c>
      <c r="L22" s="8" cm="1">
        <f t="array" ref="L22">Tablo3[[#This Row],[HW1]]*$D$38/Tablo11[HW1]+Tablo3[[#This Row],[HW2]]*$E$38/Tablo11[HW2]+Tablo3[[#This Row],[HW3]]*$F$38/Tablo11[HW3]+Tablo3[[#This Row],[HW4]]*$G$38/Tablo11[HW4]+Tablo3[[#This Row],[HW5]]*$H$38/Tablo11[HW5]</f>
        <v>23.5</v>
      </c>
      <c r="M22" s="8" cm="1">
        <f t="array" ref="M22">Tablo3[[#This Row],[HW1]]*$D$39/Tablo11[HW1]+Tablo3[[#This Row],[HW2]]*$E$39/Tablo11[HW2]+Tablo3[[#This Row],[HW3]]*$F$39/Tablo11[HW3]+Tablo3[[#This Row],[HW4]]*$G$39/Tablo11[HW4]+Tablo3[[#This Row],[HW5]]*$H$39/Tablo11[HW5]</f>
        <v>5</v>
      </c>
      <c r="N22" s="8" cm="1">
        <f t="array" ref="N22">Tablo3[[#This Row],[HW1]]*$D$40/Tablo11[HW1]+Tablo3[[#This Row],[HW2]]*$E$40/Tablo11[HW2]+Tablo3[[#This Row],[HW3]]*$F$40/Tablo11[HW3]+Tablo3[[#This Row],[HW4]]*$G$40/Tablo11[HW4]+Tablo3[[#This Row],[HW5]]*$H$40/Tablo11[HW5]</f>
        <v>7</v>
      </c>
      <c r="O22" s="8" cm="1">
        <f t="array" ref="O22">Tablo3[[#This Row],[HW1]]*$D$41/Tablo11[HW1]+Tablo3[[#This Row],[HW2]]*$E$41/Tablo11[HW2]+Tablo3[[#This Row],[HW3]]*$F$41/Tablo11[HW3]+Tablo3[[#This Row],[HW4]]*$G$41/Tablo11[HW4]+Tablo3[[#This Row],[HW5]]*$H$41/Tablo11[HW5]</f>
        <v>2</v>
      </c>
      <c r="P22" s="92" cm="1">
        <f t="array" ref="P22">Tablo3[[#This Row],[HW1]]*$D$42/Tablo11[HW1]+Tablo3[[#This Row],[HW2]]*$E$42/Tablo11[HW2]+Tablo3[[#This Row],[HW3]]*$F$42/Tablo11[HW3]+Tablo3[[#This Row],[HW4]]*$G$42/Tablo11[HW4]+Tablo3[[#This Row],[HW5]]*$H$42/Tablo11[HW5]</f>
        <v>0</v>
      </c>
      <c r="Q22" s="92" cm="1">
        <f t="array" ref="Q22">Tablo3[[#This Row],[HW1]]*$D$43/Tablo11[HW1]+Tablo3[[#This Row],[HW2]]*$E$43/Tablo11[HW2]+Tablo3[[#This Row],[HW3]]*$F$43/Tablo11[HW3]+Tablo3[[#This Row],[HW4]]*$G$43/Tablo11[HW4]+Tablo3[[#This Row],[HW5]]*$H$43/Tablo11[HW5]</f>
        <v>0</v>
      </c>
      <c r="R22" s="92" cm="1">
        <f t="array" ref="R22">Tablo3[[#This Row],[HW1]]*$D$44/Tablo11[HW1]+Tablo3[[#This Row],[HW2]]*$E$44/Tablo11[HW2]+Tablo3[[#This Row],[HW3]]*$F$44/Tablo11[HW3]+Tablo3[[#This Row],[HW4]]*$G$44/Tablo11[HW4]+Tablo3[[#This Row],[HW5]]*$H$44/Tablo11[HW5]</f>
        <v>0</v>
      </c>
      <c r="S22" s="92" cm="1">
        <f t="array" ref="S22">Tablo3[[#This Row],[HW1]]*$D$45/Tablo11[HW1]+Tablo3[[#This Row],[HW2]]*$E$45/Tablo11[HW2]+Tablo3[[#This Row],[HW3]]*$F$45/Tablo11[HW3]+Tablo3[[#This Row],[HW4]]*$G$45/Tablo11[HW4]+Tablo3[[#This Row],[HW5]]*$H$45/Tablo11[HW5]</f>
        <v>0</v>
      </c>
      <c r="T22" s="92" cm="1">
        <f t="array" ref="T22">Tablo3[[#This Row],[HW1]]*$D$46/Tablo11[HW1]+Tablo3[[#This Row],[HW2]]*$E$46/Tablo11[HW2]+Tablo3[[#This Row],[HW3]]*$F$46/Tablo11[HW3]+Tablo3[[#This Row],[HW4]]*$G$46/Tablo11[HW4]+Tablo3[[#This Row],[HW5]]*$H$46/Tablo11[HW5]</f>
        <v>0</v>
      </c>
      <c r="U22" s="92" cm="1">
        <f t="array" ref="U22">Tablo3[[#This Row],[HW1]]*$D$47/Tablo11[HW1]+Tablo3[[#This Row],[HW2]]*$E$47/Tablo11[HW2]+Tablo3[[#This Row],[HW3]]*$F$47/Tablo11[HW3]+Tablo3[[#This Row],[HW4]]*$G$47/Tablo11[HW4]+Tablo3[[#This Row],[HW5]]*$H$47/Tablo11[HW5]</f>
        <v>0</v>
      </c>
      <c r="V22" s="9">
        <f>SUM(Tablo3[[#This Row],[DÇ1]:[DÇ10]])</f>
        <v>37.5</v>
      </c>
      <c r="W22" s="8">
        <f>_xlfn.NORM.DIST(Tablo3[[#This Row],[TOTAL]],$M$60,$N$60,FALSE)</f>
        <v>0.21745744673130762</v>
      </c>
    </row>
    <row r="23" spans="2:23" ht="15.6" thickTop="1" thickBot="1" x14ac:dyDescent="0.35">
      <c r="B23" s="91">
        <v>19</v>
      </c>
      <c r="C23" s="14">
        <v>11</v>
      </c>
      <c r="D23" s="61" t="s">
        <v>110</v>
      </c>
      <c r="E23" s="61" t="s">
        <v>111</v>
      </c>
      <c r="F23" s="5">
        <v>6</v>
      </c>
      <c r="G23" s="5">
        <v>2</v>
      </c>
      <c r="H23" s="5">
        <v>0</v>
      </c>
      <c r="I23" s="5">
        <v>8</v>
      </c>
      <c r="J23" s="5">
        <v>8</v>
      </c>
      <c r="K23" s="8">
        <f>(Tablo3[[#This Row],[HW1]]+Tablo3[[#This Row],[HW2]]+Tablo3[[#This Row],[HW3]]+Tablo3[[#This Row],[HW4]]+Tablo3[[#This Row],[HW5]])/5</f>
        <v>4.8</v>
      </c>
      <c r="L23" s="8" cm="1">
        <f t="array" ref="L23">Tablo3[[#This Row],[HW1]]*$D$38/Tablo11[HW1]+Tablo3[[#This Row],[HW2]]*$E$38/Tablo11[HW2]+Tablo3[[#This Row],[HW3]]*$F$38/Tablo11[HW3]+Tablo3[[#This Row],[HW4]]*$G$38/Tablo11[HW4]+Tablo3[[#This Row],[HW5]]*$H$38/Tablo11[HW5]</f>
        <v>25</v>
      </c>
      <c r="M23" s="8" cm="1">
        <f t="array" ref="M23">Tablo3[[#This Row],[HW1]]*$D$39/Tablo11[HW1]+Tablo3[[#This Row],[HW2]]*$E$39/Tablo11[HW2]+Tablo3[[#This Row],[HW3]]*$F$39/Tablo11[HW3]+Tablo3[[#This Row],[HW4]]*$G$39/Tablo11[HW4]+Tablo3[[#This Row],[HW5]]*$H$39/Tablo11[HW5]</f>
        <v>2</v>
      </c>
      <c r="N23" s="8" cm="1">
        <f t="array" ref="N23">Tablo3[[#This Row],[HW1]]*$D$40/Tablo11[HW1]+Tablo3[[#This Row],[HW2]]*$E$40/Tablo11[HW2]+Tablo3[[#This Row],[HW3]]*$F$40/Tablo11[HW3]+Tablo3[[#This Row],[HW4]]*$G$40/Tablo11[HW4]+Tablo3[[#This Row],[HW5]]*$H$40/Tablo11[HW5]</f>
        <v>12</v>
      </c>
      <c r="O23" s="8" cm="1">
        <f t="array" ref="O23">Tablo3[[#This Row],[HW1]]*$D$41/Tablo11[HW1]+Tablo3[[#This Row],[HW2]]*$E$41/Tablo11[HW2]+Tablo3[[#This Row],[HW3]]*$F$41/Tablo11[HW3]+Tablo3[[#This Row],[HW4]]*$G$41/Tablo11[HW4]+Tablo3[[#This Row],[HW5]]*$H$41/Tablo11[HW5]</f>
        <v>6</v>
      </c>
      <c r="P23" s="92" cm="1">
        <f t="array" ref="P23">Tablo3[[#This Row],[HW1]]*$D$42/Tablo11[HW1]+Tablo3[[#This Row],[HW2]]*$E$42/Tablo11[HW2]+Tablo3[[#This Row],[HW3]]*$F$42/Tablo11[HW3]+Tablo3[[#This Row],[HW4]]*$G$42/Tablo11[HW4]+Tablo3[[#This Row],[HW5]]*$H$42/Tablo11[HW5]</f>
        <v>0</v>
      </c>
      <c r="Q23" s="92" cm="1">
        <f t="array" ref="Q23">Tablo3[[#This Row],[HW1]]*$D$43/Tablo11[HW1]+Tablo3[[#This Row],[HW2]]*$E$43/Tablo11[HW2]+Tablo3[[#This Row],[HW3]]*$F$43/Tablo11[HW3]+Tablo3[[#This Row],[HW4]]*$G$43/Tablo11[HW4]+Tablo3[[#This Row],[HW5]]*$H$43/Tablo11[HW5]</f>
        <v>0</v>
      </c>
      <c r="R23" s="92" cm="1">
        <f t="array" ref="R23">Tablo3[[#This Row],[HW1]]*$D$44/Tablo11[HW1]+Tablo3[[#This Row],[HW2]]*$E$44/Tablo11[HW2]+Tablo3[[#This Row],[HW3]]*$F$44/Tablo11[HW3]+Tablo3[[#This Row],[HW4]]*$G$44/Tablo11[HW4]+Tablo3[[#This Row],[HW5]]*$H$44/Tablo11[HW5]</f>
        <v>0</v>
      </c>
      <c r="S23" s="92" cm="1">
        <f t="array" ref="S23">Tablo3[[#This Row],[HW1]]*$D$45/Tablo11[HW1]+Tablo3[[#This Row],[HW2]]*$E$45/Tablo11[HW2]+Tablo3[[#This Row],[HW3]]*$F$45/Tablo11[HW3]+Tablo3[[#This Row],[HW4]]*$G$45/Tablo11[HW4]+Tablo3[[#This Row],[HW5]]*$H$45/Tablo11[HW5]</f>
        <v>0</v>
      </c>
      <c r="T23" s="92" cm="1">
        <f t="array" ref="T23">Tablo3[[#This Row],[HW1]]*$D$46/Tablo11[HW1]+Tablo3[[#This Row],[HW2]]*$E$46/Tablo11[HW2]+Tablo3[[#This Row],[HW3]]*$F$46/Tablo11[HW3]+Tablo3[[#This Row],[HW4]]*$G$46/Tablo11[HW4]+Tablo3[[#This Row],[HW5]]*$H$46/Tablo11[HW5]</f>
        <v>0</v>
      </c>
      <c r="U23" s="92" cm="1">
        <f t="array" ref="U23">Tablo3[[#This Row],[HW1]]*$D$47/Tablo11[HW1]+Tablo3[[#This Row],[HW2]]*$E$47/Tablo11[HW2]+Tablo3[[#This Row],[HW3]]*$F$47/Tablo11[HW3]+Tablo3[[#This Row],[HW4]]*$G$47/Tablo11[HW4]+Tablo3[[#This Row],[HW5]]*$H$47/Tablo11[HW5]</f>
        <v>0</v>
      </c>
      <c r="V23" s="9">
        <f>SUM(Tablo3[[#This Row],[DÇ1]:[DÇ10]])</f>
        <v>45</v>
      </c>
      <c r="W23" s="8">
        <f>_xlfn.NORM.DIST(Tablo3[[#This Row],[TOTAL]],$M$60,$N$60,FALSE)</f>
        <v>0.21745744673130762</v>
      </c>
    </row>
    <row r="24" spans="2:23" ht="15.6" thickTop="1" thickBot="1" x14ac:dyDescent="0.35">
      <c r="B24" s="93">
        <v>20</v>
      </c>
      <c r="C24" s="14">
        <v>13</v>
      </c>
      <c r="D24" s="61" t="s">
        <v>110</v>
      </c>
      <c r="E24" s="61" t="s">
        <v>111</v>
      </c>
      <c r="F24" s="5">
        <v>3</v>
      </c>
      <c r="G24" s="5">
        <v>1</v>
      </c>
      <c r="H24" s="5">
        <v>1</v>
      </c>
      <c r="I24" s="5">
        <v>8</v>
      </c>
      <c r="J24" s="5">
        <v>9</v>
      </c>
      <c r="K24" s="8">
        <f>(Tablo3[[#This Row],[HW1]]+Tablo3[[#This Row],[HW2]]+Tablo3[[#This Row],[HW3]]+Tablo3[[#This Row],[HW4]]+Tablo3[[#This Row],[HW5]])/5</f>
        <v>4.4000000000000004</v>
      </c>
      <c r="L24" s="8" cm="1">
        <f t="array" ref="L24">Tablo3[[#This Row],[HW1]]*$D$38/Tablo11[HW1]+Tablo3[[#This Row],[HW2]]*$E$38/Tablo11[HW2]+Tablo3[[#This Row],[HW3]]*$F$38/Tablo11[HW3]+Tablo3[[#This Row],[HW4]]*$G$38/Tablo11[HW4]+Tablo3[[#This Row],[HW5]]*$H$38/Tablo11[HW5]</f>
        <v>26.5</v>
      </c>
      <c r="M24" s="8" cm="1">
        <f t="array" ref="M24">Tablo3[[#This Row],[HW1]]*$D$39/Tablo11[HW1]+Tablo3[[#This Row],[HW2]]*$E$39/Tablo11[HW2]+Tablo3[[#This Row],[HW3]]*$F$39/Tablo11[HW3]+Tablo3[[#This Row],[HW4]]*$G$39/Tablo11[HW4]+Tablo3[[#This Row],[HW5]]*$H$39/Tablo11[HW5]</f>
        <v>1</v>
      </c>
      <c r="N24" s="8" cm="1">
        <f t="array" ref="N24">Tablo3[[#This Row],[HW1]]*$D$40/Tablo11[HW1]+Tablo3[[#This Row],[HW2]]*$E$40/Tablo11[HW2]+Tablo3[[#This Row],[HW3]]*$F$40/Tablo11[HW3]+Tablo3[[#This Row],[HW4]]*$G$40/Tablo11[HW4]+Tablo3[[#This Row],[HW5]]*$H$40/Tablo11[HW5]</f>
        <v>10.5</v>
      </c>
      <c r="O24" s="8" cm="1">
        <f t="array" ref="O24">Tablo3[[#This Row],[HW1]]*$D$41/Tablo11[HW1]+Tablo3[[#This Row],[HW2]]*$E$41/Tablo11[HW2]+Tablo3[[#This Row],[HW3]]*$F$41/Tablo11[HW3]+Tablo3[[#This Row],[HW4]]*$G$41/Tablo11[HW4]+Tablo3[[#This Row],[HW5]]*$H$41/Tablo11[HW5]</f>
        <v>3</v>
      </c>
      <c r="P24" s="92" cm="1">
        <f t="array" ref="P24">Tablo3[[#This Row],[HW1]]*$D$42/Tablo11[HW1]+Tablo3[[#This Row],[HW2]]*$E$42/Tablo11[HW2]+Tablo3[[#This Row],[HW3]]*$F$42/Tablo11[HW3]+Tablo3[[#This Row],[HW4]]*$G$42/Tablo11[HW4]+Tablo3[[#This Row],[HW5]]*$H$42/Tablo11[HW5]</f>
        <v>0</v>
      </c>
      <c r="Q24" s="92" cm="1">
        <f t="array" ref="Q24">Tablo3[[#This Row],[HW1]]*$D$43/Tablo11[HW1]+Tablo3[[#This Row],[HW2]]*$E$43/Tablo11[HW2]+Tablo3[[#This Row],[HW3]]*$F$43/Tablo11[HW3]+Tablo3[[#This Row],[HW4]]*$G$43/Tablo11[HW4]+Tablo3[[#This Row],[HW5]]*$H$43/Tablo11[HW5]</f>
        <v>0</v>
      </c>
      <c r="R24" s="92" cm="1">
        <f t="array" ref="R24">Tablo3[[#This Row],[HW1]]*$D$44/Tablo11[HW1]+Tablo3[[#This Row],[HW2]]*$E$44/Tablo11[HW2]+Tablo3[[#This Row],[HW3]]*$F$44/Tablo11[HW3]+Tablo3[[#This Row],[HW4]]*$G$44/Tablo11[HW4]+Tablo3[[#This Row],[HW5]]*$H$44/Tablo11[HW5]</f>
        <v>0</v>
      </c>
      <c r="S24" s="92" cm="1">
        <f t="array" ref="S24">Tablo3[[#This Row],[HW1]]*$D$45/Tablo11[HW1]+Tablo3[[#This Row],[HW2]]*$E$45/Tablo11[HW2]+Tablo3[[#This Row],[HW3]]*$F$45/Tablo11[HW3]+Tablo3[[#This Row],[HW4]]*$G$45/Tablo11[HW4]+Tablo3[[#This Row],[HW5]]*$H$45/Tablo11[HW5]</f>
        <v>0</v>
      </c>
      <c r="T24" s="92" cm="1">
        <f t="array" ref="T24">Tablo3[[#This Row],[HW1]]*$D$46/Tablo11[HW1]+Tablo3[[#This Row],[HW2]]*$E$46/Tablo11[HW2]+Tablo3[[#This Row],[HW3]]*$F$46/Tablo11[HW3]+Tablo3[[#This Row],[HW4]]*$G$46/Tablo11[HW4]+Tablo3[[#This Row],[HW5]]*$H$46/Tablo11[HW5]</f>
        <v>0</v>
      </c>
      <c r="U24" s="92" cm="1">
        <f t="array" ref="U24">Tablo3[[#This Row],[HW1]]*$D$47/Tablo11[HW1]+Tablo3[[#This Row],[HW2]]*$E$47/Tablo11[HW2]+Tablo3[[#This Row],[HW3]]*$F$47/Tablo11[HW3]+Tablo3[[#This Row],[HW4]]*$G$47/Tablo11[HW4]+Tablo3[[#This Row],[HW5]]*$H$47/Tablo11[HW5]</f>
        <v>0</v>
      </c>
      <c r="V24" s="9">
        <f>SUM(Tablo3[[#This Row],[DÇ1]:[DÇ10]])</f>
        <v>41</v>
      </c>
      <c r="W24" s="8">
        <f>_xlfn.NORM.DIST(Tablo3[[#This Row],[TOTAL]],$M$60,$N$60,FALSE)</f>
        <v>0.21411869786350599</v>
      </c>
    </row>
    <row r="25" spans="2:23" ht="15.6" thickTop="1" thickBot="1" x14ac:dyDescent="0.35">
      <c r="B25" s="91">
        <v>21</v>
      </c>
      <c r="C25" s="14">
        <v>22</v>
      </c>
      <c r="D25" s="61" t="s">
        <v>110</v>
      </c>
      <c r="E25" s="61" t="s">
        <v>111</v>
      </c>
      <c r="F25" s="5">
        <v>1</v>
      </c>
      <c r="G25" s="5">
        <v>1</v>
      </c>
      <c r="H25" s="5">
        <v>8</v>
      </c>
      <c r="I25" s="5">
        <v>9</v>
      </c>
      <c r="J25" s="5">
        <v>3</v>
      </c>
      <c r="K25" s="8">
        <f>(Tablo3[[#This Row],[HW1]]+Tablo3[[#This Row],[HW2]]+Tablo3[[#This Row],[HW3]]+Tablo3[[#This Row],[HW4]]+Tablo3[[#This Row],[HW5]])/5</f>
        <v>4.4000000000000004</v>
      </c>
      <c r="L25" s="8" cm="1">
        <f t="array" ref="L25">Tablo3[[#This Row],[HW1]]*$D$38/Tablo11[HW1]+Tablo3[[#This Row],[HW2]]*$E$38/Tablo11[HW2]+Tablo3[[#This Row],[HW3]]*$F$38/Tablo11[HW3]+Tablo3[[#This Row],[HW4]]*$G$38/Tablo11[HW4]+Tablo3[[#This Row],[HW5]]*$H$38/Tablo11[HW5]</f>
        <v>29.5</v>
      </c>
      <c r="M25" s="8" cm="1">
        <f t="array" ref="M25">Tablo3[[#This Row],[HW1]]*$D$39/Tablo11[HW1]+Tablo3[[#This Row],[HW2]]*$E$39/Tablo11[HW2]+Tablo3[[#This Row],[HW3]]*$F$39/Tablo11[HW3]+Tablo3[[#This Row],[HW4]]*$G$39/Tablo11[HW4]+Tablo3[[#This Row],[HW5]]*$H$39/Tablo11[HW5]</f>
        <v>1</v>
      </c>
      <c r="N25" s="8" cm="1">
        <f t="array" ref="N25">Tablo3[[#This Row],[HW1]]*$D$40/Tablo11[HW1]+Tablo3[[#This Row],[HW2]]*$E$40/Tablo11[HW2]+Tablo3[[#This Row],[HW3]]*$F$40/Tablo11[HW3]+Tablo3[[#This Row],[HW4]]*$G$40/Tablo11[HW4]+Tablo3[[#This Row],[HW5]]*$H$40/Tablo11[HW5]</f>
        <v>7</v>
      </c>
      <c r="O25" s="8" cm="1">
        <f t="array" ref="O25">Tablo3[[#This Row],[HW1]]*$D$41/Tablo11[HW1]+Tablo3[[#This Row],[HW2]]*$E$41/Tablo11[HW2]+Tablo3[[#This Row],[HW3]]*$F$41/Tablo11[HW3]+Tablo3[[#This Row],[HW4]]*$G$41/Tablo11[HW4]+Tablo3[[#This Row],[HW5]]*$H$41/Tablo11[HW5]</f>
        <v>1</v>
      </c>
      <c r="P25" s="92" cm="1">
        <f t="array" ref="P25">Tablo3[[#This Row],[HW1]]*$D$42/Tablo11[HW1]+Tablo3[[#This Row],[HW2]]*$E$42/Tablo11[HW2]+Tablo3[[#This Row],[HW3]]*$F$42/Tablo11[HW3]+Tablo3[[#This Row],[HW4]]*$G$42/Tablo11[HW4]+Tablo3[[#This Row],[HW5]]*$H$42/Tablo11[HW5]</f>
        <v>0</v>
      </c>
      <c r="Q25" s="92" cm="1">
        <f t="array" ref="Q25">Tablo3[[#This Row],[HW1]]*$D$43/Tablo11[HW1]+Tablo3[[#This Row],[HW2]]*$E$43/Tablo11[HW2]+Tablo3[[#This Row],[HW3]]*$F$43/Tablo11[HW3]+Tablo3[[#This Row],[HW4]]*$G$43/Tablo11[HW4]+Tablo3[[#This Row],[HW5]]*$H$43/Tablo11[HW5]</f>
        <v>0</v>
      </c>
      <c r="R25" s="92" cm="1">
        <f t="array" ref="R25">Tablo3[[#This Row],[HW1]]*$D$44/Tablo11[HW1]+Tablo3[[#This Row],[HW2]]*$E$44/Tablo11[HW2]+Tablo3[[#This Row],[HW3]]*$F$44/Tablo11[HW3]+Tablo3[[#This Row],[HW4]]*$G$44/Tablo11[HW4]+Tablo3[[#This Row],[HW5]]*$H$44/Tablo11[HW5]</f>
        <v>0</v>
      </c>
      <c r="S25" s="92" cm="1">
        <f t="array" ref="S25">Tablo3[[#This Row],[HW1]]*$D$45/Tablo11[HW1]+Tablo3[[#This Row],[HW2]]*$E$45/Tablo11[HW2]+Tablo3[[#This Row],[HW3]]*$F$45/Tablo11[HW3]+Tablo3[[#This Row],[HW4]]*$G$45/Tablo11[HW4]+Tablo3[[#This Row],[HW5]]*$H$45/Tablo11[HW5]</f>
        <v>0</v>
      </c>
      <c r="T25" s="92" cm="1">
        <f t="array" ref="T25">Tablo3[[#This Row],[HW1]]*$D$46/Tablo11[HW1]+Tablo3[[#This Row],[HW2]]*$E$46/Tablo11[HW2]+Tablo3[[#This Row],[HW3]]*$F$46/Tablo11[HW3]+Tablo3[[#This Row],[HW4]]*$G$46/Tablo11[HW4]+Tablo3[[#This Row],[HW5]]*$H$46/Tablo11[HW5]</f>
        <v>0</v>
      </c>
      <c r="U25" s="92" cm="1">
        <f t="array" ref="U25">Tablo3[[#This Row],[HW1]]*$D$47/Tablo11[HW1]+Tablo3[[#This Row],[HW2]]*$E$47/Tablo11[HW2]+Tablo3[[#This Row],[HW3]]*$F$47/Tablo11[HW3]+Tablo3[[#This Row],[HW4]]*$G$47/Tablo11[HW4]+Tablo3[[#This Row],[HW5]]*$H$47/Tablo11[HW5]</f>
        <v>0</v>
      </c>
      <c r="V25" s="9">
        <f>SUM(Tablo3[[#This Row],[DÇ1]:[DÇ10]])</f>
        <v>38.5</v>
      </c>
      <c r="W25" s="8">
        <f>_xlfn.NORM.DIST(Tablo3[[#This Row],[TOTAL]],$M$60,$N$60,FALSE)</f>
        <v>0.21411869786350599</v>
      </c>
    </row>
    <row r="26" spans="2:23" ht="15.6" thickTop="1" thickBot="1" x14ac:dyDescent="0.35">
      <c r="B26" s="93">
        <v>22</v>
      </c>
      <c r="C26" s="14">
        <v>3</v>
      </c>
      <c r="D26" s="66" t="s">
        <v>110</v>
      </c>
      <c r="E26" s="61" t="s">
        <v>111</v>
      </c>
      <c r="F26" s="5">
        <v>8</v>
      </c>
      <c r="G26" s="5">
        <v>1</v>
      </c>
      <c r="H26" s="5">
        <v>8</v>
      </c>
      <c r="I26" s="5">
        <v>2</v>
      </c>
      <c r="J26" s="5">
        <v>2</v>
      </c>
      <c r="K26" s="8">
        <f>(Tablo3[[#This Row],[HW1]]+Tablo3[[#This Row],[HW2]]+Tablo3[[#This Row],[HW3]]+Tablo3[[#This Row],[HW4]]+Tablo3[[#This Row],[HW5]])/5</f>
        <v>4.2</v>
      </c>
      <c r="L26" s="8" cm="1">
        <f t="array" ref="L26">Tablo3[[#This Row],[HW1]]*$D$38/Tablo11[HW1]+Tablo3[[#This Row],[HW2]]*$E$38/Tablo11[HW2]+Tablo3[[#This Row],[HW3]]*$F$38/Tablo11[HW3]+Tablo3[[#This Row],[HW4]]*$G$38/Tablo11[HW4]+Tablo3[[#This Row],[HW5]]*$H$38/Tablo11[HW5]</f>
        <v>14.5</v>
      </c>
      <c r="M26" s="8" cm="1">
        <f t="array" ref="M26">Tablo3[[#This Row],[HW1]]*$D$39/Tablo11[HW1]+Tablo3[[#This Row],[HW2]]*$E$39/Tablo11[HW2]+Tablo3[[#This Row],[HW3]]*$F$39/Tablo11[HW3]+Tablo3[[#This Row],[HW4]]*$G$39/Tablo11[HW4]+Tablo3[[#This Row],[HW5]]*$H$39/Tablo11[HW5]</f>
        <v>1</v>
      </c>
      <c r="N26" s="8" cm="1">
        <f t="array" ref="N26">Tablo3[[#This Row],[HW1]]*$D$40/Tablo11[HW1]+Tablo3[[#This Row],[HW2]]*$E$40/Tablo11[HW2]+Tablo3[[#This Row],[HW3]]*$F$40/Tablo11[HW3]+Tablo3[[#This Row],[HW4]]*$G$40/Tablo11[HW4]+Tablo3[[#This Row],[HW5]]*$H$40/Tablo11[HW5]</f>
        <v>6.5</v>
      </c>
      <c r="O26" s="8" cm="1">
        <f t="array" ref="O26">Tablo3[[#This Row],[HW1]]*$D$41/Tablo11[HW1]+Tablo3[[#This Row],[HW2]]*$E$41/Tablo11[HW2]+Tablo3[[#This Row],[HW3]]*$F$41/Tablo11[HW3]+Tablo3[[#This Row],[HW4]]*$G$41/Tablo11[HW4]+Tablo3[[#This Row],[HW5]]*$H$41/Tablo11[HW5]</f>
        <v>8</v>
      </c>
      <c r="P26" s="92" cm="1">
        <f t="array" ref="P26">Tablo3[[#This Row],[HW1]]*$D$42/Tablo11[HW1]+Tablo3[[#This Row],[HW2]]*$E$42/Tablo11[HW2]+Tablo3[[#This Row],[HW3]]*$F$42/Tablo11[HW3]+Tablo3[[#This Row],[HW4]]*$G$42/Tablo11[HW4]+Tablo3[[#This Row],[HW5]]*$H$42/Tablo11[HW5]</f>
        <v>0</v>
      </c>
      <c r="Q26" s="92" cm="1">
        <f t="array" ref="Q26">Tablo3[[#This Row],[HW1]]*$D$43/Tablo11[HW1]+Tablo3[[#This Row],[HW2]]*$E$43/Tablo11[HW2]+Tablo3[[#This Row],[HW3]]*$F$43/Tablo11[HW3]+Tablo3[[#This Row],[HW4]]*$G$43/Tablo11[HW4]+Tablo3[[#This Row],[HW5]]*$H$43/Tablo11[HW5]</f>
        <v>0</v>
      </c>
      <c r="R26" s="92" cm="1">
        <f t="array" ref="R26">Tablo3[[#This Row],[HW1]]*$D$44/Tablo11[HW1]+Tablo3[[#This Row],[HW2]]*$E$44/Tablo11[HW2]+Tablo3[[#This Row],[HW3]]*$F$44/Tablo11[HW3]+Tablo3[[#This Row],[HW4]]*$G$44/Tablo11[HW4]+Tablo3[[#This Row],[HW5]]*$H$44/Tablo11[HW5]</f>
        <v>0</v>
      </c>
      <c r="S26" s="92" cm="1">
        <f t="array" ref="S26">Tablo3[[#This Row],[HW1]]*$D$45/Tablo11[HW1]+Tablo3[[#This Row],[HW2]]*$E$45/Tablo11[HW2]+Tablo3[[#This Row],[HW3]]*$F$45/Tablo11[HW3]+Tablo3[[#This Row],[HW4]]*$G$45/Tablo11[HW4]+Tablo3[[#This Row],[HW5]]*$H$45/Tablo11[HW5]</f>
        <v>0</v>
      </c>
      <c r="T26" s="92" cm="1">
        <f t="array" ref="T26">Tablo3[[#This Row],[HW1]]*$D$46/Tablo11[HW1]+Tablo3[[#This Row],[HW2]]*$E$46/Tablo11[HW2]+Tablo3[[#This Row],[HW3]]*$F$46/Tablo11[HW3]+Tablo3[[#This Row],[HW4]]*$G$46/Tablo11[HW4]+Tablo3[[#This Row],[HW5]]*$H$46/Tablo11[HW5]</f>
        <v>0</v>
      </c>
      <c r="U26" s="92" cm="1">
        <f t="array" ref="U26">Tablo3[[#This Row],[HW1]]*$D$47/Tablo11[HW1]+Tablo3[[#This Row],[HW2]]*$E$47/Tablo11[HW2]+Tablo3[[#This Row],[HW3]]*$F$47/Tablo11[HW3]+Tablo3[[#This Row],[HW4]]*$G$47/Tablo11[HW4]+Tablo3[[#This Row],[HW5]]*$H$47/Tablo11[HW5]</f>
        <v>0</v>
      </c>
      <c r="V26" s="9">
        <f>SUM(Tablo3[[#This Row],[DÇ1]:[DÇ10]])</f>
        <v>30</v>
      </c>
      <c r="W26" s="8">
        <f>_xlfn.NORM.DIST(Tablo3[[#This Row],[TOTAL]],$M$60,$N$60,FALSE)</f>
        <v>0.20870903916793651</v>
      </c>
    </row>
    <row r="27" spans="2:23" ht="15.6" thickTop="1" thickBot="1" x14ac:dyDescent="0.35">
      <c r="B27" s="91">
        <v>23</v>
      </c>
      <c r="C27" s="14">
        <v>29</v>
      </c>
      <c r="D27" s="61" t="s">
        <v>110</v>
      </c>
      <c r="E27" s="61" t="s">
        <v>111</v>
      </c>
      <c r="F27" s="5">
        <v>0</v>
      </c>
      <c r="G27" s="5">
        <v>0</v>
      </c>
      <c r="H27" s="5">
        <v>7</v>
      </c>
      <c r="I27" s="5">
        <v>8</v>
      </c>
      <c r="J27" s="5">
        <v>6</v>
      </c>
      <c r="K27" s="8">
        <f>(Tablo3[[#This Row],[HW1]]+Tablo3[[#This Row],[HW2]]+Tablo3[[#This Row],[HW3]]+Tablo3[[#This Row],[HW4]]+Tablo3[[#This Row],[HW5]])/5</f>
        <v>4.2</v>
      </c>
      <c r="L27" s="8" cm="1">
        <f t="array" ref="L27">Tablo3[[#This Row],[HW1]]*$D$38/Tablo11[HW1]+Tablo3[[#This Row],[HW2]]*$E$38/Tablo11[HW2]+Tablo3[[#This Row],[HW3]]*$F$38/Tablo11[HW3]+Tablo3[[#This Row],[HW4]]*$G$38/Tablo11[HW4]+Tablo3[[#This Row],[HW5]]*$H$38/Tablo11[HW5]</f>
        <v>29</v>
      </c>
      <c r="M27" s="8" cm="1">
        <f t="array" ref="M27">Tablo3[[#This Row],[HW1]]*$D$39/Tablo11[HW1]+Tablo3[[#This Row],[HW2]]*$E$39/Tablo11[HW2]+Tablo3[[#This Row],[HW3]]*$F$39/Tablo11[HW3]+Tablo3[[#This Row],[HW4]]*$G$39/Tablo11[HW4]+Tablo3[[#This Row],[HW5]]*$H$39/Tablo11[HW5]</f>
        <v>0</v>
      </c>
      <c r="N27" s="8" cm="1">
        <f t="array" ref="N27">Tablo3[[#This Row],[HW1]]*$D$40/Tablo11[HW1]+Tablo3[[#This Row],[HW2]]*$E$40/Tablo11[HW2]+Tablo3[[#This Row],[HW3]]*$F$40/Tablo11[HW3]+Tablo3[[#This Row],[HW4]]*$G$40/Tablo11[HW4]+Tablo3[[#This Row],[HW5]]*$H$40/Tablo11[HW5]</f>
        <v>7</v>
      </c>
      <c r="O27" s="8" cm="1">
        <f t="array" ref="O27">Tablo3[[#This Row],[HW1]]*$D$41/Tablo11[HW1]+Tablo3[[#This Row],[HW2]]*$E$41/Tablo11[HW2]+Tablo3[[#This Row],[HW3]]*$F$41/Tablo11[HW3]+Tablo3[[#This Row],[HW4]]*$G$41/Tablo11[HW4]+Tablo3[[#This Row],[HW5]]*$H$41/Tablo11[HW5]</f>
        <v>0</v>
      </c>
      <c r="P27" s="92" cm="1">
        <f t="array" ref="P27">Tablo3[[#This Row],[HW1]]*$D$42/Tablo11[HW1]+Tablo3[[#This Row],[HW2]]*$E$42/Tablo11[HW2]+Tablo3[[#This Row],[HW3]]*$F$42/Tablo11[HW3]+Tablo3[[#This Row],[HW4]]*$G$42/Tablo11[HW4]+Tablo3[[#This Row],[HW5]]*$H$42/Tablo11[HW5]</f>
        <v>0</v>
      </c>
      <c r="Q27" s="92" cm="1">
        <f t="array" ref="Q27">Tablo3[[#This Row],[HW1]]*$D$43/Tablo11[HW1]+Tablo3[[#This Row],[HW2]]*$E$43/Tablo11[HW2]+Tablo3[[#This Row],[HW3]]*$F$43/Tablo11[HW3]+Tablo3[[#This Row],[HW4]]*$G$43/Tablo11[HW4]+Tablo3[[#This Row],[HW5]]*$H$43/Tablo11[HW5]</f>
        <v>0</v>
      </c>
      <c r="R27" s="92" cm="1">
        <f t="array" ref="R27">Tablo3[[#This Row],[HW1]]*$D$44/Tablo11[HW1]+Tablo3[[#This Row],[HW2]]*$E$44/Tablo11[HW2]+Tablo3[[#This Row],[HW3]]*$F$44/Tablo11[HW3]+Tablo3[[#This Row],[HW4]]*$G$44/Tablo11[HW4]+Tablo3[[#This Row],[HW5]]*$H$44/Tablo11[HW5]</f>
        <v>0</v>
      </c>
      <c r="S27" s="92" cm="1">
        <f t="array" ref="S27">Tablo3[[#This Row],[HW1]]*$D$45/Tablo11[HW1]+Tablo3[[#This Row],[HW2]]*$E$45/Tablo11[HW2]+Tablo3[[#This Row],[HW3]]*$F$45/Tablo11[HW3]+Tablo3[[#This Row],[HW4]]*$G$45/Tablo11[HW4]+Tablo3[[#This Row],[HW5]]*$H$45/Tablo11[HW5]</f>
        <v>0</v>
      </c>
      <c r="T27" s="92" cm="1">
        <f t="array" ref="T27">Tablo3[[#This Row],[HW1]]*$D$46/Tablo11[HW1]+Tablo3[[#This Row],[HW2]]*$E$46/Tablo11[HW2]+Tablo3[[#This Row],[HW3]]*$F$46/Tablo11[HW3]+Tablo3[[#This Row],[HW4]]*$G$46/Tablo11[HW4]+Tablo3[[#This Row],[HW5]]*$H$46/Tablo11[HW5]</f>
        <v>0</v>
      </c>
      <c r="U27" s="92" cm="1">
        <f t="array" ref="U27">Tablo3[[#This Row],[HW1]]*$D$47/Tablo11[HW1]+Tablo3[[#This Row],[HW2]]*$E$47/Tablo11[HW2]+Tablo3[[#This Row],[HW3]]*$F$47/Tablo11[HW3]+Tablo3[[#This Row],[HW4]]*$G$47/Tablo11[HW4]+Tablo3[[#This Row],[HW5]]*$H$47/Tablo11[HW5]</f>
        <v>0</v>
      </c>
      <c r="V27" s="9">
        <f>SUM(Tablo3[[#This Row],[DÇ1]:[DÇ10]])</f>
        <v>36</v>
      </c>
      <c r="W27" s="8">
        <f>_xlfn.NORM.DIST(Tablo3[[#This Row],[TOTAL]],$M$60,$N$60,FALSE)</f>
        <v>0.20870903916793651</v>
      </c>
    </row>
    <row r="28" spans="2:23" ht="15.6" thickTop="1" thickBot="1" x14ac:dyDescent="0.35">
      <c r="B28" s="93">
        <v>24</v>
      </c>
      <c r="C28" s="14">
        <v>9</v>
      </c>
      <c r="D28" s="61" t="s">
        <v>110</v>
      </c>
      <c r="E28" s="61" t="s">
        <v>111</v>
      </c>
      <c r="F28" s="5">
        <v>0</v>
      </c>
      <c r="G28" s="5">
        <v>2</v>
      </c>
      <c r="H28" s="5">
        <v>8</v>
      </c>
      <c r="I28" s="5">
        <v>5</v>
      </c>
      <c r="J28" s="5">
        <v>5</v>
      </c>
      <c r="K28" s="8">
        <f>(Tablo3[[#This Row],[HW1]]+Tablo3[[#This Row],[HW2]]+Tablo3[[#This Row],[HW3]]+Tablo3[[#This Row],[HW4]]+Tablo3[[#This Row],[HW5]])/5</f>
        <v>4</v>
      </c>
      <c r="L28" s="8" cm="1">
        <f t="array" ref="L28">Tablo3[[#This Row],[HW1]]*$D$38/Tablo11[HW1]+Tablo3[[#This Row],[HW2]]*$E$38/Tablo11[HW2]+Tablo3[[#This Row],[HW3]]*$F$38/Tablo11[HW3]+Tablo3[[#This Row],[HW4]]*$G$38/Tablo11[HW4]+Tablo3[[#This Row],[HW5]]*$H$38/Tablo11[HW5]</f>
        <v>24</v>
      </c>
      <c r="M28" s="8" cm="1">
        <f t="array" ref="M28">Tablo3[[#This Row],[HW1]]*$D$39/Tablo11[HW1]+Tablo3[[#This Row],[HW2]]*$E$39/Tablo11[HW2]+Tablo3[[#This Row],[HW3]]*$F$39/Tablo11[HW3]+Tablo3[[#This Row],[HW4]]*$G$39/Tablo11[HW4]+Tablo3[[#This Row],[HW5]]*$H$39/Tablo11[HW5]</f>
        <v>2</v>
      </c>
      <c r="N28" s="8" cm="1">
        <f t="array" ref="N28">Tablo3[[#This Row],[HW1]]*$D$40/Tablo11[HW1]+Tablo3[[#This Row],[HW2]]*$E$40/Tablo11[HW2]+Tablo3[[#This Row],[HW3]]*$F$40/Tablo11[HW3]+Tablo3[[#This Row],[HW4]]*$G$40/Tablo11[HW4]+Tablo3[[#This Row],[HW5]]*$H$40/Tablo11[HW5]</f>
        <v>6</v>
      </c>
      <c r="O28" s="8" cm="1">
        <f t="array" ref="O28">Tablo3[[#This Row],[HW1]]*$D$41/Tablo11[HW1]+Tablo3[[#This Row],[HW2]]*$E$41/Tablo11[HW2]+Tablo3[[#This Row],[HW3]]*$F$41/Tablo11[HW3]+Tablo3[[#This Row],[HW4]]*$G$41/Tablo11[HW4]+Tablo3[[#This Row],[HW5]]*$H$41/Tablo11[HW5]</f>
        <v>0</v>
      </c>
      <c r="P28" s="92" cm="1">
        <f t="array" ref="P28">Tablo3[[#This Row],[HW1]]*$D$42/Tablo11[HW1]+Tablo3[[#This Row],[HW2]]*$E$42/Tablo11[HW2]+Tablo3[[#This Row],[HW3]]*$F$42/Tablo11[HW3]+Tablo3[[#This Row],[HW4]]*$G$42/Tablo11[HW4]+Tablo3[[#This Row],[HW5]]*$H$42/Tablo11[HW5]</f>
        <v>0</v>
      </c>
      <c r="Q28" s="92" cm="1">
        <f t="array" ref="Q28">Tablo3[[#This Row],[HW1]]*$D$43/Tablo11[HW1]+Tablo3[[#This Row],[HW2]]*$E$43/Tablo11[HW2]+Tablo3[[#This Row],[HW3]]*$F$43/Tablo11[HW3]+Tablo3[[#This Row],[HW4]]*$G$43/Tablo11[HW4]+Tablo3[[#This Row],[HW5]]*$H$43/Tablo11[HW5]</f>
        <v>0</v>
      </c>
      <c r="R28" s="92" cm="1">
        <f t="array" ref="R28">Tablo3[[#This Row],[HW1]]*$D$44/Tablo11[HW1]+Tablo3[[#This Row],[HW2]]*$E$44/Tablo11[HW2]+Tablo3[[#This Row],[HW3]]*$F$44/Tablo11[HW3]+Tablo3[[#This Row],[HW4]]*$G$44/Tablo11[HW4]+Tablo3[[#This Row],[HW5]]*$H$44/Tablo11[HW5]</f>
        <v>0</v>
      </c>
      <c r="S28" s="92" cm="1">
        <f t="array" ref="S28">Tablo3[[#This Row],[HW1]]*$D$45/Tablo11[HW1]+Tablo3[[#This Row],[HW2]]*$E$45/Tablo11[HW2]+Tablo3[[#This Row],[HW3]]*$F$45/Tablo11[HW3]+Tablo3[[#This Row],[HW4]]*$G$45/Tablo11[HW4]+Tablo3[[#This Row],[HW5]]*$H$45/Tablo11[HW5]</f>
        <v>0</v>
      </c>
      <c r="T28" s="92" cm="1">
        <f t="array" ref="T28">Tablo3[[#This Row],[HW1]]*$D$46/Tablo11[HW1]+Tablo3[[#This Row],[HW2]]*$E$46/Tablo11[HW2]+Tablo3[[#This Row],[HW3]]*$F$46/Tablo11[HW3]+Tablo3[[#This Row],[HW4]]*$G$46/Tablo11[HW4]+Tablo3[[#This Row],[HW5]]*$H$46/Tablo11[HW5]</f>
        <v>0</v>
      </c>
      <c r="U28" s="92" cm="1">
        <f t="array" ref="U28">Tablo3[[#This Row],[HW1]]*$D$47/Tablo11[HW1]+Tablo3[[#This Row],[HW2]]*$E$47/Tablo11[HW2]+Tablo3[[#This Row],[HW3]]*$F$47/Tablo11[HW3]+Tablo3[[#This Row],[HW4]]*$G$47/Tablo11[HW4]+Tablo3[[#This Row],[HW5]]*$H$47/Tablo11[HW5]</f>
        <v>0</v>
      </c>
      <c r="V28" s="9">
        <f>SUM(Tablo3[[#This Row],[DÇ1]:[DÇ10]])</f>
        <v>32</v>
      </c>
      <c r="W28" s="8">
        <f>_xlfn.NORM.DIST(Tablo3[[#This Row],[TOTAL]],$M$60,$N$60,FALSE)</f>
        <v>0.20102910116975697</v>
      </c>
    </row>
    <row r="29" spans="2:23" ht="15.6" thickTop="1" thickBot="1" x14ac:dyDescent="0.35">
      <c r="B29" s="91">
        <v>25</v>
      </c>
      <c r="C29" s="14">
        <v>27</v>
      </c>
      <c r="D29" s="61" t="s">
        <v>110</v>
      </c>
      <c r="E29" s="61" t="s">
        <v>111</v>
      </c>
      <c r="F29" s="5">
        <v>1</v>
      </c>
      <c r="G29" s="5">
        <v>1</v>
      </c>
      <c r="H29" s="5">
        <v>7</v>
      </c>
      <c r="I29" s="5">
        <v>5</v>
      </c>
      <c r="J29" s="5">
        <v>6</v>
      </c>
      <c r="K29" s="8">
        <f>(Tablo3[[#This Row],[HW1]]+Tablo3[[#This Row],[HW2]]+Tablo3[[#This Row],[HW3]]+Tablo3[[#This Row],[HW4]]+Tablo3[[#This Row],[HW5]])/5</f>
        <v>4</v>
      </c>
      <c r="L29" s="8" cm="1">
        <f t="array" ref="L29">Tablo3[[#This Row],[HW1]]*$D$38/Tablo11[HW1]+Tablo3[[#This Row],[HW2]]*$E$38/Tablo11[HW2]+Tablo3[[#This Row],[HW3]]*$F$38/Tablo11[HW3]+Tablo3[[#This Row],[HW4]]*$G$38/Tablo11[HW4]+Tablo3[[#This Row],[HW5]]*$H$38/Tablo11[HW5]</f>
        <v>23.5</v>
      </c>
      <c r="M29" s="8" cm="1">
        <f t="array" ref="M29">Tablo3[[#This Row],[HW1]]*$D$39/Tablo11[HW1]+Tablo3[[#This Row],[HW2]]*$E$39/Tablo11[HW2]+Tablo3[[#This Row],[HW3]]*$F$39/Tablo11[HW3]+Tablo3[[#This Row],[HW4]]*$G$39/Tablo11[HW4]+Tablo3[[#This Row],[HW5]]*$H$39/Tablo11[HW5]</f>
        <v>1</v>
      </c>
      <c r="N29" s="8" cm="1">
        <f t="array" ref="N29">Tablo3[[#This Row],[HW1]]*$D$40/Tablo11[HW1]+Tablo3[[#This Row],[HW2]]*$E$40/Tablo11[HW2]+Tablo3[[#This Row],[HW3]]*$F$40/Tablo11[HW3]+Tablo3[[#This Row],[HW4]]*$G$40/Tablo11[HW4]+Tablo3[[#This Row],[HW5]]*$H$40/Tablo11[HW5]</f>
        <v>6.5</v>
      </c>
      <c r="O29" s="8" cm="1">
        <f t="array" ref="O29">Tablo3[[#This Row],[HW1]]*$D$41/Tablo11[HW1]+Tablo3[[#This Row],[HW2]]*$E$41/Tablo11[HW2]+Tablo3[[#This Row],[HW3]]*$F$41/Tablo11[HW3]+Tablo3[[#This Row],[HW4]]*$G$41/Tablo11[HW4]+Tablo3[[#This Row],[HW5]]*$H$41/Tablo11[HW5]</f>
        <v>1</v>
      </c>
      <c r="P29" s="92" cm="1">
        <f t="array" ref="P29">Tablo3[[#This Row],[HW1]]*$D$42/Tablo11[HW1]+Tablo3[[#This Row],[HW2]]*$E$42/Tablo11[HW2]+Tablo3[[#This Row],[HW3]]*$F$42/Tablo11[HW3]+Tablo3[[#This Row],[HW4]]*$G$42/Tablo11[HW4]+Tablo3[[#This Row],[HW5]]*$H$42/Tablo11[HW5]</f>
        <v>0</v>
      </c>
      <c r="Q29" s="92" cm="1">
        <f t="array" ref="Q29">Tablo3[[#This Row],[HW1]]*$D$43/Tablo11[HW1]+Tablo3[[#This Row],[HW2]]*$E$43/Tablo11[HW2]+Tablo3[[#This Row],[HW3]]*$F$43/Tablo11[HW3]+Tablo3[[#This Row],[HW4]]*$G$43/Tablo11[HW4]+Tablo3[[#This Row],[HW5]]*$H$43/Tablo11[HW5]</f>
        <v>0</v>
      </c>
      <c r="R29" s="92" cm="1">
        <f t="array" ref="R29">Tablo3[[#This Row],[HW1]]*$D$44/Tablo11[HW1]+Tablo3[[#This Row],[HW2]]*$E$44/Tablo11[HW2]+Tablo3[[#This Row],[HW3]]*$F$44/Tablo11[HW3]+Tablo3[[#This Row],[HW4]]*$G$44/Tablo11[HW4]+Tablo3[[#This Row],[HW5]]*$H$44/Tablo11[HW5]</f>
        <v>0</v>
      </c>
      <c r="S29" s="92" cm="1">
        <f t="array" ref="S29">Tablo3[[#This Row],[HW1]]*$D$45/Tablo11[HW1]+Tablo3[[#This Row],[HW2]]*$E$45/Tablo11[HW2]+Tablo3[[#This Row],[HW3]]*$F$45/Tablo11[HW3]+Tablo3[[#This Row],[HW4]]*$G$45/Tablo11[HW4]+Tablo3[[#This Row],[HW5]]*$H$45/Tablo11[HW5]</f>
        <v>0</v>
      </c>
      <c r="T29" s="92" cm="1">
        <f t="array" ref="T29">Tablo3[[#This Row],[HW1]]*$D$46/Tablo11[HW1]+Tablo3[[#This Row],[HW2]]*$E$46/Tablo11[HW2]+Tablo3[[#This Row],[HW3]]*$F$46/Tablo11[HW3]+Tablo3[[#This Row],[HW4]]*$G$46/Tablo11[HW4]+Tablo3[[#This Row],[HW5]]*$H$46/Tablo11[HW5]</f>
        <v>0</v>
      </c>
      <c r="U29" s="92" cm="1">
        <f t="array" ref="U29">Tablo3[[#This Row],[HW1]]*$D$47/Tablo11[HW1]+Tablo3[[#This Row],[HW2]]*$E$47/Tablo11[HW2]+Tablo3[[#This Row],[HW3]]*$F$47/Tablo11[HW3]+Tablo3[[#This Row],[HW4]]*$G$47/Tablo11[HW4]+Tablo3[[#This Row],[HW5]]*$H$47/Tablo11[HW5]</f>
        <v>0</v>
      </c>
      <c r="V29" s="9">
        <f>SUM(Tablo3[[#This Row],[DÇ1]:[DÇ10]])</f>
        <v>32</v>
      </c>
      <c r="W29" s="8">
        <f>_xlfn.NORM.DIST(Tablo3[[#This Row],[TOTAL]],$M$60,$N$60,FALSE)</f>
        <v>0.20102910116975697</v>
      </c>
    </row>
    <row r="30" spans="2:23" ht="15.6" thickTop="1" thickBot="1" x14ac:dyDescent="0.35">
      <c r="B30" s="93">
        <v>26</v>
      </c>
      <c r="C30" s="14">
        <v>14</v>
      </c>
      <c r="D30" s="61" t="s">
        <v>110</v>
      </c>
      <c r="E30" s="61" t="s">
        <v>111</v>
      </c>
      <c r="F30" s="5">
        <v>0</v>
      </c>
      <c r="G30" s="5">
        <v>1</v>
      </c>
      <c r="H30" s="5">
        <v>8</v>
      </c>
      <c r="I30" s="5">
        <v>3</v>
      </c>
      <c r="J30" s="5">
        <v>5</v>
      </c>
      <c r="K30" s="8">
        <f>(Tablo3[[#This Row],[HW1]]+Tablo3[[#This Row],[HW2]]+Tablo3[[#This Row],[HW3]]+Tablo3[[#This Row],[HW4]]+Tablo3[[#This Row],[HW5]])/5</f>
        <v>3.4</v>
      </c>
      <c r="L30" s="8" cm="1">
        <f t="array" ref="L30">Tablo3[[#This Row],[HW1]]*$D$38/Tablo11[HW1]+Tablo3[[#This Row],[HW2]]*$E$38/Tablo11[HW2]+Tablo3[[#This Row],[HW3]]*$F$38/Tablo11[HW3]+Tablo3[[#This Row],[HW4]]*$G$38/Tablo11[HW4]+Tablo3[[#This Row],[HW5]]*$H$38/Tablo11[HW5]</f>
        <v>19.5</v>
      </c>
      <c r="M30" s="8" cm="1">
        <f t="array" ref="M30">Tablo3[[#This Row],[HW1]]*$D$39/Tablo11[HW1]+Tablo3[[#This Row],[HW2]]*$E$39/Tablo11[HW2]+Tablo3[[#This Row],[HW3]]*$F$39/Tablo11[HW3]+Tablo3[[#This Row],[HW4]]*$G$39/Tablo11[HW4]+Tablo3[[#This Row],[HW5]]*$H$39/Tablo11[HW5]</f>
        <v>1</v>
      </c>
      <c r="N30" s="8" cm="1">
        <f t="array" ref="N30">Tablo3[[#This Row],[HW1]]*$D$40/Tablo11[HW1]+Tablo3[[#This Row],[HW2]]*$E$40/Tablo11[HW2]+Tablo3[[#This Row],[HW3]]*$F$40/Tablo11[HW3]+Tablo3[[#This Row],[HW4]]*$G$40/Tablo11[HW4]+Tablo3[[#This Row],[HW5]]*$H$40/Tablo11[HW5]</f>
        <v>4.5</v>
      </c>
      <c r="O30" s="8" cm="1">
        <f t="array" ref="O30">Tablo3[[#This Row],[HW1]]*$D$41/Tablo11[HW1]+Tablo3[[#This Row],[HW2]]*$E$41/Tablo11[HW2]+Tablo3[[#This Row],[HW3]]*$F$41/Tablo11[HW3]+Tablo3[[#This Row],[HW4]]*$G$41/Tablo11[HW4]+Tablo3[[#This Row],[HW5]]*$H$41/Tablo11[HW5]</f>
        <v>0</v>
      </c>
      <c r="P30" s="92" cm="1">
        <f t="array" ref="P30">Tablo3[[#This Row],[HW1]]*$D$42/Tablo11[HW1]+Tablo3[[#This Row],[HW2]]*$E$42/Tablo11[HW2]+Tablo3[[#This Row],[HW3]]*$F$42/Tablo11[HW3]+Tablo3[[#This Row],[HW4]]*$G$42/Tablo11[HW4]+Tablo3[[#This Row],[HW5]]*$H$42/Tablo11[HW5]</f>
        <v>0</v>
      </c>
      <c r="Q30" s="92" cm="1">
        <f t="array" ref="Q30">Tablo3[[#This Row],[HW1]]*$D$43/Tablo11[HW1]+Tablo3[[#This Row],[HW2]]*$E$43/Tablo11[HW2]+Tablo3[[#This Row],[HW3]]*$F$43/Tablo11[HW3]+Tablo3[[#This Row],[HW4]]*$G$43/Tablo11[HW4]+Tablo3[[#This Row],[HW5]]*$H$43/Tablo11[HW5]</f>
        <v>0</v>
      </c>
      <c r="R30" s="92" cm="1">
        <f t="array" ref="R30">Tablo3[[#This Row],[HW1]]*$D$44/Tablo11[HW1]+Tablo3[[#This Row],[HW2]]*$E$44/Tablo11[HW2]+Tablo3[[#This Row],[HW3]]*$F$44/Tablo11[HW3]+Tablo3[[#This Row],[HW4]]*$G$44/Tablo11[HW4]+Tablo3[[#This Row],[HW5]]*$H$44/Tablo11[HW5]</f>
        <v>0</v>
      </c>
      <c r="S30" s="92" cm="1">
        <f t="array" ref="S30">Tablo3[[#This Row],[HW1]]*$D$45/Tablo11[HW1]+Tablo3[[#This Row],[HW2]]*$E$45/Tablo11[HW2]+Tablo3[[#This Row],[HW3]]*$F$45/Tablo11[HW3]+Tablo3[[#This Row],[HW4]]*$G$45/Tablo11[HW4]+Tablo3[[#This Row],[HW5]]*$H$45/Tablo11[HW5]</f>
        <v>0</v>
      </c>
      <c r="T30" s="92" cm="1">
        <f t="array" ref="T30">Tablo3[[#This Row],[HW1]]*$D$46/Tablo11[HW1]+Tablo3[[#This Row],[HW2]]*$E$46/Tablo11[HW2]+Tablo3[[#This Row],[HW3]]*$F$46/Tablo11[HW3]+Tablo3[[#This Row],[HW4]]*$G$46/Tablo11[HW4]+Tablo3[[#This Row],[HW5]]*$H$46/Tablo11[HW5]</f>
        <v>0</v>
      </c>
      <c r="U30" s="92" cm="1">
        <f t="array" ref="U30">Tablo3[[#This Row],[HW1]]*$D$47/Tablo11[HW1]+Tablo3[[#This Row],[HW2]]*$E$47/Tablo11[HW2]+Tablo3[[#This Row],[HW3]]*$F$47/Tablo11[HW3]+Tablo3[[#This Row],[HW4]]*$G$47/Tablo11[HW4]+Tablo3[[#This Row],[HW5]]*$H$47/Tablo11[HW5]</f>
        <v>0</v>
      </c>
      <c r="V30" s="9">
        <f>SUM(Tablo3[[#This Row],[DÇ1]:[DÇ10]])</f>
        <v>25</v>
      </c>
      <c r="W30" s="8">
        <f>_xlfn.NORM.DIST(Tablo3[[#This Row],[TOTAL]],$M$60,$N$60,FALSE)</f>
        <v>0.1672622711371497</v>
      </c>
    </row>
    <row r="31" spans="2:23" ht="15.6" thickTop="1" thickBot="1" x14ac:dyDescent="0.35">
      <c r="B31" s="91">
        <v>27</v>
      </c>
      <c r="C31" s="14">
        <v>18</v>
      </c>
      <c r="D31" s="61" t="s">
        <v>110</v>
      </c>
      <c r="E31" s="61" t="s">
        <v>111</v>
      </c>
      <c r="F31" s="5">
        <v>0</v>
      </c>
      <c r="G31" s="5">
        <v>0</v>
      </c>
      <c r="H31" s="5">
        <v>6</v>
      </c>
      <c r="I31" s="5">
        <v>6</v>
      </c>
      <c r="J31" s="5">
        <v>2</v>
      </c>
      <c r="K31" s="8">
        <f>(Tablo3[[#This Row],[HW1]]+Tablo3[[#This Row],[HW2]]+Tablo3[[#This Row],[HW3]]+Tablo3[[#This Row],[HW4]]+Tablo3[[#This Row],[HW5]])/5</f>
        <v>2.8</v>
      </c>
      <c r="L31" s="8" cm="1">
        <f t="array" ref="L31">Tablo3[[#This Row],[HW1]]*$D$38/Tablo11[HW1]+Tablo3[[#This Row],[HW2]]*$E$38/Tablo11[HW2]+Tablo3[[#This Row],[HW3]]*$F$38/Tablo11[HW3]+Tablo3[[#This Row],[HW4]]*$G$38/Tablo11[HW4]+Tablo3[[#This Row],[HW5]]*$H$38/Tablo11[HW5]</f>
        <v>20</v>
      </c>
      <c r="M31" s="8" cm="1">
        <f t="array" ref="M31">Tablo3[[#This Row],[HW1]]*$D$39/Tablo11[HW1]+Tablo3[[#This Row],[HW2]]*$E$39/Tablo11[HW2]+Tablo3[[#This Row],[HW3]]*$F$39/Tablo11[HW3]+Tablo3[[#This Row],[HW4]]*$G$39/Tablo11[HW4]+Tablo3[[#This Row],[HW5]]*$H$39/Tablo11[HW5]</f>
        <v>0</v>
      </c>
      <c r="N31" s="8" cm="1">
        <f t="array" ref="N31">Tablo3[[#This Row],[HW1]]*$D$40/Tablo11[HW1]+Tablo3[[#This Row],[HW2]]*$E$40/Tablo11[HW2]+Tablo3[[#This Row],[HW3]]*$F$40/Tablo11[HW3]+Tablo3[[#This Row],[HW4]]*$G$40/Tablo11[HW4]+Tablo3[[#This Row],[HW5]]*$H$40/Tablo11[HW5]</f>
        <v>4</v>
      </c>
      <c r="O31" s="8" cm="1">
        <f t="array" ref="O31">Tablo3[[#This Row],[HW1]]*$D$41/Tablo11[HW1]+Tablo3[[#This Row],[HW2]]*$E$41/Tablo11[HW2]+Tablo3[[#This Row],[HW3]]*$F$41/Tablo11[HW3]+Tablo3[[#This Row],[HW4]]*$G$41/Tablo11[HW4]+Tablo3[[#This Row],[HW5]]*$H$41/Tablo11[HW5]</f>
        <v>0</v>
      </c>
      <c r="P31" s="92" cm="1">
        <f t="array" ref="P31">Tablo3[[#This Row],[HW1]]*$D$42/Tablo11[HW1]+Tablo3[[#This Row],[HW2]]*$E$42/Tablo11[HW2]+Tablo3[[#This Row],[HW3]]*$F$42/Tablo11[HW3]+Tablo3[[#This Row],[HW4]]*$G$42/Tablo11[HW4]+Tablo3[[#This Row],[HW5]]*$H$42/Tablo11[HW5]</f>
        <v>0</v>
      </c>
      <c r="Q31" s="92" cm="1">
        <f t="array" ref="Q31">Tablo3[[#This Row],[HW1]]*$D$43/Tablo11[HW1]+Tablo3[[#This Row],[HW2]]*$E$43/Tablo11[HW2]+Tablo3[[#This Row],[HW3]]*$F$43/Tablo11[HW3]+Tablo3[[#This Row],[HW4]]*$G$43/Tablo11[HW4]+Tablo3[[#This Row],[HW5]]*$H$43/Tablo11[HW5]</f>
        <v>0</v>
      </c>
      <c r="R31" s="92" cm="1">
        <f t="array" ref="R31">Tablo3[[#This Row],[HW1]]*$D$44/Tablo11[HW1]+Tablo3[[#This Row],[HW2]]*$E$44/Tablo11[HW2]+Tablo3[[#This Row],[HW3]]*$F$44/Tablo11[HW3]+Tablo3[[#This Row],[HW4]]*$G$44/Tablo11[HW4]+Tablo3[[#This Row],[HW5]]*$H$44/Tablo11[HW5]</f>
        <v>0</v>
      </c>
      <c r="S31" s="92" cm="1">
        <f t="array" ref="S31">Tablo3[[#This Row],[HW1]]*$D$45/Tablo11[HW1]+Tablo3[[#This Row],[HW2]]*$E$45/Tablo11[HW2]+Tablo3[[#This Row],[HW3]]*$F$45/Tablo11[HW3]+Tablo3[[#This Row],[HW4]]*$G$45/Tablo11[HW4]+Tablo3[[#This Row],[HW5]]*$H$45/Tablo11[HW5]</f>
        <v>0</v>
      </c>
      <c r="T31" s="92" cm="1">
        <f t="array" ref="T31">Tablo3[[#This Row],[HW1]]*$D$46/Tablo11[HW1]+Tablo3[[#This Row],[HW2]]*$E$46/Tablo11[HW2]+Tablo3[[#This Row],[HW3]]*$F$46/Tablo11[HW3]+Tablo3[[#This Row],[HW4]]*$G$46/Tablo11[HW4]+Tablo3[[#This Row],[HW5]]*$H$46/Tablo11[HW5]</f>
        <v>0</v>
      </c>
      <c r="U31" s="92" cm="1">
        <f t="array" ref="U31">Tablo3[[#This Row],[HW1]]*$D$47/Tablo11[HW1]+Tablo3[[#This Row],[HW2]]*$E$47/Tablo11[HW2]+Tablo3[[#This Row],[HW3]]*$F$47/Tablo11[HW3]+Tablo3[[#This Row],[HW4]]*$G$47/Tablo11[HW4]+Tablo3[[#This Row],[HW5]]*$H$47/Tablo11[HW5]</f>
        <v>0</v>
      </c>
      <c r="V31" s="9">
        <f>SUM(Tablo3[[#This Row],[DÇ1]:[DÇ10]])</f>
        <v>24</v>
      </c>
      <c r="W31" s="8">
        <f>_xlfn.NORM.DIST(Tablo3[[#This Row],[TOTAL]],$M$60,$N$60,FALSE)</f>
        <v>0.12503054128395824</v>
      </c>
    </row>
    <row r="32" spans="2:23" ht="15.6" thickTop="1" thickBot="1" x14ac:dyDescent="0.35">
      <c r="B32" s="93">
        <v>28</v>
      </c>
      <c r="C32" s="14">
        <v>25</v>
      </c>
      <c r="D32" s="61" t="s">
        <v>110</v>
      </c>
      <c r="E32" s="61" t="s">
        <v>111</v>
      </c>
      <c r="F32" s="5">
        <v>0</v>
      </c>
      <c r="G32" s="5">
        <v>0</v>
      </c>
      <c r="H32" s="5">
        <v>5</v>
      </c>
      <c r="I32" s="5">
        <v>0</v>
      </c>
      <c r="J32" s="5">
        <v>6</v>
      </c>
      <c r="K32" s="8">
        <f>(Tablo3[[#This Row],[HW1]]+Tablo3[[#This Row],[HW2]]+Tablo3[[#This Row],[HW3]]+Tablo3[[#This Row],[HW4]]+Tablo3[[#This Row],[HW5]])/5</f>
        <v>2.2000000000000002</v>
      </c>
      <c r="L32" s="8" cm="1">
        <f t="array" ref="L32">Tablo3[[#This Row],[HW1]]*$D$38/Tablo11[HW1]+Tablo3[[#This Row],[HW2]]*$E$38/Tablo11[HW2]+Tablo3[[#This Row],[HW3]]*$F$38/Tablo11[HW3]+Tablo3[[#This Row],[HW4]]*$G$38/Tablo11[HW4]+Tablo3[[#This Row],[HW5]]*$H$38/Tablo11[HW5]</f>
        <v>11</v>
      </c>
      <c r="M32" s="8" cm="1">
        <f t="array" ref="M32">Tablo3[[#This Row],[HW1]]*$D$39/Tablo11[HW1]+Tablo3[[#This Row],[HW2]]*$E$39/Tablo11[HW2]+Tablo3[[#This Row],[HW3]]*$F$39/Tablo11[HW3]+Tablo3[[#This Row],[HW4]]*$G$39/Tablo11[HW4]+Tablo3[[#This Row],[HW5]]*$H$39/Tablo11[HW5]</f>
        <v>0</v>
      </c>
      <c r="N32" s="8" cm="1">
        <f t="array" ref="N32">Tablo3[[#This Row],[HW1]]*$D$40/Tablo11[HW1]+Tablo3[[#This Row],[HW2]]*$E$40/Tablo11[HW2]+Tablo3[[#This Row],[HW3]]*$F$40/Tablo11[HW3]+Tablo3[[#This Row],[HW4]]*$G$40/Tablo11[HW4]+Tablo3[[#This Row],[HW5]]*$H$40/Tablo11[HW5]</f>
        <v>3</v>
      </c>
      <c r="O32" s="8" cm="1">
        <f t="array" ref="O32">Tablo3[[#This Row],[HW1]]*$D$41/Tablo11[HW1]+Tablo3[[#This Row],[HW2]]*$E$41/Tablo11[HW2]+Tablo3[[#This Row],[HW3]]*$F$41/Tablo11[HW3]+Tablo3[[#This Row],[HW4]]*$G$41/Tablo11[HW4]+Tablo3[[#This Row],[HW5]]*$H$41/Tablo11[HW5]</f>
        <v>0</v>
      </c>
      <c r="P32" s="92" cm="1">
        <f t="array" ref="P32">Tablo3[[#This Row],[HW1]]*$D$42/Tablo11[HW1]+Tablo3[[#This Row],[HW2]]*$E$42/Tablo11[HW2]+Tablo3[[#This Row],[HW3]]*$F$42/Tablo11[HW3]+Tablo3[[#This Row],[HW4]]*$G$42/Tablo11[HW4]+Tablo3[[#This Row],[HW5]]*$H$42/Tablo11[HW5]</f>
        <v>0</v>
      </c>
      <c r="Q32" s="92" cm="1">
        <f t="array" ref="Q32">Tablo3[[#This Row],[HW1]]*$D$43/Tablo11[HW1]+Tablo3[[#This Row],[HW2]]*$E$43/Tablo11[HW2]+Tablo3[[#This Row],[HW3]]*$F$43/Tablo11[HW3]+Tablo3[[#This Row],[HW4]]*$G$43/Tablo11[HW4]+Tablo3[[#This Row],[HW5]]*$H$43/Tablo11[HW5]</f>
        <v>0</v>
      </c>
      <c r="R32" s="92" cm="1">
        <f t="array" ref="R32">Tablo3[[#This Row],[HW1]]*$D$44/Tablo11[HW1]+Tablo3[[#This Row],[HW2]]*$E$44/Tablo11[HW2]+Tablo3[[#This Row],[HW3]]*$F$44/Tablo11[HW3]+Tablo3[[#This Row],[HW4]]*$G$44/Tablo11[HW4]+Tablo3[[#This Row],[HW5]]*$H$44/Tablo11[HW5]</f>
        <v>0</v>
      </c>
      <c r="S32" s="92" cm="1">
        <f t="array" ref="S32">Tablo3[[#This Row],[HW1]]*$D$45/Tablo11[HW1]+Tablo3[[#This Row],[HW2]]*$E$45/Tablo11[HW2]+Tablo3[[#This Row],[HW3]]*$F$45/Tablo11[HW3]+Tablo3[[#This Row],[HW4]]*$G$45/Tablo11[HW4]+Tablo3[[#This Row],[HW5]]*$H$45/Tablo11[HW5]</f>
        <v>0</v>
      </c>
      <c r="T32" s="92" cm="1">
        <f t="array" ref="T32">Tablo3[[#This Row],[HW1]]*$D$46/Tablo11[HW1]+Tablo3[[#This Row],[HW2]]*$E$46/Tablo11[HW2]+Tablo3[[#This Row],[HW3]]*$F$46/Tablo11[HW3]+Tablo3[[#This Row],[HW4]]*$G$46/Tablo11[HW4]+Tablo3[[#This Row],[HW5]]*$H$46/Tablo11[HW5]</f>
        <v>0</v>
      </c>
      <c r="U32" s="92" cm="1">
        <f t="array" ref="U32">Tablo3[[#This Row],[HW1]]*$D$47/Tablo11[HW1]+Tablo3[[#This Row],[HW2]]*$E$47/Tablo11[HW2]+Tablo3[[#This Row],[HW3]]*$F$47/Tablo11[HW3]+Tablo3[[#This Row],[HW4]]*$G$47/Tablo11[HW4]+Tablo3[[#This Row],[HW5]]*$H$47/Tablo11[HW5]</f>
        <v>0</v>
      </c>
      <c r="V32" s="9">
        <f>SUM(Tablo3[[#This Row],[DÇ1]:[DÇ10]])</f>
        <v>14</v>
      </c>
      <c r="W32" s="8">
        <f>_xlfn.NORM.DIST(Tablo3[[#This Row],[TOTAL]],$M$60,$N$60,FALSE)</f>
        <v>8.3967900900453391E-2</v>
      </c>
    </row>
    <row r="33" spans="2:23" ht="15.6" thickTop="1" thickBot="1" x14ac:dyDescent="0.35">
      <c r="B33" s="91">
        <v>29</v>
      </c>
      <c r="C33" s="14">
        <v>5</v>
      </c>
      <c r="D33" s="61" t="s">
        <v>110</v>
      </c>
      <c r="E33" s="61" t="s">
        <v>111</v>
      </c>
      <c r="F33" s="5">
        <v>0</v>
      </c>
      <c r="G33" s="5">
        <v>0</v>
      </c>
      <c r="H33" s="5">
        <v>0</v>
      </c>
      <c r="I33" s="5">
        <v>0</v>
      </c>
      <c r="J33" s="5">
        <v>0</v>
      </c>
      <c r="K33" s="8">
        <f>(Tablo3[[#This Row],[HW1]]+Tablo3[[#This Row],[HW2]]+Tablo3[[#This Row],[HW3]]+Tablo3[[#This Row],[HW4]]+Tablo3[[#This Row],[HW5]])/5</f>
        <v>0</v>
      </c>
      <c r="L33" s="8" cm="1">
        <f t="array" ref="L33">Tablo3[[#This Row],[HW1]]*$D$38/Tablo11[HW1]+Tablo3[[#This Row],[HW2]]*$E$38/Tablo11[HW2]+Tablo3[[#This Row],[HW3]]*$F$38/Tablo11[HW3]+Tablo3[[#This Row],[HW4]]*$G$38/Tablo11[HW4]+Tablo3[[#This Row],[HW5]]*$H$38/Tablo11[HW5]</f>
        <v>0</v>
      </c>
      <c r="M33" s="8" cm="1">
        <f t="array" ref="M33">Tablo3[[#This Row],[HW1]]*$D$39/Tablo11[HW1]+Tablo3[[#This Row],[HW2]]*$E$39/Tablo11[HW2]+Tablo3[[#This Row],[HW3]]*$F$39/Tablo11[HW3]+Tablo3[[#This Row],[HW4]]*$G$39/Tablo11[HW4]+Tablo3[[#This Row],[HW5]]*$H$39/Tablo11[HW5]</f>
        <v>0</v>
      </c>
      <c r="N33" s="8" cm="1">
        <f t="array" ref="N33">Tablo3[[#This Row],[HW1]]*$D$40/Tablo11[HW1]+Tablo3[[#This Row],[HW2]]*$E$40/Tablo11[HW2]+Tablo3[[#This Row],[HW3]]*$F$40/Tablo11[HW3]+Tablo3[[#This Row],[HW4]]*$G$40/Tablo11[HW4]+Tablo3[[#This Row],[HW5]]*$H$40/Tablo11[HW5]</f>
        <v>0</v>
      </c>
      <c r="O33" s="8" cm="1">
        <f t="array" ref="O33">Tablo3[[#This Row],[HW1]]*$D$41/Tablo11[HW1]+Tablo3[[#This Row],[HW2]]*$E$41/Tablo11[HW2]+Tablo3[[#This Row],[HW3]]*$F$41/Tablo11[HW3]+Tablo3[[#This Row],[HW4]]*$G$41/Tablo11[HW4]+Tablo3[[#This Row],[HW5]]*$H$41/Tablo11[HW5]</f>
        <v>0</v>
      </c>
      <c r="P33" s="92" cm="1">
        <f t="array" ref="P33">Tablo3[[#This Row],[HW1]]*$D$42/Tablo11[HW1]+Tablo3[[#This Row],[HW2]]*$E$42/Tablo11[HW2]+Tablo3[[#This Row],[HW3]]*$F$42/Tablo11[HW3]+Tablo3[[#This Row],[HW4]]*$G$42/Tablo11[HW4]+Tablo3[[#This Row],[HW5]]*$H$42/Tablo11[HW5]</f>
        <v>0</v>
      </c>
      <c r="Q33" s="92" cm="1">
        <f t="array" ref="Q33">Tablo3[[#This Row],[HW1]]*$D$43/Tablo11[HW1]+Tablo3[[#This Row],[HW2]]*$E$43/Tablo11[HW2]+Tablo3[[#This Row],[HW3]]*$F$43/Tablo11[HW3]+Tablo3[[#This Row],[HW4]]*$G$43/Tablo11[HW4]+Tablo3[[#This Row],[HW5]]*$H$43/Tablo11[HW5]</f>
        <v>0</v>
      </c>
      <c r="R33" s="92" cm="1">
        <f t="array" ref="R33">Tablo3[[#This Row],[HW1]]*$D$44/Tablo11[HW1]+Tablo3[[#This Row],[HW2]]*$E$44/Tablo11[HW2]+Tablo3[[#This Row],[HW3]]*$F$44/Tablo11[HW3]+Tablo3[[#This Row],[HW4]]*$G$44/Tablo11[HW4]+Tablo3[[#This Row],[HW5]]*$H$44/Tablo11[HW5]</f>
        <v>0</v>
      </c>
      <c r="S33" s="92" cm="1">
        <f t="array" ref="S33">Tablo3[[#This Row],[HW1]]*$D$45/Tablo11[HW1]+Tablo3[[#This Row],[HW2]]*$E$45/Tablo11[HW2]+Tablo3[[#This Row],[HW3]]*$F$45/Tablo11[HW3]+Tablo3[[#This Row],[HW4]]*$G$45/Tablo11[HW4]+Tablo3[[#This Row],[HW5]]*$H$45/Tablo11[HW5]</f>
        <v>0</v>
      </c>
      <c r="T33" s="92" cm="1">
        <f t="array" ref="T33">Tablo3[[#This Row],[HW1]]*$D$46/Tablo11[HW1]+Tablo3[[#This Row],[HW2]]*$E$46/Tablo11[HW2]+Tablo3[[#This Row],[HW3]]*$F$46/Tablo11[HW3]+Tablo3[[#This Row],[HW4]]*$G$46/Tablo11[HW4]+Tablo3[[#This Row],[HW5]]*$H$46/Tablo11[HW5]</f>
        <v>0</v>
      </c>
      <c r="U33" s="92" cm="1">
        <f t="array" ref="U33">Tablo3[[#This Row],[HW1]]*$D$47/Tablo11[HW1]+Tablo3[[#This Row],[HW2]]*$E$47/Tablo11[HW2]+Tablo3[[#This Row],[HW3]]*$F$47/Tablo11[HW3]+Tablo3[[#This Row],[HW4]]*$G$47/Tablo11[HW4]+Tablo3[[#This Row],[HW5]]*$H$47/Tablo11[HW5]</f>
        <v>0</v>
      </c>
      <c r="V33" s="9">
        <f>SUM(Tablo3[[#This Row],[DÇ1]:[DÇ10]])</f>
        <v>0</v>
      </c>
      <c r="W33" s="8">
        <f>_xlfn.NORM.DIST(Tablo3[[#This Row],[TOTAL]],$M$60,$N$60,FALSE)</f>
        <v>7.8005253017830751E-3</v>
      </c>
    </row>
    <row r="34" spans="2:23" ht="15.6" thickTop="1" thickBot="1" x14ac:dyDescent="0.35">
      <c r="B34" s="93">
        <v>30</v>
      </c>
      <c r="C34" s="14">
        <v>6</v>
      </c>
      <c r="D34" s="61" t="s">
        <v>110</v>
      </c>
      <c r="E34" s="61" t="s">
        <v>111</v>
      </c>
      <c r="F34" s="5">
        <v>0</v>
      </c>
      <c r="G34" s="5">
        <v>0</v>
      </c>
      <c r="H34" s="5">
        <v>0</v>
      </c>
      <c r="I34" s="5">
        <v>0</v>
      </c>
      <c r="J34" s="5">
        <v>0</v>
      </c>
      <c r="K34" s="8">
        <f>(Tablo3[[#This Row],[HW1]]+Tablo3[[#This Row],[HW2]]+Tablo3[[#This Row],[HW3]]+Tablo3[[#This Row],[HW4]]+Tablo3[[#This Row],[HW5]])/5</f>
        <v>0</v>
      </c>
      <c r="L34" s="8" cm="1">
        <f t="array" ref="L34">Tablo3[[#This Row],[HW1]]*$D$38/Tablo11[HW1]+Tablo3[[#This Row],[HW2]]*$E$38/Tablo11[HW2]+Tablo3[[#This Row],[HW3]]*$F$38/Tablo11[HW3]+Tablo3[[#This Row],[HW4]]*$G$38/Tablo11[HW4]+Tablo3[[#This Row],[HW5]]*$H$38/Tablo11[HW5]</f>
        <v>0</v>
      </c>
      <c r="M34" s="8" cm="1">
        <f t="array" ref="M34">Tablo3[[#This Row],[HW1]]*$D$39/Tablo11[HW1]+Tablo3[[#This Row],[HW2]]*$E$39/Tablo11[HW2]+Tablo3[[#This Row],[HW3]]*$F$39/Tablo11[HW3]+Tablo3[[#This Row],[HW4]]*$G$39/Tablo11[HW4]+Tablo3[[#This Row],[HW5]]*$H$39/Tablo11[HW5]</f>
        <v>0</v>
      </c>
      <c r="N34" s="8" cm="1">
        <f t="array" ref="N34">Tablo3[[#This Row],[HW1]]*$D$40/Tablo11[HW1]+Tablo3[[#This Row],[HW2]]*$E$40/Tablo11[HW2]+Tablo3[[#This Row],[HW3]]*$F$40/Tablo11[HW3]+Tablo3[[#This Row],[HW4]]*$G$40/Tablo11[HW4]+Tablo3[[#This Row],[HW5]]*$H$40/Tablo11[HW5]</f>
        <v>0</v>
      </c>
      <c r="O34" s="8" cm="1">
        <f t="array" ref="O34">Tablo3[[#This Row],[HW1]]*$D$41/Tablo11[HW1]+Tablo3[[#This Row],[HW2]]*$E$41/Tablo11[HW2]+Tablo3[[#This Row],[HW3]]*$F$41/Tablo11[HW3]+Tablo3[[#This Row],[HW4]]*$G$41/Tablo11[HW4]+Tablo3[[#This Row],[HW5]]*$H$41/Tablo11[HW5]</f>
        <v>0</v>
      </c>
      <c r="P34" s="92" cm="1">
        <f t="array" ref="P34">Tablo3[[#This Row],[HW1]]*$D$42/Tablo11[HW1]+Tablo3[[#This Row],[HW2]]*$E$42/Tablo11[HW2]+Tablo3[[#This Row],[HW3]]*$F$42/Tablo11[HW3]+Tablo3[[#This Row],[HW4]]*$G$42/Tablo11[HW4]+Tablo3[[#This Row],[HW5]]*$H$42/Tablo11[HW5]</f>
        <v>0</v>
      </c>
      <c r="Q34" s="92" cm="1">
        <f t="array" ref="Q34">Tablo3[[#This Row],[HW1]]*$D$43/Tablo11[HW1]+Tablo3[[#This Row],[HW2]]*$E$43/Tablo11[HW2]+Tablo3[[#This Row],[HW3]]*$F$43/Tablo11[HW3]+Tablo3[[#This Row],[HW4]]*$G$43/Tablo11[HW4]+Tablo3[[#This Row],[HW5]]*$H$43/Tablo11[HW5]</f>
        <v>0</v>
      </c>
      <c r="R34" s="92" cm="1">
        <f t="array" ref="R34">Tablo3[[#This Row],[HW1]]*$D$44/Tablo11[HW1]+Tablo3[[#This Row],[HW2]]*$E$44/Tablo11[HW2]+Tablo3[[#This Row],[HW3]]*$F$44/Tablo11[HW3]+Tablo3[[#This Row],[HW4]]*$G$44/Tablo11[HW4]+Tablo3[[#This Row],[HW5]]*$H$44/Tablo11[HW5]</f>
        <v>0</v>
      </c>
      <c r="S34" s="92" cm="1">
        <f t="array" ref="S34">Tablo3[[#This Row],[HW1]]*$D$45/Tablo11[HW1]+Tablo3[[#This Row],[HW2]]*$E$45/Tablo11[HW2]+Tablo3[[#This Row],[HW3]]*$F$45/Tablo11[HW3]+Tablo3[[#This Row],[HW4]]*$G$45/Tablo11[HW4]+Tablo3[[#This Row],[HW5]]*$H$45/Tablo11[HW5]</f>
        <v>0</v>
      </c>
      <c r="T34" s="92" cm="1">
        <f t="array" ref="T34">Tablo3[[#This Row],[HW1]]*$D$46/Tablo11[HW1]+Tablo3[[#This Row],[HW2]]*$E$46/Tablo11[HW2]+Tablo3[[#This Row],[HW3]]*$F$46/Tablo11[HW3]+Tablo3[[#This Row],[HW4]]*$G$46/Tablo11[HW4]+Tablo3[[#This Row],[HW5]]*$H$46/Tablo11[HW5]</f>
        <v>0</v>
      </c>
      <c r="U34" s="92" cm="1">
        <f t="array" ref="U34">Tablo3[[#This Row],[HW1]]*$D$47/Tablo11[HW1]+Tablo3[[#This Row],[HW2]]*$E$47/Tablo11[HW2]+Tablo3[[#This Row],[HW3]]*$F$47/Tablo11[HW3]+Tablo3[[#This Row],[HW4]]*$G$47/Tablo11[HW4]+Tablo3[[#This Row],[HW5]]*$H$47/Tablo11[HW5]</f>
        <v>0</v>
      </c>
      <c r="V34" s="9">
        <f>SUM(Tablo3[[#This Row],[DÇ1]:[DÇ10]])</f>
        <v>0</v>
      </c>
      <c r="W34" s="8">
        <f>_xlfn.NORM.DIST(Tablo3[[#This Row],[TOTAL]],$M$60,$N$60,FALSE)</f>
        <v>7.8005253017830751E-3</v>
      </c>
    </row>
    <row r="35" spans="2:23" ht="15" thickTop="1" x14ac:dyDescent="0.3"/>
    <row r="37" spans="2:23" ht="15" thickBot="1" x14ac:dyDescent="0.35">
      <c r="C37" s="6" t="s">
        <v>85</v>
      </c>
      <c r="D37" s="10" t="s">
        <v>146</v>
      </c>
      <c r="E37" s="10" t="s">
        <v>147</v>
      </c>
      <c r="F37" s="10" t="s">
        <v>148</v>
      </c>
      <c r="G37" s="10" t="s">
        <v>149</v>
      </c>
      <c r="H37" s="10" t="s">
        <v>150</v>
      </c>
      <c r="I37" s="31" t="s">
        <v>86</v>
      </c>
      <c r="J37" s="11" t="s">
        <v>87</v>
      </c>
      <c r="K37" s="6" t="s">
        <v>88</v>
      </c>
      <c r="M37" s="27" t="s">
        <v>77</v>
      </c>
      <c r="N37" s="27" t="s">
        <v>78</v>
      </c>
      <c r="O37" s="6"/>
      <c r="P37" s="94" t="s">
        <v>146</v>
      </c>
      <c r="Q37" s="94" t="s">
        <v>147</v>
      </c>
      <c r="R37" s="94" t="s">
        <v>148</v>
      </c>
      <c r="S37" s="94" t="s">
        <v>149</v>
      </c>
      <c r="T37" s="94" t="s">
        <v>150</v>
      </c>
      <c r="U37" s="94" t="s">
        <v>30</v>
      </c>
    </row>
    <row r="38" spans="2:23" ht="15.6" thickTop="1" thickBot="1" x14ac:dyDescent="0.35">
      <c r="C38" s="29">
        <v>1</v>
      </c>
      <c r="D38" s="32">
        <v>0</v>
      </c>
      <c r="E38" s="32">
        <v>5</v>
      </c>
      <c r="F38" s="32">
        <v>10</v>
      </c>
      <c r="G38" s="32">
        <v>20</v>
      </c>
      <c r="H38" s="32">
        <v>10</v>
      </c>
      <c r="I38" s="33">
        <f>SUM(Tablo163719[[#This Row],[HW1]:[HW5]])</f>
        <v>45</v>
      </c>
      <c r="J38" s="34">
        <f>IF(Tablo163719[[#This Row],[TOPLAM]]=0,"0",SUM(Tablo3[DÇ1])/(30*Tablo163719[[#This Row],[TOPLAM]]))</f>
        <v>0.61166666666666669</v>
      </c>
      <c r="K38" s="95">
        <f>$J38*Tablo163719[[#This Row],[TOPLAM]]</f>
        <v>27.525000000000002</v>
      </c>
      <c r="M38" s="30">
        <v>1</v>
      </c>
      <c r="N38" s="5" t="str">
        <f>MAIN!R51</f>
        <v>Çıktı-1</v>
      </c>
      <c r="O38" s="67"/>
      <c r="P38" s="14">
        <v>10</v>
      </c>
      <c r="Q38" s="14">
        <v>10</v>
      </c>
      <c r="R38" s="14">
        <v>10</v>
      </c>
      <c r="S38" s="14">
        <v>10</v>
      </c>
      <c r="T38" s="14">
        <v>10</v>
      </c>
      <c r="U38" s="14">
        <f>SUM(P38,Q38,R38,S38,T38)</f>
        <v>50</v>
      </c>
    </row>
    <row r="39" spans="2:23" ht="15.6" thickTop="1" thickBot="1" x14ac:dyDescent="0.35">
      <c r="C39" s="14">
        <v>2</v>
      </c>
      <c r="D39" s="35">
        <v>0</v>
      </c>
      <c r="E39" s="35">
        <v>10</v>
      </c>
      <c r="F39" s="35">
        <v>0</v>
      </c>
      <c r="G39" s="35">
        <v>0</v>
      </c>
      <c r="H39" s="35">
        <v>0</v>
      </c>
      <c r="I39" s="33">
        <f>SUM(Tablo163719[[#This Row],[HW1]:[HW5]])</f>
        <v>10</v>
      </c>
      <c r="J39" s="34">
        <f>IF(Tablo163719[[#This Row],[TOPLAM]]=0,"0",SUM(Tablo3[DÇ2])/(30*Tablo163719[[#This Row],[TOPLAM]]))</f>
        <v>0.19166666666666668</v>
      </c>
      <c r="K39" s="95">
        <f>$J39*Tablo163719[[#This Row],[TOPLAM]]</f>
        <v>1.9166666666666667</v>
      </c>
      <c r="M39" s="30">
        <v>2</v>
      </c>
      <c r="N39" s="5" t="str">
        <f>MAIN!R52</f>
        <v>Çıktı-2</v>
      </c>
      <c r="O39" s="67"/>
      <c r="P39" s="67"/>
    </row>
    <row r="40" spans="2:23" ht="15.6" thickTop="1" thickBot="1" x14ac:dyDescent="0.35">
      <c r="C40" s="14">
        <v>3</v>
      </c>
      <c r="D40" s="35">
        <v>5</v>
      </c>
      <c r="E40" s="35">
        <v>5</v>
      </c>
      <c r="F40" s="35">
        <v>0</v>
      </c>
      <c r="G40" s="35">
        <v>5</v>
      </c>
      <c r="H40" s="35">
        <v>5</v>
      </c>
      <c r="I40" s="33">
        <f>SUM(Tablo163719[[#This Row],[HW1]:[HW5]])</f>
        <v>20</v>
      </c>
      <c r="J40" s="34">
        <f>IF(Tablo163719[[#This Row],[TOPLAM]]=0,"0",SUM(Tablo3[DÇ3])/(30*Tablo163719[[#This Row],[TOPLAM]]))</f>
        <v>0.42041666666666666</v>
      </c>
      <c r="K40" s="95">
        <f>$J40*Tablo163719[[#This Row],[TOPLAM]]</f>
        <v>8.4083333333333332</v>
      </c>
      <c r="M40" s="30">
        <v>3</v>
      </c>
      <c r="N40" s="5" t="str">
        <f>MAIN!R53</f>
        <v>Çıktı-3</v>
      </c>
      <c r="O40" s="67"/>
      <c r="P40" s="67"/>
    </row>
    <row r="41" spans="2:23" ht="15.6" thickTop="1" thickBot="1" x14ac:dyDescent="0.35">
      <c r="C41" s="14">
        <v>4</v>
      </c>
      <c r="D41" s="35">
        <v>10</v>
      </c>
      <c r="E41" s="35">
        <v>0</v>
      </c>
      <c r="F41" s="35">
        <v>0</v>
      </c>
      <c r="G41" s="35">
        <v>0</v>
      </c>
      <c r="H41" s="35">
        <v>0</v>
      </c>
      <c r="I41" s="33">
        <f>SUM(Tablo163719[[#This Row],[HW1]:[HW5]])</f>
        <v>10</v>
      </c>
      <c r="J41" s="34">
        <f>IF(Tablo163719[[#This Row],[TOPLAM]]=0,"0",SUM(Tablo3[DÇ4])/(30*Tablo163719[[#This Row],[TOPLAM]]))</f>
        <v>0.21</v>
      </c>
      <c r="K41" s="95">
        <f>$J41*Tablo163719[[#This Row],[TOPLAM]]</f>
        <v>2.1</v>
      </c>
      <c r="M41" s="1">
        <v>4</v>
      </c>
      <c r="N41" s="5" t="str">
        <f>MAIN!R54</f>
        <v>Çıktı-4</v>
      </c>
      <c r="O41" s="67"/>
      <c r="P41" s="67"/>
    </row>
    <row r="42" spans="2:23" ht="15.6" thickTop="1" thickBot="1" x14ac:dyDescent="0.35">
      <c r="C42" s="14">
        <v>5</v>
      </c>
      <c r="D42" s="35">
        <v>0</v>
      </c>
      <c r="E42" s="35">
        <v>0</v>
      </c>
      <c r="F42" s="35">
        <v>0</v>
      </c>
      <c r="G42" s="35">
        <v>0</v>
      </c>
      <c r="H42" s="35">
        <v>0</v>
      </c>
      <c r="I42" s="79">
        <f>SUM(Tablo163719[[#This Row],[HW1]:[HW5]])</f>
        <v>0</v>
      </c>
      <c r="J42" s="78" t="str">
        <f>IF(Tablo163719[[#This Row],[TOPLAM]]=0,"0",SUM(Tablo3[DÇ5])/(30*Tablo163719[[#This Row],[TOPLAM]]))</f>
        <v>0</v>
      </c>
      <c r="K42" s="96">
        <f>$J42*Tablo163719[[#This Row],[TOPLAM]]</f>
        <v>0</v>
      </c>
      <c r="M42" s="30">
        <v>5</v>
      </c>
      <c r="N42" s="5" t="str">
        <f>MAIN!R55</f>
        <v>Çıktı-5</v>
      </c>
    </row>
    <row r="43" spans="2:23" ht="15.6" thickTop="1" thickBot="1" x14ac:dyDescent="0.35">
      <c r="C43" s="14">
        <v>6</v>
      </c>
      <c r="D43" s="35">
        <v>0</v>
      </c>
      <c r="E43" s="35">
        <v>0</v>
      </c>
      <c r="F43" s="35">
        <v>0</v>
      </c>
      <c r="G43" s="35">
        <v>0</v>
      </c>
      <c r="H43" s="35">
        <v>0</v>
      </c>
      <c r="I43" s="79">
        <f>SUM(Tablo163719[[#This Row],[HW1]:[HW5]])</f>
        <v>0</v>
      </c>
      <c r="J43" s="78" t="str">
        <f>IF(Tablo163719[[#This Row],[TOPLAM]]=0,"0",SUM(Tablo3[DÇ6])/(30*Tablo163719[[#This Row],[TOPLAM]]))</f>
        <v>0</v>
      </c>
      <c r="K43" s="96">
        <f>$J43*Tablo163719[[#This Row],[TOPLAM]]</f>
        <v>0</v>
      </c>
      <c r="M43" s="30">
        <v>6</v>
      </c>
      <c r="N43" s="5" t="str">
        <f>MAIN!R56</f>
        <v>Çıktı-6</v>
      </c>
    </row>
    <row r="44" spans="2:23" ht="15.6" thickTop="1" thickBot="1" x14ac:dyDescent="0.35">
      <c r="C44" s="14">
        <v>7</v>
      </c>
      <c r="D44" s="35">
        <v>0</v>
      </c>
      <c r="E44" s="35">
        <v>0</v>
      </c>
      <c r="F44" s="35">
        <v>0</v>
      </c>
      <c r="G44" s="35">
        <v>0</v>
      </c>
      <c r="H44" s="35">
        <v>0</v>
      </c>
      <c r="I44" s="79">
        <f>SUM(Tablo163719[[#This Row],[HW1]:[HW5]])</f>
        <v>0</v>
      </c>
      <c r="J44" s="78" t="str">
        <f>IF(Tablo163719[[#This Row],[TOPLAM]]=0,"0",SUM(Tablo3[DÇ7])/(30*Tablo163719[[#This Row],[TOPLAM]]))</f>
        <v>0</v>
      </c>
      <c r="K44" s="96">
        <f>$J44*Tablo163719[[#This Row],[TOPLAM]]</f>
        <v>0</v>
      </c>
      <c r="M44" s="30">
        <v>7</v>
      </c>
      <c r="N44" s="5" t="str">
        <f>MAIN!R57</f>
        <v>Çıktı-7</v>
      </c>
    </row>
    <row r="45" spans="2:23" ht="15.6" thickTop="1" thickBot="1" x14ac:dyDescent="0.35">
      <c r="C45" s="14">
        <v>8</v>
      </c>
      <c r="D45" s="35">
        <v>0</v>
      </c>
      <c r="E45" s="35">
        <v>0</v>
      </c>
      <c r="F45" s="35">
        <v>0</v>
      </c>
      <c r="G45" s="35">
        <v>0</v>
      </c>
      <c r="H45" s="35">
        <v>0</v>
      </c>
      <c r="I45" s="79">
        <f>SUM(Tablo163719[[#This Row],[HW1]:[HW5]])</f>
        <v>0</v>
      </c>
      <c r="J45" s="78" t="str">
        <f>IF(Tablo163719[[#This Row],[TOPLAM]]=0,"0",SUM(Tablo3[DÇ8])/(30*Tablo163719[[#This Row],[TOPLAM]]))</f>
        <v>0</v>
      </c>
      <c r="K45" s="96">
        <f>$J45*Tablo163719[[#This Row],[TOPLAM]]</f>
        <v>0</v>
      </c>
      <c r="M45" s="30">
        <v>8</v>
      </c>
      <c r="N45" s="5" t="str">
        <f>MAIN!R58</f>
        <v>Çıktı-8</v>
      </c>
    </row>
    <row r="46" spans="2:23" ht="15.6" thickTop="1" thickBot="1" x14ac:dyDescent="0.35">
      <c r="C46" s="14">
        <v>9</v>
      </c>
      <c r="D46" s="35">
        <v>0</v>
      </c>
      <c r="E46" s="35">
        <v>0</v>
      </c>
      <c r="F46" s="35">
        <v>0</v>
      </c>
      <c r="G46" s="35">
        <v>0</v>
      </c>
      <c r="H46" s="35">
        <v>0</v>
      </c>
      <c r="I46" s="79">
        <f>SUM(Tablo163719[[#This Row],[HW1]:[HW5]])</f>
        <v>0</v>
      </c>
      <c r="J46" s="78" t="str">
        <f>IF(Tablo163719[[#This Row],[TOPLAM]]=0,"0",SUM(Tablo3[DÇ9])/(30*Tablo163719[[#This Row],[TOPLAM]]))</f>
        <v>0</v>
      </c>
      <c r="K46" s="96">
        <f>$J46*Tablo163719[[#This Row],[TOPLAM]]</f>
        <v>0</v>
      </c>
      <c r="M46" s="30">
        <v>9</v>
      </c>
      <c r="N46" s="5" t="str">
        <f>MAIN!R59</f>
        <v>Çıktı-9</v>
      </c>
    </row>
    <row r="47" spans="2:23" ht="15" thickTop="1" x14ac:dyDescent="0.3">
      <c r="C47" s="14">
        <v>10</v>
      </c>
      <c r="D47" s="35">
        <v>0</v>
      </c>
      <c r="E47" s="35">
        <v>0</v>
      </c>
      <c r="F47" s="35">
        <v>0</v>
      </c>
      <c r="G47" s="35">
        <v>0</v>
      </c>
      <c r="H47" s="35">
        <v>0</v>
      </c>
      <c r="I47" s="79">
        <f>SUM(Tablo163719[[#This Row],[HW1]:[HW5]])</f>
        <v>0</v>
      </c>
      <c r="J47" s="78" t="str">
        <f>IF(Tablo163719[[#This Row],[TOPLAM]]=0,"0",SUM(Tablo3[DÇ10])/(30*Tablo163719[[#This Row],[TOPLAM]]))</f>
        <v>0</v>
      </c>
      <c r="K47" s="96">
        <f>$J47*Tablo163719[[#This Row],[TOPLAM]]</f>
        <v>0</v>
      </c>
      <c r="M47" s="30">
        <v>10</v>
      </c>
      <c r="N47" s="5" t="str">
        <f>MAIN!R60</f>
        <v>Çıktı-10</v>
      </c>
    </row>
    <row r="49" spans="2:14" x14ac:dyDescent="0.3">
      <c r="B49" s="6"/>
      <c r="C49" s="6"/>
    </row>
    <row r="59" spans="2:14" x14ac:dyDescent="0.3">
      <c r="M59" s="6" t="s">
        <v>151</v>
      </c>
      <c r="N59" s="6" t="s">
        <v>152</v>
      </c>
    </row>
    <row r="60" spans="2:14" x14ac:dyDescent="0.3">
      <c r="M60" s="5">
        <f>AVERAGE(Tablo3[TOTAL])</f>
        <v>4.7300000000000004</v>
      </c>
      <c r="N60" s="5">
        <f>_xlfn.STDEV.P(Tablo3[TOTAL])</f>
        <v>1.8332393915325584</v>
      </c>
    </row>
    <row r="80" spans="2:12" x14ac:dyDescent="0.3">
      <c r="B80" s="140" t="s">
        <v>116</v>
      </c>
      <c r="C80" s="140"/>
      <c r="D80" s="140"/>
      <c r="E80" s="140"/>
      <c r="F80" s="140"/>
      <c r="G80" s="140"/>
      <c r="H80" s="140"/>
      <c r="I80" s="140"/>
      <c r="J80" s="140"/>
      <c r="K80" s="140"/>
      <c r="L80" s="140"/>
    </row>
    <row r="81" spans="2:12" x14ac:dyDescent="0.3">
      <c r="B81" s="140"/>
      <c r="C81" s="140"/>
      <c r="D81" s="140"/>
      <c r="E81" s="140"/>
      <c r="F81" s="140"/>
      <c r="G81" s="140"/>
      <c r="H81" s="140"/>
      <c r="I81" s="140"/>
      <c r="J81" s="140"/>
      <c r="K81" s="140"/>
      <c r="L81" s="140"/>
    </row>
  </sheetData>
  <mergeCells count="2">
    <mergeCell ref="B1:V1"/>
    <mergeCell ref="B80:L81"/>
  </mergeCells>
  <conditionalFormatting sqref="I38:I47">
    <cfRule type="cellIs" dxfId="6" priority="1" operator="lessThan">
      <formula>0</formula>
    </cfRule>
    <cfRule type="cellIs" dxfId="5" priority="2" operator="equal">
      <formula>0</formula>
    </cfRule>
    <cfRule type="cellIs" dxfId="4" priority="3" operator="greaterThan">
      <formula>0</formula>
    </cfRule>
  </conditionalFormatting>
  <pageMargins left="0.7" right="0.7" top="0.75" bottom="0.75" header="0.3" footer="0.3"/>
  <pageSetup paperSize="9" orientation="portrait" r:id="rId1"/>
  <drawing r:id="rId2"/>
  <legacyDrawing r:id="rId3"/>
  <tableParts count="6">
    <tablePart r:id="rId4"/>
    <tablePart r:id="rId5"/>
    <tablePart r:id="rId6"/>
    <tablePart r:id="rId7"/>
    <tablePart r:id="rId8"/>
    <tablePart r:id="rId9"/>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44826D-8173-4C6B-91CC-E3C715251A4B}">
  <dimension ref="B1:AF85"/>
  <sheetViews>
    <sheetView tabSelected="1" topLeftCell="A55" zoomScale="70" zoomScaleNormal="70" workbookViewId="0">
      <selection activeCell="O76" sqref="O76"/>
    </sheetView>
  </sheetViews>
  <sheetFormatPr defaultColWidth="8.88671875" defaultRowHeight="14.4" x14ac:dyDescent="0.3"/>
  <cols>
    <col min="1" max="1" width="8.88671875" style="5"/>
    <col min="2" max="2" width="15.33203125" style="5" bestFit="1" customWidth="1"/>
    <col min="3" max="3" width="17.44140625" style="5" bestFit="1" customWidth="1"/>
    <col min="4" max="4" width="21" style="5" bestFit="1" customWidth="1"/>
    <col min="5" max="5" width="14.88671875" style="5" bestFit="1" customWidth="1"/>
    <col min="6" max="6" width="8.33203125" style="5" bestFit="1" customWidth="1"/>
    <col min="7" max="7" width="15.33203125" style="5" bestFit="1" customWidth="1"/>
    <col min="8" max="12" width="11.6640625" style="5" bestFit="1" customWidth="1"/>
    <col min="13" max="13" width="14.88671875" style="5" bestFit="1" customWidth="1"/>
    <col min="14" max="14" width="15.6640625" style="5" bestFit="1" customWidth="1"/>
    <col min="15" max="15" width="17.44140625" style="5" bestFit="1" customWidth="1"/>
    <col min="16" max="16" width="10" style="5" bestFit="1" customWidth="1"/>
    <col min="17" max="17" width="10.109375" style="5" customWidth="1"/>
    <col min="18" max="18" width="15" style="5" bestFit="1" customWidth="1"/>
    <col min="19" max="19" width="19.33203125" style="5" bestFit="1" customWidth="1"/>
    <col min="20" max="20" width="10.6640625" style="5" bestFit="1" customWidth="1"/>
    <col min="21" max="21" width="14.44140625" style="5" bestFit="1" customWidth="1"/>
    <col min="22" max="22" width="15.6640625" style="5" bestFit="1" customWidth="1"/>
    <col min="23" max="23" width="8.5546875" style="5" bestFit="1" customWidth="1"/>
    <col min="24" max="24" width="14.6640625" style="5" bestFit="1" customWidth="1"/>
    <col min="25" max="25" width="10.6640625" style="5" customWidth="1"/>
    <col min="26" max="29" width="8.5546875" style="5" bestFit="1" customWidth="1"/>
    <col min="30" max="30" width="9.5546875" style="5" bestFit="1" customWidth="1"/>
    <col min="31" max="31" width="11.6640625" style="5" customWidth="1"/>
    <col min="32" max="32" width="19.6640625" style="5" bestFit="1" customWidth="1"/>
    <col min="33" max="16384" width="8.88671875" style="5"/>
  </cols>
  <sheetData>
    <row r="1" spans="2:32" ht="33.6" x14ac:dyDescent="0.3">
      <c r="B1" s="137" t="s">
        <v>153</v>
      </c>
      <c r="C1" s="137"/>
      <c r="D1" s="137"/>
      <c r="E1" s="137"/>
      <c r="F1" s="137"/>
      <c r="G1" s="137"/>
      <c r="H1" s="137"/>
      <c r="I1" s="137"/>
      <c r="J1" s="137"/>
      <c r="K1" s="137"/>
      <c r="L1" s="137"/>
      <c r="M1" s="137"/>
      <c r="N1" s="137"/>
      <c r="O1" s="137"/>
      <c r="P1" s="137"/>
      <c r="Q1" s="137"/>
      <c r="R1" s="137"/>
      <c r="S1" s="137"/>
      <c r="T1" s="137"/>
      <c r="U1" s="137"/>
      <c r="V1" s="137"/>
    </row>
    <row r="4" spans="2:32" ht="15" thickBot="1" x14ac:dyDescent="0.35">
      <c r="B4" s="89" t="s">
        <v>94</v>
      </c>
      <c r="C4" s="2" t="s">
        <v>95</v>
      </c>
      <c r="D4" s="90" t="s">
        <v>110</v>
      </c>
      <c r="E4" s="90" t="s">
        <v>111</v>
      </c>
      <c r="F4" s="6" t="s">
        <v>154</v>
      </c>
      <c r="G4" s="6" t="s">
        <v>155</v>
      </c>
      <c r="H4" s="6" t="s">
        <v>156</v>
      </c>
      <c r="I4" s="6" t="s">
        <v>157</v>
      </c>
      <c r="J4" s="6" t="s">
        <v>158</v>
      </c>
      <c r="K4" s="6" t="s">
        <v>159</v>
      </c>
      <c r="L4" s="6" t="s">
        <v>160</v>
      </c>
      <c r="M4" s="6" t="s">
        <v>161</v>
      </c>
      <c r="N4" s="6" t="s">
        <v>162</v>
      </c>
      <c r="O4" s="6" t="s">
        <v>163</v>
      </c>
      <c r="P4" s="6" t="s">
        <v>164</v>
      </c>
      <c r="Q4" s="6" t="s">
        <v>165</v>
      </c>
      <c r="R4" s="6" t="s">
        <v>166</v>
      </c>
      <c r="S4" s="6" t="s">
        <v>167</v>
      </c>
      <c r="T4" s="6" t="s">
        <v>30</v>
      </c>
      <c r="U4" s="6" t="s">
        <v>72</v>
      </c>
      <c r="V4" s="6" t="s">
        <v>73</v>
      </c>
      <c r="W4" s="6" t="s">
        <v>74</v>
      </c>
      <c r="X4" s="6" t="s">
        <v>75</v>
      </c>
      <c r="Y4" s="6" t="s">
        <v>135</v>
      </c>
      <c r="Z4" s="6" t="s">
        <v>136</v>
      </c>
      <c r="AA4" s="6" t="s">
        <v>137</v>
      </c>
      <c r="AB4" s="6" t="s">
        <v>138</v>
      </c>
      <c r="AC4" s="6" t="s">
        <v>139</v>
      </c>
      <c r="AD4" s="6" t="s">
        <v>140</v>
      </c>
      <c r="AE4" s="6" t="s">
        <v>168</v>
      </c>
      <c r="AF4" s="2" t="s">
        <v>115</v>
      </c>
    </row>
    <row r="5" spans="2:32" ht="15.6" thickTop="1" thickBot="1" x14ac:dyDescent="0.35">
      <c r="B5" s="91">
        <v>1</v>
      </c>
      <c r="C5" s="14">
        <v>8</v>
      </c>
      <c r="D5" s="61" t="s">
        <v>110</v>
      </c>
      <c r="E5" s="61" t="s">
        <v>111</v>
      </c>
      <c r="F5" s="5">
        <v>4</v>
      </c>
      <c r="G5" s="5">
        <v>5</v>
      </c>
      <c r="H5" s="5">
        <v>5</v>
      </c>
      <c r="I5" s="5">
        <v>5</v>
      </c>
      <c r="J5" s="5">
        <v>5</v>
      </c>
      <c r="K5" s="5">
        <v>8</v>
      </c>
      <c r="L5" s="5">
        <v>5</v>
      </c>
      <c r="M5" s="5">
        <v>5</v>
      </c>
      <c r="N5" s="5">
        <v>5</v>
      </c>
      <c r="O5" s="5">
        <v>5</v>
      </c>
      <c r="P5" s="5">
        <v>6</v>
      </c>
      <c r="Q5" s="5">
        <v>5</v>
      </c>
      <c r="R5" s="5">
        <v>6</v>
      </c>
      <c r="S5" s="5">
        <v>5</v>
      </c>
      <c r="T5" s="8">
        <f>SUM(Tablo314[[#This Row],[LW1]:[LW14]])</f>
        <v>74</v>
      </c>
      <c r="U5" s="8" cm="1">
        <f t="array" ref="U5">F5/Tablo27[LW1]*$C$40+Tablo314[[#This Row],[LW2]]/Tablo27[LW2]*$D$40+Tablo314[[#This Row],[LW3]]/Tablo27[LW3]*$E$40+Tablo314[[#This Row],[LW4]]/Tablo27[LW4]*$F$40+Tablo314[[#This Row],[LW5]]/Tablo27[LW5]*$G$40+Tablo314[[#This Row],[LW6]]/Tablo27[LW6]*$H$40+Tablo314[[#This Row],[LW7]]/Tablo27[LW7]*$I$40+Tablo314[[#This Row],[LW8]]/Tablo27[LW8]*$J$40+Tablo314[[#This Row],[LW9]]/Tablo27[LW9]*$K$40+Tablo314[[#This Row],[LW10]]/Tablo27[LW10]*$L$40+Tablo314[[#This Row],[LW11]]/Tablo27[LW11]*$M$40+Tablo314[[#This Row],[LW12]]/Tablo27[LW12]*$N$40+Tablo314[[#This Row],[LW13]]/Tablo27[LW13]*$O$40+Tablo314[[#This Row],[LW14]]/Tablo27[LW14]*$P$40</f>
        <v>21</v>
      </c>
      <c r="V5" s="8" cm="1">
        <f t="array" ref="V5">F5/Tablo27[LW1]*$C$41+Tablo314[[#This Row],[LW2]]/Tablo27[LW2]*$D$41+Tablo314[[#This Row],[LW3]]/Tablo27[LW3]*$E$41+Tablo314[[#This Row],[LW4]]/Tablo27[LW4]*$F$41+Tablo314[[#This Row],[LW5]]/Tablo27[LW5]*$G$41+Tablo314[[#This Row],[LW6]]/Tablo27[LW6]*$H$41+Tablo314[[#This Row],[LW7]]/Tablo27[LW7]*$I$41+Tablo314[[#This Row],[LW8]]/Tablo27[LW8]*$J$41+Tablo314[[#This Row],[LW9]]/Tablo27[LW9]*$K$41+Tablo314[[#This Row],[LW10]]/Tablo27[LW10]*$L$41+Tablo314[[#This Row],[LW11]]/Tablo27[LW11]*$M$41+Tablo314[[#This Row],[LW12]]/Tablo27[LW12]*$N$41+Tablo314[[#This Row],[LW13]]/Tablo27[LW13]*$O$41+Tablo314[[#This Row],[LW14]]/Tablo27[LW14]*$P$41</f>
        <v>34.5</v>
      </c>
      <c r="W5" s="8" cm="1">
        <f t="array" ref="W5">F5/Tablo27[LW1]*$C$42+Tablo314[[#This Row],[LW2]]/Tablo27[LW2]*$D$42+Tablo314[[#This Row],[LW3]]/Tablo27[LW3]*$E$42+Tablo314[[#This Row],[LW4]]/Tablo27[LW4]*$F$42+Tablo314[[#This Row],[LW5]]/Tablo27[LW5]*$G$42+Tablo314[[#This Row],[LW6]]/Tablo27[LW6]*$H$42+Tablo314[[#This Row],[LW7]]/Tablo27[LW7]*$I$42+Tablo314[[#This Row],[LW8]]/Tablo27[LW8]*$J$42+Tablo314[[#This Row],[LW9]]/Tablo27[LW9]*$K$42+Tablo314[[#This Row],[LW10]]/Tablo27[LW10]*$L$42+Tablo314[[#This Row],[LW11]]/Tablo27[LW11]*$M$42+Tablo314[[#This Row],[LW12]]/Tablo27[LW12]*$N$42+Tablo314[[#This Row],[LW13]]/Tablo27[LW13]*$O$42+Tablo314[[#This Row],[LW14]]/Tablo27[LW14]*$P$42</f>
        <v>40.5</v>
      </c>
      <c r="X5" s="8" cm="1">
        <f t="array" ref="X5">F5/Tablo27[LW1]*$C$43+Tablo314[[#This Row],[LW2]]/Tablo27[LW2]*$D$43+Tablo314[[#This Row],[LW3]]/Tablo27[LW3]*$E$43+Tablo314[[#This Row],[LW4]]/Tablo27[LW4]*$F$43+Tablo314[[#This Row],[LW5]]/Tablo27[LW5]*$G$43+Tablo314[[#This Row],[LW6]]/Tablo27[LW6]*$H$43+Tablo314[[#This Row],[LW7]]/Tablo27[LW7]*$I$43+Tablo314[[#This Row],[LW8]]/Tablo27[LW8]*$J$43+Tablo314[[#This Row],[LW9]]/Tablo27[LW9]*$K$43+Tablo314[[#This Row],[LW10]]/Tablo27[LW10]*$L$43+Tablo314[[#This Row],[LW11]]/Tablo27[LW11]*$M$43+Tablo314[[#This Row],[LW12]]/Tablo27[LW12]*$N$43+Tablo314[[#This Row],[LW13]]/Tablo27[LW13]*$O$43+Tablo314[[#This Row],[LW14]]/Tablo27[LW14]*$P$43</f>
        <v>42.5</v>
      </c>
      <c r="Y5" s="92" cm="1">
        <f t="array" ref="Y5">F5/Tablo27[LW1]*$C$44+Tablo314[[#This Row],[LW2]]/Tablo27[LW2]*$D$44+Tablo314[[#This Row],[LW3]]/Tablo27[LW3]*$E$44+Tablo314[[#This Row],[LW4]]/Tablo27[LW4]*$F$44+Tablo314[[#This Row],[LW5]]/Tablo27[LW5]*$G$44+Tablo314[[#This Row],[LW6]]/Tablo27[LW6]*$H$44+Tablo314[[#This Row],[LW7]]/Tablo27[LW7]*$I$44+Tablo314[[#This Row],[LW8]]/Tablo27[LW8]*$J$44+Tablo314[[#This Row],[LW9]]/Tablo27[LW9]*$K$44+Tablo314[[#This Row],[LW10]]/Tablo27[LW10]*$L$44+Tablo314[[#This Row],[LW11]]/Tablo27[LW11]*$M$44+Tablo314[[#This Row],[LW12]]/Tablo27[LW12]*$N$44+Tablo314[[#This Row],[LW13]]/Tablo27[LW13]*$O$44+Tablo314[[#This Row],[LW14]]/Tablo27[LW14]*$P$44</f>
        <v>0</v>
      </c>
      <c r="Z5" s="92" cm="1">
        <f t="array" ref="Z5">F5/Tablo27[LW1]*$C$45+Tablo314[[#This Row],[LW2]]/Tablo27[LW2]*$D$45+Tablo314[[#This Row],[LW3]]/Tablo27[LW3]*$E$45+Tablo314[[#This Row],[LW4]]/Tablo27[LW4]*$F$45+Tablo314[[#This Row],[LW5]]/Tablo27[LW5]*$G$45+Tablo314[[#This Row],[LW6]]/Tablo27[LW6]*$H$45+Tablo314[[#This Row],[LW7]]/Tablo27[LW7]*$I$45+Tablo314[[#This Row],[LW8]]/Tablo27[LW8]*$J$45+Tablo314[[#This Row],[LW9]]/Tablo27[LW9]*$K$45+Tablo314[[#This Row],[LW10]]/Tablo27[LW10]*$L$45+Tablo314[[#This Row],[LW11]]/Tablo27[LW11]*$M$45+Tablo314[[#This Row],[LW12]]/Tablo27[LW12]*$N$45+Tablo314[[#This Row],[LW13]]/Tablo27[LW13]*$O$45+Tablo314[[#This Row],[LW14]]/Tablo27[LW14]*$P$45</f>
        <v>0</v>
      </c>
      <c r="AA5" s="92" cm="1">
        <f t="array" ref="AA5">F5/Tablo27[LW1]*$C$46+Tablo314[[#This Row],[LW2]]/Tablo27[LW2]*$D$46+Tablo314[[#This Row],[LW3]]/Tablo27[LW3]*$E$46+Tablo314[[#This Row],[LW4]]/Tablo27[LW4]*$F$46+Tablo314[[#This Row],[LW5]]/Tablo27[LW5]*$G$46+Tablo314[[#This Row],[LW6]]/Tablo27[LW6]*$H$46+Tablo314[[#This Row],[LW7]]/Tablo27[LW7]*$I$46+Tablo314[[#This Row],[LW8]]/Tablo27[LW8]*$J$46+Tablo314[[#This Row],[LW9]]/Tablo27[LW9]*$K$46+Tablo314[[#This Row],[LW10]]/Tablo27[LW10]*$L$46+Tablo314[[#This Row],[LW11]]/Tablo27[LW11]*$M$46+Tablo314[[#This Row],[LW12]]/Tablo27[LW12]*$N$46+Tablo314[[#This Row],[LW13]]/Tablo27[LW13]*$O$46+Tablo314[[#This Row],[LW14]]/Tablo27[LW14]*$P$46</f>
        <v>0</v>
      </c>
      <c r="AB5" s="92" cm="1">
        <f t="array" ref="AB5">F5/Tablo27[LW1]*$C$47+Tablo314[[#This Row],[LW2]]/Tablo27[LW2]*$D$47+Tablo314[[#This Row],[LW3]]/Tablo27[LW3]*$E$47+Tablo314[[#This Row],[LW4]]/Tablo27[LW4]*$F$47+Tablo314[[#This Row],[LW5]]/Tablo27[LW5]*$G$47+Tablo314[[#This Row],[LW6]]/Tablo27[LW6]*$H$47+Tablo314[[#This Row],[LW7]]/Tablo27[LW7]*$I$47+Tablo314[[#This Row],[LW8]]/Tablo27[LW8]*$J$47+Tablo314[[#This Row],[LW9]]/Tablo27[LW9]*$K$47+Tablo314[[#This Row],[LW10]]/Tablo27[LW10]*$L$47+Tablo314[[#This Row],[LW11]]/Tablo27[LW11]*$M$47+Tablo314[[#This Row],[LW12]]/Tablo27[LW12]*$N$47+Tablo314[[#This Row],[LW13]]/Tablo27[LW13]*$O$47+Tablo314[[#This Row],[LW14]]/Tablo27[LW14]*$P$47</f>
        <v>0</v>
      </c>
      <c r="AC5" s="92" cm="1">
        <f t="array" ref="AC5">F5/Tablo27[LW1]*$C$48+Tablo314[[#This Row],[LW2]]/Tablo27[LW2]*$D$48+Tablo314[[#This Row],[LW3]]/Tablo27[LW3]*$E$48+Tablo314[[#This Row],[LW4]]/Tablo27[LW4]*$F$48+Tablo314[[#This Row],[LW5]]/Tablo27[LW5]*$G$48+Tablo314[[#This Row],[LW6]]/Tablo27[LW6]*$H$48+Tablo314[[#This Row],[LW7]]/Tablo27[LW7]*$I$48+Tablo314[[#This Row],[LW8]]/Tablo27[LW8]*$J$48+Tablo314[[#This Row],[LW9]]/Tablo27[LW9]*$K$48+Tablo314[[#This Row],[LW10]]/Tablo27[LW10]*$L$48+Tablo314[[#This Row],[LW11]]/Tablo27[LW11]*$M$48+Tablo314[[#This Row],[LW12]]/Tablo27[LW12]*$N$48+Tablo314[[#This Row],[LW13]]/Tablo27[LW13]*$O$48+Tablo314[[#This Row],[LW14]]/Tablo27[LW14]*$P$48</f>
        <v>0</v>
      </c>
      <c r="AD5" s="92" cm="1">
        <f t="array" ref="AD5">F5/Tablo27[LW1]*$C$49+Tablo314[[#This Row],[LW2]]/Tablo27[LW2]*$D$49+Tablo314[[#This Row],[LW3]]/Tablo27[LW3]*$E$49+Tablo314[[#This Row],[LW4]]/Tablo27[LW4]*$F$49+Tablo314[[#This Row],[LW5]]/Tablo27[LW5]*$G$49+Tablo314[[#This Row],[LW6]]/Tablo27[LW6]*$H$49+Tablo314[[#This Row],[LW7]]/Tablo27[LW7]*$I$49+Tablo314[[#This Row],[LW8]]/Tablo27[LW8]*$J$49+Tablo314[[#This Row],[LW9]]/Tablo27[LW9]*$K$49+Tablo314[[#This Row],[LW10]]/Tablo27[LW10]*$L$49+Tablo314[[#This Row],[LW11]]/Tablo27[LW11]*$M$49+Tablo314[[#This Row],[LW12]]/Tablo27[LW12]*$N$49+Tablo314[[#This Row],[LW13]]/Tablo27[LW13]*$O$49+Tablo314[[#This Row],[LW14]]/Tablo27[LW14]*$P$49</f>
        <v>0</v>
      </c>
      <c r="AE5" s="8">
        <f>SUM(Tablo314[[#This Row],[DÇ1]],Tablo314[[#This Row],[DÇ2]],Tablo314[[#This Row],[DÇ3]],Tablo314[[#This Row],[DÇ4]])</f>
        <v>138.5</v>
      </c>
      <c r="AF5" s="9" cm="1">
        <f t="array" ref="AF5">_xlfn.NORM.DIST(Tablo314[[#This Row],[TOTAL]],Tablo29[Mean],Tablo29[Variance],FALSE)</f>
        <v>3.8302613644678328E-3</v>
      </c>
    </row>
    <row r="6" spans="2:32" ht="15.6" thickTop="1" thickBot="1" x14ac:dyDescent="0.35">
      <c r="B6" s="93">
        <v>2</v>
      </c>
      <c r="C6" s="14">
        <v>23</v>
      </c>
      <c r="D6" s="61" t="s">
        <v>110</v>
      </c>
      <c r="E6" s="61" t="s">
        <v>111</v>
      </c>
      <c r="F6" s="5">
        <v>5</v>
      </c>
      <c r="G6" s="5">
        <v>1</v>
      </c>
      <c r="H6" s="5">
        <v>2</v>
      </c>
      <c r="I6" s="5">
        <v>3</v>
      </c>
      <c r="J6" s="5">
        <v>5</v>
      </c>
      <c r="K6" s="5">
        <v>3</v>
      </c>
      <c r="L6" s="5">
        <v>4</v>
      </c>
      <c r="M6" s="5">
        <v>5</v>
      </c>
      <c r="N6" s="5">
        <v>2</v>
      </c>
      <c r="O6" s="5">
        <v>8</v>
      </c>
      <c r="P6" s="5">
        <v>8</v>
      </c>
      <c r="Q6" s="5">
        <v>8</v>
      </c>
      <c r="R6" s="5">
        <v>6</v>
      </c>
      <c r="S6" s="5">
        <v>9</v>
      </c>
      <c r="T6" s="8">
        <f>SUM(Tablo314[[#This Row],[LW1]:[LW14]])</f>
        <v>69</v>
      </c>
      <c r="U6" s="8" cm="1">
        <f t="array" ref="U6">F6/Tablo27[LW1]*$C$40+Tablo314[[#This Row],[LW2]]/Tablo27[LW2]*$D$40+Tablo314[[#This Row],[LW3]]/Tablo27[LW3]*$E$40+Tablo314[[#This Row],[LW4]]/Tablo27[LW4]*$F$40+Tablo314[[#This Row],[LW5]]/Tablo27[LW5]*$G$40+Tablo314[[#This Row],[LW6]]/Tablo27[LW6]*$H$40+Tablo314[[#This Row],[LW7]]/Tablo27[LW7]*$I$40+Tablo314[[#This Row],[LW8]]/Tablo27[LW8]*$J$40+Tablo314[[#This Row],[LW9]]/Tablo27[LW9]*$K$40+Tablo314[[#This Row],[LW10]]/Tablo27[LW10]*$L$40+Tablo314[[#This Row],[LW11]]/Tablo27[LW11]*$M$40+Tablo314[[#This Row],[LW12]]/Tablo27[LW12]*$N$40+Tablo314[[#This Row],[LW13]]/Tablo27[LW13]*$O$40+Tablo314[[#This Row],[LW14]]/Tablo27[LW14]*$P$40</f>
        <v>17.5</v>
      </c>
      <c r="V6" s="8" cm="1">
        <f t="array" ref="V6">F6/Tablo27[LW1]*$C$41+Tablo314[[#This Row],[LW2]]/Tablo27[LW2]*$D$41+Tablo314[[#This Row],[LW3]]/Tablo27[LW3]*$E$41+Tablo314[[#This Row],[LW4]]/Tablo27[LW4]*$F$41+Tablo314[[#This Row],[LW5]]/Tablo27[LW5]*$G$41+Tablo314[[#This Row],[LW6]]/Tablo27[LW6]*$H$41+Tablo314[[#This Row],[LW7]]/Tablo27[LW7]*$I$41+Tablo314[[#This Row],[LW8]]/Tablo27[LW8]*$J$41+Tablo314[[#This Row],[LW9]]/Tablo27[LW9]*$K$41+Tablo314[[#This Row],[LW10]]/Tablo27[LW10]*$L$41+Tablo314[[#This Row],[LW11]]/Tablo27[LW11]*$M$41+Tablo314[[#This Row],[LW12]]/Tablo27[LW12]*$N$41+Tablo314[[#This Row],[LW13]]/Tablo27[LW13]*$O$41+Tablo314[[#This Row],[LW14]]/Tablo27[LW14]*$P$41</f>
        <v>23.5</v>
      </c>
      <c r="W6" s="8" cm="1">
        <f t="array" ref="W6">F6/Tablo27[LW1]*$C$42+Tablo314[[#This Row],[LW2]]/Tablo27[LW2]*$D$42+Tablo314[[#This Row],[LW3]]/Tablo27[LW3]*$E$42+Tablo314[[#This Row],[LW4]]/Tablo27[LW4]*$F$42+Tablo314[[#This Row],[LW5]]/Tablo27[LW5]*$G$42+Tablo314[[#This Row],[LW6]]/Tablo27[LW6]*$H$42+Tablo314[[#This Row],[LW7]]/Tablo27[LW7]*$I$42+Tablo314[[#This Row],[LW8]]/Tablo27[LW8]*$J$42+Tablo314[[#This Row],[LW9]]/Tablo27[LW9]*$K$42+Tablo314[[#This Row],[LW10]]/Tablo27[LW10]*$L$42+Tablo314[[#This Row],[LW11]]/Tablo27[LW11]*$M$42+Tablo314[[#This Row],[LW12]]/Tablo27[LW12]*$N$42+Tablo314[[#This Row],[LW13]]/Tablo27[LW13]*$O$42+Tablo314[[#This Row],[LW14]]/Tablo27[LW14]*$P$42</f>
        <v>40</v>
      </c>
      <c r="X6" s="8" cm="1">
        <f t="array" ref="X6">F6/Tablo27[LW1]*$C$43+Tablo314[[#This Row],[LW2]]/Tablo27[LW2]*$D$43+Tablo314[[#This Row],[LW3]]/Tablo27[LW3]*$E$43+Tablo314[[#This Row],[LW4]]/Tablo27[LW4]*$F$43+Tablo314[[#This Row],[LW5]]/Tablo27[LW5]*$G$43+Tablo314[[#This Row],[LW6]]/Tablo27[LW6]*$H$43+Tablo314[[#This Row],[LW7]]/Tablo27[LW7]*$I$43+Tablo314[[#This Row],[LW8]]/Tablo27[LW8]*$J$43+Tablo314[[#This Row],[LW9]]/Tablo27[LW9]*$K$43+Tablo314[[#This Row],[LW10]]/Tablo27[LW10]*$L$43+Tablo314[[#This Row],[LW11]]/Tablo27[LW11]*$M$43+Tablo314[[#This Row],[LW12]]/Tablo27[LW12]*$N$43+Tablo314[[#This Row],[LW13]]/Tablo27[LW13]*$O$43+Tablo314[[#This Row],[LW14]]/Tablo27[LW14]*$P$43</f>
        <v>40</v>
      </c>
      <c r="Y6" s="92" cm="1">
        <f t="array" ref="Y6">F6/Tablo27[LW1]*$C$44+Tablo314[[#This Row],[LW2]]/Tablo27[LW2]*$D$44+Tablo314[[#This Row],[LW3]]/Tablo27[LW3]*$E$44+Tablo314[[#This Row],[LW4]]/Tablo27[LW4]*$F$44+Tablo314[[#This Row],[LW5]]/Tablo27[LW5]*$G$44+Tablo314[[#This Row],[LW6]]/Tablo27[LW6]*$H$44+Tablo314[[#This Row],[LW7]]/Tablo27[LW7]*$I$44+Tablo314[[#This Row],[LW8]]/Tablo27[LW8]*$J$44+Tablo314[[#This Row],[LW9]]/Tablo27[LW9]*$K$44+Tablo314[[#This Row],[LW10]]/Tablo27[LW10]*$L$44+Tablo314[[#This Row],[LW11]]/Tablo27[LW11]*$M$44+Tablo314[[#This Row],[LW12]]/Tablo27[LW12]*$N$44+Tablo314[[#This Row],[LW13]]/Tablo27[LW13]*$O$44+Tablo314[[#This Row],[LW14]]/Tablo27[LW14]*$P$44</f>
        <v>0</v>
      </c>
      <c r="Z6" s="92" cm="1">
        <f t="array" ref="Z6">F6/Tablo27[LW1]*$C$45+Tablo314[[#This Row],[LW2]]/Tablo27[LW2]*$D$45+Tablo314[[#This Row],[LW3]]/Tablo27[LW3]*$E$45+Tablo314[[#This Row],[LW4]]/Tablo27[LW4]*$F$45+Tablo314[[#This Row],[LW5]]/Tablo27[LW5]*$G$45+Tablo314[[#This Row],[LW6]]/Tablo27[LW6]*$H$45+Tablo314[[#This Row],[LW7]]/Tablo27[LW7]*$I$45+Tablo314[[#This Row],[LW8]]/Tablo27[LW8]*$J$45+Tablo314[[#This Row],[LW9]]/Tablo27[LW9]*$K$45+Tablo314[[#This Row],[LW10]]/Tablo27[LW10]*$L$45+Tablo314[[#This Row],[LW11]]/Tablo27[LW11]*$M$45+Tablo314[[#This Row],[LW12]]/Tablo27[LW12]*$N$45+Tablo314[[#This Row],[LW13]]/Tablo27[LW13]*$O$45+Tablo314[[#This Row],[LW14]]/Tablo27[LW14]*$P$45</f>
        <v>0</v>
      </c>
      <c r="AA6" s="92" cm="1">
        <f t="array" ref="AA6">F6/Tablo27[LW1]*$C$46+Tablo314[[#This Row],[LW2]]/Tablo27[LW2]*$D$46+Tablo314[[#This Row],[LW3]]/Tablo27[LW3]*$E$46+Tablo314[[#This Row],[LW4]]/Tablo27[LW4]*$F$46+Tablo314[[#This Row],[LW5]]/Tablo27[LW5]*$G$46+Tablo314[[#This Row],[LW6]]/Tablo27[LW6]*$H$46+Tablo314[[#This Row],[LW7]]/Tablo27[LW7]*$I$46+Tablo314[[#This Row],[LW8]]/Tablo27[LW8]*$J$46+Tablo314[[#This Row],[LW9]]/Tablo27[LW9]*$K$46+Tablo314[[#This Row],[LW10]]/Tablo27[LW10]*$L$46+Tablo314[[#This Row],[LW11]]/Tablo27[LW11]*$M$46+Tablo314[[#This Row],[LW12]]/Tablo27[LW12]*$N$46+Tablo314[[#This Row],[LW13]]/Tablo27[LW13]*$O$46+Tablo314[[#This Row],[LW14]]/Tablo27[LW14]*$P$46</f>
        <v>0</v>
      </c>
      <c r="AB6" s="92" cm="1">
        <f t="array" ref="AB6">F6/Tablo27[LW1]*$C$47+Tablo314[[#This Row],[LW2]]/Tablo27[LW2]*$D$47+Tablo314[[#This Row],[LW3]]/Tablo27[LW3]*$E$47+Tablo314[[#This Row],[LW4]]/Tablo27[LW4]*$F$47+Tablo314[[#This Row],[LW5]]/Tablo27[LW5]*$G$47+Tablo314[[#This Row],[LW6]]/Tablo27[LW6]*$H$47+Tablo314[[#This Row],[LW7]]/Tablo27[LW7]*$I$47+Tablo314[[#This Row],[LW8]]/Tablo27[LW8]*$J$47+Tablo314[[#This Row],[LW9]]/Tablo27[LW9]*$K$47+Tablo314[[#This Row],[LW10]]/Tablo27[LW10]*$L$47+Tablo314[[#This Row],[LW11]]/Tablo27[LW11]*$M$47+Tablo314[[#This Row],[LW12]]/Tablo27[LW12]*$N$47+Tablo314[[#This Row],[LW13]]/Tablo27[LW13]*$O$47+Tablo314[[#This Row],[LW14]]/Tablo27[LW14]*$P$47</f>
        <v>0</v>
      </c>
      <c r="AC6" s="92" cm="1">
        <f t="array" ref="AC6">F6/Tablo27[LW1]*$C$48+Tablo314[[#This Row],[LW2]]/Tablo27[LW2]*$D$48+Tablo314[[#This Row],[LW3]]/Tablo27[LW3]*$E$48+Tablo314[[#This Row],[LW4]]/Tablo27[LW4]*$F$48+Tablo314[[#This Row],[LW5]]/Tablo27[LW5]*$G$48+Tablo314[[#This Row],[LW6]]/Tablo27[LW6]*$H$48+Tablo314[[#This Row],[LW7]]/Tablo27[LW7]*$I$48+Tablo314[[#This Row],[LW8]]/Tablo27[LW8]*$J$48+Tablo314[[#This Row],[LW9]]/Tablo27[LW9]*$K$48+Tablo314[[#This Row],[LW10]]/Tablo27[LW10]*$L$48+Tablo314[[#This Row],[LW11]]/Tablo27[LW11]*$M$48+Tablo314[[#This Row],[LW12]]/Tablo27[LW12]*$N$48+Tablo314[[#This Row],[LW13]]/Tablo27[LW13]*$O$48+Tablo314[[#This Row],[LW14]]/Tablo27[LW14]*$P$48</f>
        <v>0</v>
      </c>
      <c r="AD6" s="92" cm="1">
        <f t="array" ref="AD6">F6/Tablo27[LW1]*$C$49+Tablo314[[#This Row],[LW2]]/Tablo27[LW2]*$D$49+Tablo314[[#This Row],[LW3]]/Tablo27[LW3]*$E$49+Tablo314[[#This Row],[LW4]]/Tablo27[LW4]*$F$49+Tablo314[[#This Row],[LW5]]/Tablo27[LW5]*$G$49+Tablo314[[#This Row],[LW6]]/Tablo27[LW6]*$H$49+Tablo314[[#This Row],[LW7]]/Tablo27[LW7]*$I$49+Tablo314[[#This Row],[LW8]]/Tablo27[LW8]*$J$49+Tablo314[[#This Row],[LW9]]/Tablo27[LW9]*$K$49+Tablo314[[#This Row],[LW10]]/Tablo27[LW10]*$L$49+Tablo314[[#This Row],[LW11]]/Tablo27[LW11]*$M$49+Tablo314[[#This Row],[LW12]]/Tablo27[LW12]*$N$49+Tablo314[[#This Row],[LW13]]/Tablo27[LW13]*$O$49+Tablo314[[#This Row],[LW14]]/Tablo27[LW14]*$P$49</f>
        <v>0</v>
      </c>
      <c r="AE6" s="8">
        <f>SUM(Tablo314[[#This Row],[DÇ1]],Tablo314[[#This Row],[DÇ2]],Tablo314[[#This Row],[DÇ3]],Tablo314[[#This Row],[DÇ4]])</f>
        <v>121</v>
      </c>
      <c r="AF6" s="9" cm="1">
        <f t="array" ref="AF6">_xlfn.NORM.DIST(Tablo314[[#This Row],[TOTAL]],Tablo29[Mean],Tablo29[Variance],FALSE)</f>
        <v>3.8641540994817261E-3</v>
      </c>
    </row>
    <row r="7" spans="2:32" ht="15.6" thickTop="1" thickBot="1" x14ac:dyDescent="0.35">
      <c r="B7" s="91">
        <v>3</v>
      </c>
      <c r="C7" s="14">
        <v>19</v>
      </c>
      <c r="D7" s="61" t="s">
        <v>110</v>
      </c>
      <c r="E7" s="61" t="s">
        <v>111</v>
      </c>
      <c r="F7" s="5">
        <v>3</v>
      </c>
      <c r="G7" s="5">
        <v>5</v>
      </c>
      <c r="H7" s="5">
        <v>5</v>
      </c>
      <c r="I7" s="5">
        <v>3</v>
      </c>
      <c r="J7" s="5">
        <v>1</v>
      </c>
      <c r="K7" s="5">
        <v>8</v>
      </c>
      <c r="L7" s="5">
        <v>4</v>
      </c>
      <c r="M7" s="5">
        <v>4</v>
      </c>
      <c r="N7" s="5">
        <v>5</v>
      </c>
      <c r="O7" s="5">
        <v>8</v>
      </c>
      <c r="P7" s="5">
        <v>6</v>
      </c>
      <c r="Q7" s="5">
        <v>7</v>
      </c>
      <c r="R7" s="5">
        <v>0</v>
      </c>
      <c r="S7" s="5">
        <v>7</v>
      </c>
      <c r="T7" s="8">
        <f>SUM(Tablo314[[#This Row],[LW1]:[LW14]])</f>
        <v>66</v>
      </c>
      <c r="U7" s="8" cm="1">
        <f t="array" ref="U7">F7/Tablo27[LW1]*$C$40+Tablo314[[#This Row],[LW2]]/Tablo27[LW2]*$D$40+Tablo314[[#This Row],[LW3]]/Tablo27[LW3]*$E$40+Tablo314[[#This Row],[LW4]]/Tablo27[LW4]*$F$40+Tablo314[[#This Row],[LW5]]/Tablo27[LW5]*$G$40+Tablo314[[#This Row],[LW6]]/Tablo27[LW6]*$H$40+Tablo314[[#This Row],[LW7]]/Tablo27[LW7]*$I$40+Tablo314[[#This Row],[LW8]]/Tablo27[LW8]*$J$40+Tablo314[[#This Row],[LW9]]/Tablo27[LW9]*$K$40+Tablo314[[#This Row],[LW10]]/Tablo27[LW10]*$L$40+Tablo314[[#This Row],[LW11]]/Tablo27[LW11]*$M$40+Tablo314[[#This Row],[LW12]]/Tablo27[LW12]*$N$40+Tablo314[[#This Row],[LW13]]/Tablo27[LW13]*$O$40+Tablo314[[#This Row],[LW14]]/Tablo27[LW14]*$P$40</f>
        <v>19</v>
      </c>
      <c r="V7" s="8" cm="1">
        <f t="array" ref="V7">F7/Tablo27[LW1]*$C$41+Tablo314[[#This Row],[LW2]]/Tablo27[LW2]*$D$41+Tablo314[[#This Row],[LW3]]/Tablo27[LW3]*$E$41+Tablo314[[#This Row],[LW4]]/Tablo27[LW4]*$F$41+Tablo314[[#This Row],[LW5]]/Tablo27[LW5]*$G$41+Tablo314[[#This Row],[LW6]]/Tablo27[LW6]*$H$41+Tablo314[[#This Row],[LW7]]/Tablo27[LW7]*$I$41+Tablo314[[#This Row],[LW8]]/Tablo27[LW8]*$J$41+Tablo314[[#This Row],[LW9]]/Tablo27[LW9]*$K$41+Tablo314[[#This Row],[LW10]]/Tablo27[LW10]*$L$41+Tablo314[[#This Row],[LW11]]/Tablo27[LW11]*$M$41+Tablo314[[#This Row],[LW12]]/Tablo27[LW12]*$N$41+Tablo314[[#This Row],[LW13]]/Tablo27[LW13]*$O$41+Tablo314[[#This Row],[LW14]]/Tablo27[LW14]*$P$41</f>
        <v>31</v>
      </c>
      <c r="W7" s="8" cm="1">
        <f t="array" ref="W7">F7/Tablo27[LW1]*$C$42+Tablo314[[#This Row],[LW2]]/Tablo27[LW2]*$D$42+Tablo314[[#This Row],[LW3]]/Tablo27[LW3]*$E$42+Tablo314[[#This Row],[LW4]]/Tablo27[LW4]*$F$42+Tablo314[[#This Row],[LW5]]/Tablo27[LW5]*$G$42+Tablo314[[#This Row],[LW6]]/Tablo27[LW6]*$H$42+Tablo314[[#This Row],[LW7]]/Tablo27[LW7]*$I$42+Tablo314[[#This Row],[LW8]]/Tablo27[LW8]*$J$42+Tablo314[[#This Row],[LW9]]/Tablo27[LW9]*$K$42+Tablo314[[#This Row],[LW10]]/Tablo27[LW10]*$L$42+Tablo314[[#This Row],[LW11]]/Tablo27[LW11]*$M$42+Tablo314[[#This Row],[LW12]]/Tablo27[LW12]*$N$42+Tablo314[[#This Row],[LW13]]/Tablo27[LW13]*$O$42+Tablo314[[#This Row],[LW14]]/Tablo27[LW14]*$P$42</f>
        <v>32</v>
      </c>
      <c r="X7" s="8" cm="1">
        <f t="array" ref="X7">F7/Tablo27[LW1]*$C$43+Tablo314[[#This Row],[LW2]]/Tablo27[LW2]*$D$43+Tablo314[[#This Row],[LW3]]/Tablo27[LW3]*$E$43+Tablo314[[#This Row],[LW4]]/Tablo27[LW4]*$F$43+Tablo314[[#This Row],[LW5]]/Tablo27[LW5]*$G$43+Tablo314[[#This Row],[LW6]]/Tablo27[LW6]*$H$43+Tablo314[[#This Row],[LW7]]/Tablo27[LW7]*$I$43+Tablo314[[#This Row],[LW8]]/Tablo27[LW8]*$J$43+Tablo314[[#This Row],[LW9]]/Tablo27[LW9]*$K$43+Tablo314[[#This Row],[LW10]]/Tablo27[LW10]*$L$43+Tablo314[[#This Row],[LW11]]/Tablo27[LW11]*$M$43+Tablo314[[#This Row],[LW12]]/Tablo27[LW12]*$N$43+Tablo314[[#This Row],[LW13]]/Tablo27[LW13]*$O$43+Tablo314[[#This Row],[LW14]]/Tablo27[LW14]*$P$43</f>
        <v>35</v>
      </c>
      <c r="Y7" s="92" cm="1">
        <f t="array" ref="Y7">F7/Tablo27[LW1]*$C$44+Tablo314[[#This Row],[LW2]]/Tablo27[LW2]*$D$44+Tablo314[[#This Row],[LW3]]/Tablo27[LW3]*$E$44+Tablo314[[#This Row],[LW4]]/Tablo27[LW4]*$F$44+Tablo314[[#This Row],[LW5]]/Tablo27[LW5]*$G$44+Tablo314[[#This Row],[LW6]]/Tablo27[LW6]*$H$44+Tablo314[[#This Row],[LW7]]/Tablo27[LW7]*$I$44+Tablo314[[#This Row],[LW8]]/Tablo27[LW8]*$J$44+Tablo314[[#This Row],[LW9]]/Tablo27[LW9]*$K$44+Tablo314[[#This Row],[LW10]]/Tablo27[LW10]*$L$44+Tablo314[[#This Row],[LW11]]/Tablo27[LW11]*$M$44+Tablo314[[#This Row],[LW12]]/Tablo27[LW12]*$N$44+Tablo314[[#This Row],[LW13]]/Tablo27[LW13]*$O$44+Tablo314[[#This Row],[LW14]]/Tablo27[LW14]*$P$44</f>
        <v>0</v>
      </c>
      <c r="Z7" s="92" cm="1">
        <f t="array" ref="Z7">F7/Tablo27[LW1]*$C$45+Tablo314[[#This Row],[LW2]]/Tablo27[LW2]*$D$45+Tablo314[[#This Row],[LW3]]/Tablo27[LW3]*$E$45+Tablo314[[#This Row],[LW4]]/Tablo27[LW4]*$F$45+Tablo314[[#This Row],[LW5]]/Tablo27[LW5]*$G$45+Tablo314[[#This Row],[LW6]]/Tablo27[LW6]*$H$45+Tablo314[[#This Row],[LW7]]/Tablo27[LW7]*$I$45+Tablo314[[#This Row],[LW8]]/Tablo27[LW8]*$J$45+Tablo314[[#This Row],[LW9]]/Tablo27[LW9]*$K$45+Tablo314[[#This Row],[LW10]]/Tablo27[LW10]*$L$45+Tablo314[[#This Row],[LW11]]/Tablo27[LW11]*$M$45+Tablo314[[#This Row],[LW12]]/Tablo27[LW12]*$N$45+Tablo314[[#This Row],[LW13]]/Tablo27[LW13]*$O$45+Tablo314[[#This Row],[LW14]]/Tablo27[LW14]*$P$45</f>
        <v>0</v>
      </c>
      <c r="AA7" s="92" cm="1">
        <f t="array" ref="AA7">F7/Tablo27[LW1]*$C$46+Tablo314[[#This Row],[LW2]]/Tablo27[LW2]*$D$46+Tablo314[[#This Row],[LW3]]/Tablo27[LW3]*$E$46+Tablo314[[#This Row],[LW4]]/Tablo27[LW4]*$F$46+Tablo314[[#This Row],[LW5]]/Tablo27[LW5]*$G$46+Tablo314[[#This Row],[LW6]]/Tablo27[LW6]*$H$46+Tablo314[[#This Row],[LW7]]/Tablo27[LW7]*$I$46+Tablo314[[#This Row],[LW8]]/Tablo27[LW8]*$J$46+Tablo314[[#This Row],[LW9]]/Tablo27[LW9]*$K$46+Tablo314[[#This Row],[LW10]]/Tablo27[LW10]*$L$46+Tablo314[[#This Row],[LW11]]/Tablo27[LW11]*$M$46+Tablo314[[#This Row],[LW12]]/Tablo27[LW12]*$N$46+Tablo314[[#This Row],[LW13]]/Tablo27[LW13]*$O$46+Tablo314[[#This Row],[LW14]]/Tablo27[LW14]*$P$46</f>
        <v>0</v>
      </c>
      <c r="AB7" s="92" cm="1">
        <f t="array" ref="AB7">F7/Tablo27[LW1]*$C$47+Tablo314[[#This Row],[LW2]]/Tablo27[LW2]*$D$47+Tablo314[[#This Row],[LW3]]/Tablo27[LW3]*$E$47+Tablo314[[#This Row],[LW4]]/Tablo27[LW4]*$F$47+Tablo314[[#This Row],[LW5]]/Tablo27[LW5]*$G$47+Tablo314[[#This Row],[LW6]]/Tablo27[LW6]*$H$47+Tablo314[[#This Row],[LW7]]/Tablo27[LW7]*$I$47+Tablo314[[#This Row],[LW8]]/Tablo27[LW8]*$J$47+Tablo314[[#This Row],[LW9]]/Tablo27[LW9]*$K$47+Tablo314[[#This Row],[LW10]]/Tablo27[LW10]*$L$47+Tablo314[[#This Row],[LW11]]/Tablo27[LW11]*$M$47+Tablo314[[#This Row],[LW12]]/Tablo27[LW12]*$N$47+Tablo314[[#This Row],[LW13]]/Tablo27[LW13]*$O$47+Tablo314[[#This Row],[LW14]]/Tablo27[LW14]*$P$47</f>
        <v>0</v>
      </c>
      <c r="AC7" s="92" cm="1">
        <f t="array" ref="AC7">F7/Tablo27[LW1]*$C$48+Tablo314[[#This Row],[LW2]]/Tablo27[LW2]*$D$48+Tablo314[[#This Row],[LW3]]/Tablo27[LW3]*$E$48+Tablo314[[#This Row],[LW4]]/Tablo27[LW4]*$F$48+Tablo314[[#This Row],[LW5]]/Tablo27[LW5]*$G$48+Tablo314[[#This Row],[LW6]]/Tablo27[LW6]*$H$48+Tablo314[[#This Row],[LW7]]/Tablo27[LW7]*$I$48+Tablo314[[#This Row],[LW8]]/Tablo27[LW8]*$J$48+Tablo314[[#This Row],[LW9]]/Tablo27[LW9]*$K$48+Tablo314[[#This Row],[LW10]]/Tablo27[LW10]*$L$48+Tablo314[[#This Row],[LW11]]/Tablo27[LW11]*$M$48+Tablo314[[#This Row],[LW12]]/Tablo27[LW12]*$N$48+Tablo314[[#This Row],[LW13]]/Tablo27[LW13]*$O$48+Tablo314[[#This Row],[LW14]]/Tablo27[LW14]*$P$48</f>
        <v>0</v>
      </c>
      <c r="AD7" s="92" cm="1">
        <f t="array" ref="AD7">F7/Tablo27[LW1]*$C$49+Tablo314[[#This Row],[LW2]]/Tablo27[LW2]*$D$49+Tablo314[[#This Row],[LW3]]/Tablo27[LW3]*$E$49+Tablo314[[#This Row],[LW4]]/Tablo27[LW4]*$F$49+Tablo314[[#This Row],[LW5]]/Tablo27[LW5]*$G$49+Tablo314[[#This Row],[LW6]]/Tablo27[LW6]*$H$49+Tablo314[[#This Row],[LW7]]/Tablo27[LW7]*$I$49+Tablo314[[#This Row],[LW8]]/Tablo27[LW8]*$J$49+Tablo314[[#This Row],[LW9]]/Tablo27[LW9]*$K$49+Tablo314[[#This Row],[LW10]]/Tablo27[LW10]*$L$49+Tablo314[[#This Row],[LW11]]/Tablo27[LW11]*$M$49+Tablo314[[#This Row],[LW12]]/Tablo27[LW12]*$N$49+Tablo314[[#This Row],[LW13]]/Tablo27[LW13]*$O$49+Tablo314[[#This Row],[LW14]]/Tablo27[LW14]*$P$49</f>
        <v>0</v>
      </c>
      <c r="AE7" s="8">
        <f>SUM(Tablo314[[#This Row],[DÇ1]],Tablo314[[#This Row],[DÇ2]],Tablo314[[#This Row],[DÇ3]],Tablo314[[#This Row],[DÇ4]])</f>
        <v>117</v>
      </c>
      <c r="AF7" s="9" cm="1">
        <f t="array" ref="AF7">_xlfn.NORM.DIST(Tablo314[[#This Row],[TOTAL]],Tablo29[Mean],Tablo29[Variance],FALSE)</f>
        <v>3.8801560501946115E-3</v>
      </c>
    </row>
    <row r="8" spans="2:32" ht="15.6" thickTop="1" thickBot="1" x14ac:dyDescent="0.35">
      <c r="B8" s="93">
        <v>4</v>
      </c>
      <c r="C8" s="14">
        <v>4</v>
      </c>
      <c r="D8" s="61" t="s">
        <v>110</v>
      </c>
      <c r="E8" s="61" t="s">
        <v>111</v>
      </c>
      <c r="F8" s="5">
        <v>5</v>
      </c>
      <c r="G8" s="5">
        <v>5</v>
      </c>
      <c r="H8" s="5">
        <v>5</v>
      </c>
      <c r="I8" s="5">
        <v>5</v>
      </c>
      <c r="J8" s="5">
        <v>5</v>
      </c>
      <c r="K8" s="5">
        <v>4</v>
      </c>
      <c r="L8" s="5">
        <v>2</v>
      </c>
      <c r="M8" s="5">
        <v>5</v>
      </c>
      <c r="N8" s="5">
        <v>1</v>
      </c>
      <c r="O8" s="5">
        <v>6</v>
      </c>
      <c r="P8" s="5">
        <v>8</v>
      </c>
      <c r="Q8" s="5">
        <v>4</v>
      </c>
      <c r="R8" s="5">
        <v>9</v>
      </c>
      <c r="S8" s="5">
        <v>0</v>
      </c>
      <c r="T8" s="8">
        <f>SUM(Tablo314[[#This Row],[LW1]:[LW14]])</f>
        <v>64</v>
      </c>
      <c r="U8" s="8" cm="1">
        <f t="array" ref="U8">F8/Tablo27[LW1]*$C$40+Tablo314[[#This Row],[LW2]]/Tablo27[LW2]*$D$40+Tablo314[[#This Row],[LW3]]/Tablo27[LW3]*$E$40+Tablo314[[#This Row],[LW4]]/Tablo27[LW4]*$F$40+Tablo314[[#This Row],[LW5]]/Tablo27[LW5]*$G$40+Tablo314[[#This Row],[LW6]]/Tablo27[LW6]*$H$40+Tablo314[[#This Row],[LW7]]/Tablo27[LW7]*$I$40+Tablo314[[#This Row],[LW8]]/Tablo27[LW8]*$J$40+Tablo314[[#This Row],[LW9]]/Tablo27[LW9]*$K$40+Tablo314[[#This Row],[LW10]]/Tablo27[LW10]*$L$40+Tablo314[[#This Row],[LW11]]/Tablo27[LW11]*$M$40+Tablo314[[#This Row],[LW12]]/Tablo27[LW12]*$N$40+Tablo314[[#This Row],[LW13]]/Tablo27[LW13]*$O$40+Tablo314[[#This Row],[LW14]]/Tablo27[LW14]*$P$40</f>
        <v>21</v>
      </c>
      <c r="V8" s="8" cm="1">
        <f t="array" ref="V8">F8/Tablo27[LW1]*$C$41+Tablo314[[#This Row],[LW2]]/Tablo27[LW2]*$D$41+Tablo314[[#This Row],[LW3]]/Tablo27[LW3]*$E$41+Tablo314[[#This Row],[LW4]]/Tablo27[LW4]*$F$41+Tablo314[[#This Row],[LW5]]/Tablo27[LW5]*$G$41+Tablo314[[#This Row],[LW6]]/Tablo27[LW6]*$H$41+Tablo314[[#This Row],[LW7]]/Tablo27[LW7]*$I$41+Tablo314[[#This Row],[LW8]]/Tablo27[LW8]*$J$41+Tablo314[[#This Row],[LW9]]/Tablo27[LW9]*$K$41+Tablo314[[#This Row],[LW10]]/Tablo27[LW10]*$L$41+Tablo314[[#This Row],[LW11]]/Tablo27[LW11]*$M$41+Tablo314[[#This Row],[LW12]]/Tablo27[LW12]*$N$41+Tablo314[[#This Row],[LW13]]/Tablo27[LW13]*$O$41+Tablo314[[#This Row],[LW14]]/Tablo27[LW14]*$P$41</f>
        <v>27</v>
      </c>
      <c r="W8" s="8" cm="1">
        <f t="array" ref="W8">F8/Tablo27[LW1]*$C$42+Tablo314[[#This Row],[LW2]]/Tablo27[LW2]*$D$42+Tablo314[[#This Row],[LW3]]/Tablo27[LW3]*$E$42+Tablo314[[#This Row],[LW4]]/Tablo27[LW4]*$F$42+Tablo314[[#This Row],[LW5]]/Tablo27[LW5]*$G$42+Tablo314[[#This Row],[LW6]]/Tablo27[LW6]*$H$42+Tablo314[[#This Row],[LW7]]/Tablo27[LW7]*$I$42+Tablo314[[#This Row],[LW8]]/Tablo27[LW8]*$J$42+Tablo314[[#This Row],[LW9]]/Tablo27[LW9]*$K$42+Tablo314[[#This Row],[LW10]]/Tablo27[LW10]*$L$42+Tablo314[[#This Row],[LW11]]/Tablo27[LW11]*$M$42+Tablo314[[#This Row],[LW12]]/Tablo27[LW12]*$N$42+Tablo314[[#This Row],[LW13]]/Tablo27[LW13]*$O$42+Tablo314[[#This Row],[LW14]]/Tablo27[LW14]*$P$42</f>
        <v>33</v>
      </c>
      <c r="X8" s="8" cm="1">
        <f t="array" ref="X8">F8/Tablo27[LW1]*$C$43+Tablo314[[#This Row],[LW2]]/Tablo27[LW2]*$D$43+Tablo314[[#This Row],[LW3]]/Tablo27[LW3]*$E$43+Tablo314[[#This Row],[LW4]]/Tablo27[LW4]*$F$43+Tablo314[[#This Row],[LW5]]/Tablo27[LW5]*$G$43+Tablo314[[#This Row],[LW6]]/Tablo27[LW6]*$H$43+Tablo314[[#This Row],[LW7]]/Tablo27[LW7]*$I$43+Tablo314[[#This Row],[LW8]]/Tablo27[LW8]*$J$43+Tablo314[[#This Row],[LW9]]/Tablo27[LW9]*$K$43+Tablo314[[#This Row],[LW10]]/Tablo27[LW10]*$L$43+Tablo314[[#This Row],[LW11]]/Tablo27[LW11]*$M$43+Tablo314[[#This Row],[LW12]]/Tablo27[LW12]*$N$43+Tablo314[[#This Row],[LW13]]/Tablo27[LW13]*$O$43+Tablo314[[#This Row],[LW14]]/Tablo27[LW14]*$P$43</f>
        <v>33.5</v>
      </c>
      <c r="Y8" s="92" cm="1">
        <f t="array" ref="Y8">F8/Tablo27[LW1]*$C$44+Tablo314[[#This Row],[LW2]]/Tablo27[LW2]*$D$44+Tablo314[[#This Row],[LW3]]/Tablo27[LW3]*$E$44+Tablo314[[#This Row],[LW4]]/Tablo27[LW4]*$F$44+Tablo314[[#This Row],[LW5]]/Tablo27[LW5]*$G$44+Tablo314[[#This Row],[LW6]]/Tablo27[LW6]*$H$44+Tablo314[[#This Row],[LW7]]/Tablo27[LW7]*$I$44+Tablo314[[#This Row],[LW8]]/Tablo27[LW8]*$J$44+Tablo314[[#This Row],[LW9]]/Tablo27[LW9]*$K$44+Tablo314[[#This Row],[LW10]]/Tablo27[LW10]*$L$44+Tablo314[[#This Row],[LW11]]/Tablo27[LW11]*$M$44+Tablo314[[#This Row],[LW12]]/Tablo27[LW12]*$N$44+Tablo314[[#This Row],[LW13]]/Tablo27[LW13]*$O$44+Tablo314[[#This Row],[LW14]]/Tablo27[LW14]*$P$44</f>
        <v>0</v>
      </c>
      <c r="Z8" s="92" cm="1">
        <f t="array" ref="Z8">F8/Tablo27[LW1]*$C$45+Tablo314[[#This Row],[LW2]]/Tablo27[LW2]*$D$45+Tablo314[[#This Row],[LW3]]/Tablo27[LW3]*$E$45+Tablo314[[#This Row],[LW4]]/Tablo27[LW4]*$F$45+Tablo314[[#This Row],[LW5]]/Tablo27[LW5]*$G$45+Tablo314[[#This Row],[LW6]]/Tablo27[LW6]*$H$45+Tablo314[[#This Row],[LW7]]/Tablo27[LW7]*$I$45+Tablo314[[#This Row],[LW8]]/Tablo27[LW8]*$J$45+Tablo314[[#This Row],[LW9]]/Tablo27[LW9]*$K$45+Tablo314[[#This Row],[LW10]]/Tablo27[LW10]*$L$45+Tablo314[[#This Row],[LW11]]/Tablo27[LW11]*$M$45+Tablo314[[#This Row],[LW12]]/Tablo27[LW12]*$N$45+Tablo314[[#This Row],[LW13]]/Tablo27[LW13]*$O$45+Tablo314[[#This Row],[LW14]]/Tablo27[LW14]*$P$45</f>
        <v>0</v>
      </c>
      <c r="AA8" s="92" cm="1">
        <f t="array" ref="AA8">F8/Tablo27[LW1]*$C$46+Tablo314[[#This Row],[LW2]]/Tablo27[LW2]*$D$46+Tablo314[[#This Row],[LW3]]/Tablo27[LW3]*$E$46+Tablo314[[#This Row],[LW4]]/Tablo27[LW4]*$F$46+Tablo314[[#This Row],[LW5]]/Tablo27[LW5]*$G$46+Tablo314[[#This Row],[LW6]]/Tablo27[LW6]*$H$46+Tablo314[[#This Row],[LW7]]/Tablo27[LW7]*$I$46+Tablo314[[#This Row],[LW8]]/Tablo27[LW8]*$J$46+Tablo314[[#This Row],[LW9]]/Tablo27[LW9]*$K$46+Tablo314[[#This Row],[LW10]]/Tablo27[LW10]*$L$46+Tablo314[[#This Row],[LW11]]/Tablo27[LW11]*$M$46+Tablo314[[#This Row],[LW12]]/Tablo27[LW12]*$N$46+Tablo314[[#This Row],[LW13]]/Tablo27[LW13]*$O$46+Tablo314[[#This Row],[LW14]]/Tablo27[LW14]*$P$46</f>
        <v>0</v>
      </c>
      <c r="AB8" s="92" cm="1">
        <f t="array" ref="AB8">F8/Tablo27[LW1]*$C$47+Tablo314[[#This Row],[LW2]]/Tablo27[LW2]*$D$47+Tablo314[[#This Row],[LW3]]/Tablo27[LW3]*$E$47+Tablo314[[#This Row],[LW4]]/Tablo27[LW4]*$F$47+Tablo314[[#This Row],[LW5]]/Tablo27[LW5]*$G$47+Tablo314[[#This Row],[LW6]]/Tablo27[LW6]*$H$47+Tablo314[[#This Row],[LW7]]/Tablo27[LW7]*$I$47+Tablo314[[#This Row],[LW8]]/Tablo27[LW8]*$J$47+Tablo314[[#This Row],[LW9]]/Tablo27[LW9]*$K$47+Tablo314[[#This Row],[LW10]]/Tablo27[LW10]*$L$47+Tablo314[[#This Row],[LW11]]/Tablo27[LW11]*$M$47+Tablo314[[#This Row],[LW12]]/Tablo27[LW12]*$N$47+Tablo314[[#This Row],[LW13]]/Tablo27[LW13]*$O$47+Tablo314[[#This Row],[LW14]]/Tablo27[LW14]*$P$47</f>
        <v>0</v>
      </c>
      <c r="AC8" s="92" cm="1">
        <f t="array" ref="AC8">F8/Tablo27[LW1]*$C$48+Tablo314[[#This Row],[LW2]]/Tablo27[LW2]*$D$48+Tablo314[[#This Row],[LW3]]/Tablo27[LW3]*$E$48+Tablo314[[#This Row],[LW4]]/Tablo27[LW4]*$F$48+Tablo314[[#This Row],[LW5]]/Tablo27[LW5]*$G$48+Tablo314[[#This Row],[LW6]]/Tablo27[LW6]*$H$48+Tablo314[[#This Row],[LW7]]/Tablo27[LW7]*$I$48+Tablo314[[#This Row],[LW8]]/Tablo27[LW8]*$J$48+Tablo314[[#This Row],[LW9]]/Tablo27[LW9]*$K$48+Tablo314[[#This Row],[LW10]]/Tablo27[LW10]*$L$48+Tablo314[[#This Row],[LW11]]/Tablo27[LW11]*$M$48+Tablo314[[#This Row],[LW12]]/Tablo27[LW12]*$N$48+Tablo314[[#This Row],[LW13]]/Tablo27[LW13]*$O$48+Tablo314[[#This Row],[LW14]]/Tablo27[LW14]*$P$48</f>
        <v>0</v>
      </c>
      <c r="AD8" s="92" cm="1">
        <f t="array" ref="AD8">F8/Tablo27[LW1]*$C$49+Tablo314[[#This Row],[LW2]]/Tablo27[LW2]*$D$49+Tablo314[[#This Row],[LW3]]/Tablo27[LW3]*$E$49+Tablo314[[#This Row],[LW4]]/Tablo27[LW4]*$F$49+Tablo314[[#This Row],[LW5]]/Tablo27[LW5]*$G$49+Tablo314[[#This Row],[LW6]]/Tablo27[LW6]*$H$49+Tablo314[[#This Row],[LW7]]/Tablo27[LW7]*$I$49+Tablo314[[#This Row],[LW8]]/Tablo27[LW8]*$J$49+Tablo314[[#This Row],[LW9]]/Tablo27[LW9]*$K$49+Tablo314[[#This Row],[LW10]]/Tablo27[LW10]*$L$49+Tablo314[[#This Row],[LW11]]/Tablo27[LW11]*$M$49+Tablo314[[#This Row],[LW12]]/Tablo27[LW12]*$N$49+Tablo314[[#This Row],[LW13]]/Tablo27[LW13]*$O$49+Tablo314[[#This Row],[LW14]]/Tablo27[LW14]*$P$49</f>
        <v>0</v>
      </c>
      <c r="AE8" s="8">
        <f>SUM(Tablo314[[#This Row],[DÇ1]],Tablo314[[#This Row],[DÇ2]],Tablo314[[#This Row],[DÇ3]],Tablo314[[#This Row],[DÇ4]])</f>
        <v>114.5</v>
      </c>
      <c r="AF8" s="9" cm="1">
        <f t="array" ref="AF8">_xlfn.NORM.DIST(Tablo314[[#This Row],[TOTAL]],Tablo29[Mean],Tablo29[Variance],FALSE)</f>
        <v>3.8889915807717133E-3</v>
      </c>
    </row>
    <row r="9" spans="2:32" ht="15.6" thickTop="1" thickBot="1" x14ac:dyDescent="0.35">
      <c r="B9" s="91">
        <v>5</v>
      </c>
      <c r="C9" s="14">
        <v>7</v>
      </c>
      <c r="D9" s="61" t="s">
        <v>110</v>
      </c>
      <c r="E9" s="61" t="s">
        <v>111</v>
      </c>
      <c r="F9" s="5">
        <v>1</v>
      </c>
      <c r="G9" s="5">
        <v>2</v>
      </c>
      <c r="H9" s="5">
        <v>5</v>
      </c>
      <c r="I9" s="5">
        <v>3</v>
      </c>
      <c r="J9" s="5">
        <v>5</v>
      </c>
      <c r="K9" s="5">
        <v>4</v>
      </c>
      <c r="L9" s="5">
        <v>2</v>
      </c>
      <c r="M9" s="5">
        <v>5</v>
      </c>
      <c r="N9" s="5">
        <v>5</v>
      </c>
      <c r="O9" s="5">
        <v>7</v>
      </c>
      <c r="P9" s="5">
        <v>0</v>
      </c>
      <c r="Q9" s="5">
        <v>8</v>
      </c>
      <c r="R9" s="5">
        <v>8</v>
      </c>
      <c r="S9" s="5">
        <v>7</v>
      </c>
      <c r="T9" s="8">
        <f>SUM(Tablo314[[#This Row],[LW1]:[LW14]])</f>
        <v>62</v>
      </c>
      <c r="U9" s="8" cm="1">
        <f t="array" ref="U9">F9/Tablo27[LW1]*$C$40+Tablo314[[#This Row],[LW2]]/Tablo27[LW2]*$D$40+Tablo314[[#This Row],[LW3]]/Tablo27[LW3]*$E$40+Tablo314[[#This Row],[LW4]]/Tablo27[LW4]*$F$40+Tablo314[[#This Row],[LW5]]/Tablo27[LW5]*$G$40+Tablo314[[#This Row],[LW6]]/Tablo27[LW6]*$H$40+Tablo314[[#This Row],[LW7]]/Tablo27[LW7]*$I$40+Tablo314[[#This Row],[LW8]]/Tablo27[LW8]*$J$40+Tablo314[[#This Row],[LW9]]/Tablo27[LW9]*$K$40+Tablo314[[#This Row],[LW10]]/Tablo27[LW10]*$L$40+Tablo314[[#This Row],[LW11]]/Tablo27[LW11]*$M$40+Tablo314[[#This Row],[LW12]]/Tablo27[LW12]*$N$40+Tablo314[[#This Row],[LW13]]/Tablo27[LW13]*$O$40+Tablo314[[#This Row],[LW14]]/Tablo27[LW14]*$P$40</f>
        <v>13</v>
      </c>
      <c r="V9" s="8" cm="1">
        <f t="array" ref="V9">F9/Tablo27[LW1]*$C$41+Tablo314[[#This Row],[LW2]]/Tablo27[LW2]*$D$41+Tablo314[[#This Row],[LW3]]/Tablo27[LW3]*$E$41+Tablo314[[#This Row],[LW4]]/Tablo27[LW4]*$F$41+Tablo314[[#This Row],[LW5]]/Tablo27[LW5]*$G$41+Tablo314[[#This Row],[LW6]]/Tablo27[LW6]*$H$41+Tablo314[[#This Row],[LW7]]/Tablo27[LW7]*$I$41+Tablo314[[#This Row],[LW8]]/Tablo27[LW8]*$J$41+Tablo314[[#This Row],[LW9]]/Tablo27[LW9]*$K$41+Tablo314[[#This Row],[LW10]]/Tablo27[LW10]*$L$41+Tablo314[[#This Row],[LW11]]/Tablo27[LW11]*$M$41+Tablo314[[#This Row],[LW12]]/Tablo27[LW12]*$N$41+Tablo314[[#This Row],[LW13]]/Tablo27[LW13]*$O$41+Tablo314[[#This Row],[LW14]]/Tablo27[LW14]*$P$41</f>
        <v>24.5</v>
      </c>
      <c r="W9" s="8" cm="1">
        <f t="array" ref="W9">F9/Tablo27[LW1]*$C$42+Tablo314[[#This Row],[LW2]]/Tablo27[LW2]*$D$42+Tablo314[[#This Row],[LW3]]/Tablo27[LW3]*$E$42+Tablo314[[#This Row],[LW4]]/Tablo27[LW4]*$F$42+Tablo314[[#This Row],[LW5]]/Tablo27[LW5]*$G$42+Tablo314[[#This Row],[LW6]]/Tablo27[LW6]*$H$42+Tablo314[[#This Row],[LW7]]/Tablo27[LW7]*$I$42+Tablo314[[#This Row],[LW8]]/Tablo27[LW8]*$J$42+Tablo314[[#This Row],[LW9]]/Tablo27[LW9]*$K$42+Tablo314[[#This Row],[LW10]]/Tablo27[LW10]*$L$42+Tablo314[[#This Row],[LW11]]/Tablo27[LW11]*$M$42+Tablo314[[#This Row],[LW12]]/Tablo27[LW12]*$N$42+Tablo314[[#This Row],[LW13]]/Tablo27[LW13]*$O$42+Tablo314[[#This Row],[LW14]]/Tablo27[LW14]*$P$42</f>
        <v>38</v>
      </c>
      <c r="X9" s="8" cm="1">
        <f t="array" ref="X9">F9/Tablo27[LW1]*$C$43+Tablo314[[#This Row],[LW2]]/Tablo27[LW2]*$D$43+Tablo314[[#This Row],[LW3]]/Tablo27[LW3]*$E$43+Tablo314[[#This Row],[LW4]]/Tablo27[LW4]*$F$43+Tablo314[[#This Row],[LW5]]/Tablo27[LW5]*$G$43+Tablo314[[#This Row],[LW6]]/Tablo27[LW6]*$H$43+Tablo314[[#This Row],[LW7]]/Tablo27[LW7]*$I$43+Tablo314[[#This Row],[LW8]]/Tablo27[LW8]*$J$43+Tablo314[[#This Row],[LW9]]/Tablo27[LW9]*$K$43+Tablo314[[#This Row],[LW10]]/Tablo27[LW10]*$L$43+Tablo314[[#This Row],[LW11]]/Tablo27[LW11]*$M$43+Tablo314[[#This Row],[LW12]]/Tablo27[LW12]*$N$43+Tablo314[[#This Row],[LW13]]/Tablo27[LW13]*$O$43+Tablo314[[#This Row],[LW14]]/Tablo27[LW14]*$P$43</f>
        <v>37</v>
      </c>
      <c r="Y9" s="92" cm="1">
        <f t="array" ref="Y9">F9/Tablo27[LW1]*$C$44+Tablo314[[#This Row],[LW2]]/Tablo27[LW2]*$D$44+Tablo314[[#This Row],[LW3]]/Tablo27[LW3]*$E$44+Tablo314[[#This Row],[LW4]]/Tablo27[LW4]*$F$44+Tablo314[[#This Row],[LW5]]/Tablo27[LW5]*$G$44+Tablo314[[#This Row],[LW6]]/Tablo27[LW6]*$H$44+Tablo314[[#This Row],[LW7]]/Tablo27[LW7]*$I$44+Tablo314[[#This Row],[LW8]]/Tablo27[LW8]*$J$44+Tablo314[[#This Row],[LW9]]/Tablo27[LW9]*$K$44+Tablo314[[#This Row],[LW10]]/Tablo27[LW10]*$L$44+Tablo314[[#This Row],[LW11]]/Tablo27[LW11]*$M$44+Tablo314[[#This Row],[LW12]]/Tablo27[LW12]*$N$44+Tablo314[[#This Row],[LW13]]/Tablo27[LW13]*$O$44+Tablo314[[#This Row],[LW14]]/Tablo27[LW14]*$P$44</f>
        <v>0</v>
      </c>
      <c r="Z9" s="92" cm="1">
        <f t="array" ref="Z9">F9/Tablo27[LW1]*$C$45+Tablo314[[#This Row],[LW2]]/Tablo27[LW2]*$D$45+Tablo314[[#This Row],[LW3]]/Tablo27[LW3]*$E$45+Tablo314[[#This Row],[LW4]]/Tablo27[LW4]*$F$45+Tablo314[[#This Row],[LW5]]/Tablo27[LW5]*$G$45+Tablo314[[#This Row],[LW6]]/Tablo27[LW6]*$H$45+Tablo314[[#This Row],[LW7]]/Tablo27[LW7]*$I$45+Tablo314[[#This Row],[LW8]]/Tablo27[LW8]*$J$45+Tablo314[[#This Row],[LW9]]/Tablo27[LW9]*$K$45+Tablo314[[#This Row],[LW10]]/Tablo27[LW10]*$L$45+Tablo314[[#This Row],[LW11]]/Tablo27[LW11]*$M$45+Tablo314[[#This Row],[LW12]]/Tablo27[LW12]*$N$45+Tablo314[[#This Row],[LW13]]/Tablo27[LW13]*$O$45+Tablo314[[#This Row],[LW14]]/Tablo27[LW14]*$P$45</f>
        <v>0</v>
      </c>
      <c r="AA9" s="92" cm="1">
        <f t="array" ref="AA9">F9/Tablo27[LW1]*$C$46+Tablo314[[#This Row],[LW2]]/Tablo27[LW2]*$D$46+Tablo314[[#This Row],[LW3]]/Tablo27[LW3]*$E$46+Tablo314[[#This Row],[LW4]]/Tablo27[LW4]*$F$46+Tablo314[[#This Row],[LW5]]/Tablo27[LW5]*$G$46+Tablo314[[#This Row],[LW6]]/Tablo27[LW6]*$H$46+Tablo314[[#This Row],[LW7]]/Tablo27[LW7]*$I$46+Tablo314[[#This Row],[LW8]]/Tablo27[LW8]*$J$46+Tablo314[[#This Row],[LW9]]/Tablo27[LW9]*$K$46+Tablo314[[#This Row],[LW10]]/Tablo27[LW10]*$L$46+Tablo314[[#This Row],[LW11]]/Tablo27[LW11]*$M$46+Tablo314[[#This Row],[LW12]]/Tablo27[LW12]*$N$46+Tablo314[[#This Row],[LW13]]/Tablo27[LW13]*$O$46+Tablo314[[#This Row],[LW14]]/Tablo27[LW14]*$P$46</f>
        <v>0</v>
      </c>
      <c r="AB9" s="92" cm="1">
        <f t="array" ref="AB9">F9/Tablo27[LW1]*$C$47+Tablo314[[#This Row],[LW2]]/Tablo27[LW2]*$D$47+Tablo314[[#This Row],[LW3]]/Tablo27[LW3]*$E$47+Tablo314[[#This Row],[LW4]]/Tablo27[LW4]*$F$47+Tablo314[[#This Row],[LW5]]/Tablo27[LW5]*$G$47+Tablo314[[#This Row],[LW6]]/Tablo27[LW6]*$H$47+Tablo314[[#This Row],[LW7]]/Tablo27[LW7]*$I$47+Tablo314[[#This Row],[LW8]]/Tablo27[LW8]*$J$47+Tablo314[[#This Row],[LW9]]/Tablo27[LW9]*$K$47+Tablo314[[#This Row],[LW10]]/Tablo27[LW10]*$L$47+Tablo314[[#This Row],[LW11]]/Tablo27[LW11]*$M$47+Tablo314[[#This Row],[LW12]]/Tablo27[LW12]*$N$47+Tablo314[[#This Row],[LW13]]/Tablo27[LW13]*$O$47+Tablo314[[#This Row],[LW14]]/Tablo27[LW14]*$P$47</f>
        <v>0</v>
      </c>
      <c r="AC9" s="92" cm="1">
        <f t="array" ref="AC9">F9/Tablo27[LW1]*$C$48+Tablo314[[#This Row],[LW2]]/Tablo27[LW2]*$D$48+Tablo314[[#This Row],[LW3]]/Tablo27[LW3]*$E$48+Tablo314[[#This Row],[LW4]]/Tablo27[LW4]*$F$48+Tablo314[[#This Row],[LW5]]/Tablo27[LW5]*$G$48+Tablo314[[#This Row],[LW6]]/Tablo27[LW6]*$H$48+Tablo314[[#This Row],[LW7]]/Tablo27[LW7]*$I$48+Tablo314[[#This Row],[LW8]]/Tablo27[LW8]*$J$48+Tablo314[[#This Row],[LW9]]/Tablo27[LW9]*$K$48+Tablo314[[#This Row],[LW10]]/Tablo27[LW10]*$L$48+Tablo314[[#This Row],[LW11]]/Tablo27[LW11]*$M$48+Tablo314[[#This Row],[LW12]]/Tablo27[LW12]*$N$48+Tablo314[[#This Row],[LW13]]/Tablo27[LW13]*$O$48+Tablo314[[#This Row],[LW14]]/Tablo27[LW14]*$P$48</f>
        <v>0</v>
      </c>
      <c r="AD9" s="92" cm="1">
        <f t="array" ref="AD9">F9/Tablo27[LW1]*$C$49+Tablo314[[#This Row],[LW2]]/Tablo27[LW2]*$D$49+Tablo314[[#This Row],[LW3]]/Tablo27[LW3]*$E$49+Tablo314[[#This Row],[LW4]]/Tablo27[LW4]*$F$49+Tablo314[[#This Row],[LW5]]/Tablo27[LW5]*$G$49+Tablo314[[#This Row],[LW6]]/Tablo27[LW6]*$H$49+Tablo314[[#This Row],[LW7]]/Tablo27[LW7]*$I$49+Tablo314[[#This Row],[LW8]]/Tablo27[LW8]*$J$49+Tablo314[[#This Row],[LW9]]/Tablo27[LW9]*$K$49+Tablo314[[#This Row],[LW10]]/Tablo27[LW10]*$L$49+Tablo314[[#This Row],[LW11]]/Tablo27[LW11]*$M$49+Tablo314[[#This Row],[LW12]]/Tablo27[LW12]*$N$49+Tablo314[[#This Row],[LW13]]/Tablo27[LW13]*$O$49+Tablo314[[#This Row],[LW14]]/Tablo27[LW14]*$P$49</f>
        <v>0</v>
      </c>
      <c r="AE9" s="8">
        <f>SUM(Tablo314[[#This Row],[DÇ1]],Tablo314[[#This Row],[DÇ2]],Tablo314[[#This Row],[DÇ3]],Tablo314[[#This Row],[DÇ4]])</f>
        <v>112.5</v>
      </c>
      <c r="AF9" s="9" cm="1">
        <f t="array" ref="AF9">_xlfn.NORM.DIST(Tablo314[[#This Row],[TOTAL]],Tablo29[Mean],Tablo29[Variance],FALSE)</f>
        <v>3.8963490863819831E-3</v>
      </c>
    </row>
    <row r="10" spans="2:32" ht="15.6" thickTop="1" thickBot="1" x14ac:dyDescent="0.35">
      <c r="B10" s="93">
        <v>6</v>
      </c>
      <c r="C10" s="14">
        <v>14</v>
      </c>
      <c r="D10" s="61" t="s">
        <v>110</v>
      </c>
      <c r="E10" s="61" t="s">
        <v>111</v>
      </c>
      <c r="F10" s="5">
        <v>5</v>
      </c>
      <c r="G10" s="5">
        <v>3</v>
      </c>
      <c r="H10" s="5">
        <v>5</v>
      </c>
      <c r="I10" s="5">
        <v>5</v>
      </c>
      <c r="J10" s="5">
        <v>5</v>
      </c>
      <c r="K10" s="5">
        <v>3</v>
      </c>
      <c r="L10" s="5">
        <v>5</v>
      </c>
      <c r="M10" s="5">
        <v>5</v>
      </c>
      <c r="N10" s="5">
        <v>0</v>
      </c>
      <c r="O10" s="5">
        <v>5</v>
      </c>
      <c r="P10" s="5">
        <v>7</v>
      </c>
      <c r="Q10" s="5">
        <v>5</v>
      </c>
      <c r="R10" s="5">
        <v>4</v>
      </c>
      <c r="S10" s="5">
        <v>5</v>
      </c>
      <c r="T10" s="8">
        <f>SUM(Tablo314[[#This Row],[LW1]:[LW14]])</f>
        <v>62</v>
      </c>
      <c r="U10" s="8" cm="1">
        <f t="array" ref="U10">F10/Tablo27[LW1]*$C$40+Tablo314[[#This Row],[LW2]]/Tablo27[LW2]*$D$40+Tablo314[[#This Row],[LW3]]/Tablo27[LW3]*$E$40+Tablo314[[#This Row],[LW4]]/Tablo27[LW4]*$F$40+Tablo314[[#This Row],[LW5]]/Tablo27[LW5]*$G$40+Tablo314[[#This Row],[LW6]]/Tablo27[LW6]*$H$40+Tablo314[[#This Row],[LW7]]/Tablo27[LW7]*$I$40+Tablo314[[#This Row],[LW8]]/Tablo27[LW8]*$J$40+Tablo314[[#This Row],[LW9]]/Tablo27[LW9]*$K$40+Tablo314[[#This Row],[LW10]]/Tablo27[LW10]*$L$40+Tablo314[[#This Row],[LW11]]/Tablo27[LW11]*$M$40+Tablo314[[#This Row],[LW12]]/Tablo27[LW12]*$N$40+Tablo314[[#This Row],[LW13]]/Tablo27[LW13]*$O$40+Tablo314[[#This Row],[LW14]]/Tablo27[LW14]*$P$40</f>
        <v>20</v>
      </c>
      <c r="V10" s="8" cm="1">
        <f t="array" ref="V10">F10/Tablo27[LW1]*$C$41+Tablo314[[#This Row],[LW2]]/Tablo27[LW2]*$D$41+Tablo314[[#This Row],[LW3]]/Tablo27[LW3]*$E$41+Tablo314[[#This Row],[LW4]]/Tablo27[LW4]*$F$41+Tablo314[[#This Row],[LW5]]/Tablo27[LW5]*$G$41+Tablo314[[#This Row],[LW6]]/Tablo27[LW6]*$H$41+Tablo314[[#This Row],[LW7]]/Tablo27[LW7]*$I$41+Tablo314[[#This Row],[LW8]]/Tablo27[LW8]*$J$41+Tablo314[[#This Row],[LW9]]/Tablo27[LW9]*$K$41+Tablo314[[#This Row],[LW10]]/Tablo27[LW10]*$L$41+Tablo314[[#This Row],[LW11]]/Tablo27[LW11]*$M$41+Tablo314[[#This Row],[LW12]]/Tablo27[LW12]*$N$41+Tablo314[[#This Row],[LW13]]/Tablo27[LW13]*$O$41+Tablo314[[#This Row],[LW14]]/Tablo27[LW14]*$P$41</f>
        <v>25.5</v>
      </c>
      <c r="W10" s="8" cm="1">
        <f t="array" ref="W10">F10/Tablo27[LW1]*$C$42+Tablo314[[#This Row],[LW2]]/Tablo27[LW2]*$D$42+Tablo314[[#This Row],[LW3]]/Tablo27[LW3]*$E$42+Tablo314[[#This Row],[LW4]]/Tablo27[LW4]*$F$42+Tablo314[[#This Row],[LW5]]/Tablo27[LW5]*$G$42+Tablo314[[#This Row],[LW6]]/Tablo27[LW6]*$H$42+Tablo314[[#This Row],[LW7]]/Tablo27[LW7]*$I$42+Tablo314[[#This Row],[LW8]]/Tablo27[LW8]*$J$42+Tablo314[[#This Row],[LW9]]/Tablo27[LW9]*$K$42+Tablo314[[#This Row],[LW10]]/Tablo27[LW10]*$L$42+Tablo314[[#This Row],[LW11]]/Tablo27[LW11]*$M$42+Tablo314[[#This Row],[LW12]]/Tablo27[LW12]*$N$42+Tablo314[[#This Row],[LW13]]/Tablo27[LW13]*$O$42+Tablo314[[#This Row],[LW14]]/Tablo27[LW14]*$P$42</f>
        <v>31.5</v>
      </c>
      <c r="X10" s="8" cm="1">
        <f t="array" ref="X10">F10/Tablo27[LW1]*$C$43+Tablo314[[#This Row],[LW2]]/Tablo27[LW2]*$D$43+Tablo314[[#This Row],[LW3]]/Tablo27[LW3]*$E$43+Tablo314[[#This Row],[LW4]]/Tablo27[LW4]*$F$43+Tablo314[[#This Row],[LW5]]/Tablo27[LW5]*$G$43+Tablo314[[#This Row],[LW6]]/Tablo27[LW6]*$H$43+Tablo314[[#This Row],[LW7]]/Tablo27[LW7]*$I$43+Tablo314[[#This Row],[LW8]]/Tablo27[LW8]*$J$43+Tablo314[[#This Row],[LW9]]/Tablo27[LW9]*$K$43+Tablo314[[#This Row],[LW10]]/Tablo27[LW10]*$L$43+Tablo314[[#This Row],[LW11]]/Tablo27[LW11]*$M$43+Tablo314[[#This Row],[LW12]]/Tablo27[LW12]*$N$43+Tablo314[[#This Row],[LW13]]/Tablo27[LW13]*$O$43+Tablo314[[#This Row],[LW14]]/Tablo27[LW14]*$P$43</f>
        <v>34.5</v>
      </c>
      <c r="Y10" s="92" cm="1">
        <f t="array" ref="Y10">F10/Tablo27[LW1]*$C$44+Tablo314[[#This Row],[LW2]]/Tablo27[LW2]*$D$44+Tablo314[[#This Row],[LW3]]/Tablo27[LW3]*$E$44+Tablo314[[#This Row],[LW4]]/Tablo27[LW4]*$F$44+Tablo314[[#This Row],[LW5]]/Tablo27[LW5]*$G$44+Tablo314[[#This Row],[LW6]]/Tablo27[LW6]*$H$44+Tablo314[[#This Row],[LW7]]/Tablo27[LW7]*$I$44+Tablo314[[#This Row],[LW8]]/Tablo27[LW8]*$J$44+Tablo314[[#This Row],[LW9]]/Tablo27[LW9]*$K$44+Tablo314[[#This Row],[LW10]]/Tablo27[LW10]*$L$44+Tablo314[[#This Row],[LW11]]/Tablo27[LW11]*$M$44+Tablo314[[#This Row],[LW12]]/Tablo27[LW12]*$N$44+Tablo314[[#This Row],[LW13]]/Tablo27[LW13]*$O$44+Tablo314[[#This Row],[LW14]]/Tablo27[LW14]*$P$44</f>
        <v>0</v>
      </c>
      <c r="Z10" s="92" cm="1">
        <f t="array" ref="Z10">F10/Tablo27[LW1]*$C$45+Tablo314[[#This Row],[LW2]]/Tablo27[LW2]*$D$45+Tablo314[[#This Row],[LW3]]/Tablo27[LW3]*$E$45+Tablo314[[#This Row],[LW4]]/Tablo27[LW4]*$F$45+Tablo314[[#This Row],[LW5]]/Tablo27[LW5]*$G$45+Tablo314[[#This Row],[LW6]]/Tablo27[LW6]*$H$45+Tablo314[[#This Row],[LW7]]/Tablo27[LW7]*$I$45+Tablo314[[#This Row],[LW8]]/Tablo27[LW8]*$J$45+Tablo314[[#This Row],[LW9]]/Tablo27[LW9]*$K$45+Tablo314[[#This Row],[LW10]]/Tablo27[LW10]*$L$45+Tablo314[[#This Row],[LW11]]/Tablo27[LW11]*$M$45+Tablo314[[#This Row],[LW12]]/Tablo27[LW12]*$N$45+Tablo314[[#This Row],[LW13]]/Tablo27[LW13]*$O$45+Tablo314[[#This Row],[LW14]]/Tablo27[LW14]*$P$45</f>
        <v>0</v>
      </c>
      <c r="AA10" s="92" cm="1">
        <f t="array" ref="AA10">F10/Tablo27[LW1]*$C$46+Tablo314[[#This Row],[LW2]]/Tablo27[LW2]*$D$46+Tablo314[[#This Row],[LW3]]/Tablo27[LW3]*$E$46+Tablo314[[#This Row],[LW4]]/Tablo27[LW4]*$F$46+Tablo314[[#This Row],[LW5]]/Tablo27[LW5]*$G$46+Tablo314[[#This Row],[LW6]]/Tablo27[LW6]*$H$46+Tablo314[[#This Row],[LW7]]/Tablo27[LW7]*$I$46+Tablo314[[#This Row],[LW8]]/Tablo27[LW8]*$J$46+Tablo314[[#This Row],[LW9]]/Tablo27[LW9]*$K$46+Tablo314[[#This Row],[LW10]]/Tablo27[LW10]*$L$46+Tablo314[[#This Row],[LW11]]/Tablo27[LW11]*$M$46+Tablo314[[#This Row],[LW12]]/Tablo27[LW12]*$N$46+Tablo314[[#This Row],[LW13]]/Tablo27[LW13]*$O$46+Tablo314[[#This Row],[LW14]]/Tablo27[LW14]*$P$46</f>
        <v>0</v>
      </c>
      <c r="AB10" s="92" cm="1">
        <f t="array" ref="AB10">F10/Tablo27[LW1]*$C$47+Tablo314[[#This Row],[LW2]]/Tablo27[LW2]*$D$47+Tablo314[[#This Row],[LW3]]/Tablo27[LW3]*$E$47+Tablo314[[#This Row],[LW4]]/Tablo27[LW4]*$F$47+Tablo314[[#This Row],[LW5]]/Tablo27[LW5]*$G$47+Tablo314[[#This Row],[LW6]]/Tablo27[LW6]*$H$47+Tablo314[[#This Row],[LW7]]/Tablo27[LW7]*$I$47+Tablo314[[#This Row],[LW8]]/Tablo27[LW8]*$J$47+Tablo314[[#This Row],[LW9]]/Tablo27[LW9]*$K$47+Tablo314[[#This Row],[LW10]]/Tablo27[LW10]*$L$47+Tablo314[[#This Row],[LW11]]/Tablo27[LW11]*$M$47+Tablo314[[#This Row],[LW12]]/Tablo27[LW12]*$N$47+Tablo314[[#This Row],[LW13]]/Tablo27[LW13]*$O$47+Tablo314[[#This Row],[LW14]]/Tablo27[LW14]*$P$47</f>
        <v>0</v>
      </c>
      <c r="AC10" s="92" cm="1">
        <f t="array" ref="AC10">F10/Tablo27[LW1]*$C$48+Tablo314[[#This Row],[LW2]]/Tablo27[LW2]*$D$48+Tablo314[[#This Row],[LW3]]/Tablo27[LW3]*$E$48+Tablo314[[#This Row],[LW4]]/Tablo27[LW4]*$F$48+Tablo314[[#This Row],[LW5]]/Tablo27[LW5]*$G$48+Tablo314[[#This Row],[LW6]]/Tablo27[LW6]*$H$48+Tablo314[[#This Row],[LW7]]/Tablo27[LW7]*$I$48+Tablo314[[#This Row],[LW8]]/Tablo27[LW8]*$J$48+Tablo314[[#This Row],[LW9]]/Tablo27[LW9]*$K$48+Tablo314[[#This Row],[LW10]]/Tablo27[LW10]*$L$48+Tablo314[[#This Row],[LW11]]/Tablo27[LW11]*$M$48+Tablo314[[#This Row],[LW12]]/Tablo27[LW12]*$N$48+Tablo314[[#This Row],[LW13]]/Tablo27[LW13]*$O$48+Tablo314[[#This Row],[LW14]]/Tablo27[LW14]*$P$48</f>
        <v>0</v>
      </c>
      <c r="AD10" s="92" cm="1">
        <f t="array" ref="AD10">F10/Tablo27[LW1]*$C$49+Tablo314[[#This Row],[LW2]]/Tablo27[LW2]*$D$49+Tablo314[[#This Row],[LW3]]/Tablo27[LW3]*$E$49+Tablo314[[#This Row],[LW4]]/Tablo27[LW4]*$F$49+Tablo314[[#This Row],[LW5]]/Tablo27[LW5]*$G$49+Tablo314[[#This Row],[LW6]]/Tablo27[LW6]*$H$49+Tablo314[[#This Row],[LW7]]/Tablo27[LW7]*$I$49+Tablo314[[#This Row],[LW8]]/Tablo27[LW8]*$J$49+Tablo314[[#This Row],[LW9]]/Tablo27[LW9]*$K$49+Tablo314[[#This Row],[LW10]]/Tablo27[LW10]*$L$49+Tablo314[[#This Row],[LW11]]/Tablo27[LW11]*$M$49+Tablo314[[#This Row],[LW12]]/Tablo27[LW12]*$N$49+Tablo314[[#This Row],[LW13]]/Tablo27[LW13]*$O$49+Tablo314[[#This Row],[LW14]]/Tablo27[LW14]*$P$49</f>
        <v>0</v>
      </c>
      <c r="AE10" s="8">
        <f>SUM(Tablo314[[#This Row],[DÇ1]],Tablo314[[#This Row],[DÇ2]],Tablo314[[#This Row],[DÇ3]],Tablo314[[#This Row],[DÇ4]])</f>
        <v>111.5</v>
      </c>
      <c r="AF10" s="9" cm="1">
        <f t="array" ref="AF10">_xlfn.NORM.DIST(Tablo314[[#This Row],[TOTAL]],Tablo29[Mean],Tablo29[Variance],FALSE)</f>
        <v>3.8963490863819831E-3</v>
      </c>
    </row>
    <row r="11" spans="2:32" ht="15.6" thickTop="1" thickBot="1" x14ac:dyDescent="0.35">
      <c r="B11" s="91">
        <v>7</v>
      </c>
      <c r="C11" s="14">
        <v>15</v>
      </c>
      <c r="D11" s="61" t="s">
        <v>110</v>
      </c>
      <c r="E11" s="61" t="s">
        <v>111</v>
      </c>
      <c r="F11" s="5">
        <v>3</v>
      </c>
      <c r="G11" s="5">
        <v>5</v>
      </c>
      <c r="H11" s="5">
        <v>5</v>
      </c>
      <c r="I11" s="5">
        <v>5</v>
      </c>
      <c r="J11" s="5">
        <v>1</v>
      </c>
      <c r="K11" s="5">
        <v>3</v>
      </c>
      <c r="L11" s="5">
        <v>2</v>
      </c>
      <c r="M11" s="5">
        <v>5</v>
      </c>
      <c r="N11" s="5">
        <v>5</v>
      </c>
      <c r="O11" s="5">
        <v>8</v>
      </c>
      <c r="P11" s="5">
        <v>7</v>
      </c>
      <c r="Q11" s="5">
        <v>3</v>
      </c>
      <c r="R11" s="5">
        <v>6</v>
      </c>
      <c r="S11" s="5">
        <v>4</v>
      </c>
      <c r="T11" s="8">
        <f>SUM(Tablo314[[#This Row],[LW1]:[LW14]])</f>
        <v>62</v>
      </c>
      <c r="U11" s="8" cm="1">
        <f t="array" ref="U11">F11/Tablo27[LW1]*$C$40+Tablo314[[#This Row],[LW2]]/Tablo27[LW2]*$D$40+Tablo314[[#This Row],[LW3]]/Tablo27[LW3]*$E$40+Tablo314[[#This Row],[LW4]]/Tablo27[LW4]*$F$40+Tablo314[[#This Row],[LW5]]/Tablo27[LW5]*$G$40+Tablo314[[#This Row],[LW6]]/Tablo27[LW6]*$H$40+Tablo314[[#This Row],[LW7]]/Tablo27[LW7]*$I$40+Tablo314[[#This Row],[LW8]]/Tablo27[LW8]*$J$40+Tablo314[[#This Row],[LW9]]/Tablo27[LW9]*$K$40+Tablo314[[#This Row],[LW10]]/Tablo27[LW10]*$L$40+Tablo314[[#This Row],[LW11]]/Tablo27[LW11]*$M$40+Tablo314[[#This Row],[LW12]]/Tablo27[LW12]*$N$40+Tablo314[[#This Row],[LW13]]/Tablo27[LW13]*$O$40+Tablo314[[#This Row],[LW14]]/Tablo27[LW14]*$P$40</f>
        <v>18</v>
      </c>
      <c r="V11" s="8" cm="1">
        <f t="array" ref="V11">F11/Tablo27[LW1]*$C$41+Tablo314[[#This Row],[LW2]]/Tablo27[LW2]*$D$41+Tablo314[[#This Row],[LW3]]/Tablo27[LW3]*$E$41+Tablo314[[#This Row],[LW4]]/Tablo27[LW4]*$F$41+Tablo314[[#This Row],[LW5]]/Tablo27[LW5]*$G$41+Tablo314[[#This Row],[LW6]]/Tablo27[LW6]*$H$41+Tablo314[[#This Row],[LW7]]/Tablo27[LW7]*$I$41+Tablo314[[#This Row],[LW8]]/Tablo27[LW8]*$J$41+Tablo314[[#This Row],[LW9]]/Tablo27[LW9]*$K$41+Tablo314[[#This Row],[LW10]]/Tablo27[LW10]*$L$41+Tablo314[[#This Row],[LW11]]/Tablo27[LW11]*$M$41+Tablo314[[#This Row],[LW12]]/Tablo27[LW12]*$N$41+Tablo314[[#This Row],[LW13]]/Tablo27[LW13]*$O$41+Tablo314[[#This Row],[LW14]]/Tablo27[LW14]*$P$41</f>
        <v>27</v>
      </c>
      <c r="W11" s="8" cm="1">
        <f t="array" ref="W11">F11/Tablo27[LW1]*$C$42+Tablo314[[#This Row],[LW2]]/Tablo27[LW2]*$D$42+Tablo314[[#This Row],[LW3]]/Tablo27[LW3]*$E$42+Tablo314[[#This Row],[LW4]]/Tablo27[LW4]*$F$42+Tablo314[[#This Row],[LW5]]/Tablo27[LW5]*$G$42+Tablo314[[#This Row],[LW6]]/Tablo27[LW6]*$H$42+Tablo314[[#This Row],[LW7]]/Tablo27[LW7]*$I$42+Tablo314[[#This Row],[LW8]]/Tablo27[LW8]*$J$42+Tablo314[[#This Row],[LW9]]/Tablo27[LW9]*$K$42+Tablo314[[#This Row],[LW10]]/Tablo27[LW10]*$L$42+Tablo314[[#This Row],[LW11]]/Tablo27[LW11]*$M$42+Tablo314[[#This Row],[LW12]]/Tablo27[LW12]*$N$42+Tablo314[[#This Row],[LW13]]/Tablo27[LW13]*$O$42+Tablo314[[#This Row],[LW14]]/Tablo27[LW14]*$P$42</f>
        <v>31.5</v>
      </c>
      <c r="X11" s="8" cm="1">
        <f t="array" ref="X11">F11/Tablo27[LW1]*$C$43+Tablo314[[#This Row],[LW2]]/Tablo27[LW2]*$D$43+Tablo314[[#This Row],[LW3]]/Tablo27[LW3]*$E$43+Tablo314[[#This Row],[LW4]]/Tablo27[LW4]*$F$43+Tablo314[[#This Row],[LW5]]/Tablo27[LW5]*$G$43+Tablo314[[#This Row],[LW6]]/Tablo27[LW6]*$H$43+Tablo314[[#This Row],[LW7]]/Tablo27[LW7]*$I$43+Tablo314[[#This Row],[LW8]]/Tablo27[LW8]*$J$43+Tablo314[[#This Row],[LW9]]/Tablo27[LW9]*$K$43+Tablo314[[#This Row],[LW10]]/Tablo27[LW10]*$L$43+Tablo314[[#This Row],[LW11]]/Tablo27[LW11]*$M$43+Tablo314[[#This Row],[LW12]]/Tablo27[LW12]*$N$43+Tablo314[[#This Row],[LW13]]/Tablo27[LW13]*$O$43+Tablo314[[#This Row],[LW14]]/Tablo27[LW14]*$P$43</f>
        <v>33.5</v>
      </c>
      <c r="Y11" s="92" cm="1">
        <f t="array" ref="Y11">F11/Tablo27[LW1]*$C$44+Tablo314[[#This Row],[LW2]]/Tablo27[LW2]*$D$44+Tablo314[[#This Row],[LW3]]/Tablo27[LW3]*$E$44+Tablo314[[#This Row],[LW4]]/Tablo27[LW4]*$F$44+Tablo314[[#This Row],[LW5]]/Tablo27[LW5]*$G$44+Tablo314[[#This Row],[LW6]]/Tablo27[LW6]*$H$44+Tablo314[[#This Row],[LW7]]/Tablo27[LW7]*$I$44+Tablo314[[#This Row],[LW8]]/Tablo27[LW8]*$J$44+Tablo314[[#This Row],[LW9]]/Tablo27[LW9]*$K$44+Tablo314[[#This Row],[LW10]]/Tablo27[LW10]*$L$44+Tablo314[[#This Row],[LW11]]/Tablo27[LW11]*$M$44+Tablo314[[#This Row],[LW12]]/Tablo27[LW12]*$N$44+Tablo314[[#This Row],[LW13]]/Tablo27[LW13]*$O$44+Tablo314[[#This Row],[LW14]]/Tablo27[LW14]*$P$44</f>
        <v>0</v>
      </c>
      <c r="Z11" s="92" cm="1">
        <f t="array" ref="Z11">F11/Tablo27[LW1]*$C$45+Tablo314[[#This Row],[LW2]]/Tablo27[LW2]*$D$45+Tablo314[[#This Row],[LW3]]/Tablo27[LW3]*$E$45+Tablo314[[#This Row],[LW4]]/Tablo27[LW4]*$F$45+Tablo314[[#This Row],[LW5]]/Tablo27[LW5]*$G$45+Tablo314[[#This Row],[LW6]]/Tablo27[LW6]*$H$45+Tablo314[[#This Row],[LW7]]/Tablo27[LW7]*$I$45+Tablo314[[#This Row],[LW8]]/Tablo27[LW8]*$J$45+Tablo314[[#This Row],[LW9]]/Tablo27[LW9]*$K$45+Tablo314[[#This Row],[LW10]]/Tablo27[LW10]*$L$45+Tablo314[[#This Row],[LW11]]/Tablo27[LW11]*$M$45+Tablo314[[#This Row],[LW12]]/Tablo27[LW12]*$N$45+Tablo314[[#This Row],[LW13]]/Tablo27[LW13]*$O$45+Tablo314[[#This Row],[LW14]]/Tablo27[LW14]*$P$45</f>
        <v>0</v>
      </c>
      <c r="AA11" s="92" cm="1">
        <f t="array" ref="AA11">F11/Tablo27[LW1]*$C$46+Tablo314[[#This Row],[LW2]]/Tablo27[LW2]*$D$46+Tablo314[[#This Row],[LW3]]/Tablo27[LW3]*$E$46+Tablo314[[#This Row],[LW4]]/Tablo27[LW4]*$F$46+Tablo314[[#This Row],[LW5]]/Tablo27[LW5]*$G$46+Tablo314[[#This Row],[LW6]]/Tablo27[LW6]*$H$46+Tablo314[[#This Row],[LW7]]/Tablo27[LW7]*$I$46+Tablo314[[#This Row],[LW8]]/Tablo27[LW8]*$J$46+Tablo314[[#This Row],[LW9]]/Tablo27[LW9]*$K$46+Tablo314[[#This Row],[LW10]]/Tablo27[LW10]*$L$46+Tablo314[[#This Row],[LW11]]/Tablo27[LW11]*$M$46+Tablo314[[#This Row],[LW12]]/Tablo27[LW12]*$N$46+Tablo314[[#This Row],[LW13]]/Tablo27[LW13]*$O$46+Tablo314[[#This Row],[LW14]]/Tablo27[LW14]*$P$46</f>
        <v>0</v>
      </c>
      <c r="AB11" s="92" cm="1">
        <f t="array" ref="AB11">F11/Tablo27[LW1]*$C$47+Tablo314[[#This Row],[LW2]]/Tablo27[LW2]*$D$47+Tablo314[[#This Row],[LW3]]/Tablo27[LW3]*$E$47+Tablo314[[#This Row],[LW4]]/Tablo27[LW4]*$F$47+Tablo314[[#This Row],[LW5]]/Tablo27[LW5]*$G$47+Tablo314[[#This Row],[LW6]]/Tablo27[LW6]*$H$47+Tablo314[[#This Row],[LW7]]/Tablo27[LW7]*$I$47+Tablo314[[#This Row],[LW8]]/Tablo27[LW8]*$J$47+Tablo314[[#This Row],[LW9]]/Tablo27[LW9]*$K$47+Tablo314[[#This Row],[LW10]]/Tablo27[LW10]*$L$47+Tablo314[[#This Row],[LW11]]/Tablo27[LW11]*$M$47+Tablo314[[#This Row],[LW12]]/Tablo27[LW12]*$N$47+Tablo314[[#This Row],[LW13]]/Tablo27[LW13]*$O$47+Tablo314[[#This Row],[LW14]]/Tablo27[LW14]*$P$47</f>
        <v>0</v>
      </c>
      <c r="AC11" s="92" cm="1">
        <f t="array" ref="AC11">F11/Tablo27[LW1]*$C$48+Tablo314[[#This Row],[LW2]]/Tablo27[LW2]*$D$48+Tablo314[[#This Row],[LW3]]/Tablo27[LW3]*$E$48+Tablo314[[#This Row],[LW4]]/Tablo27[LW4]*$F$48+Tablo314[[#This Row],[LW5]]/Tablo27[LW5]*$G$48+Tablo314[[#This Row],[LW6]]/Tablo27[LW6]*$H$48+Tablo314[[#This Row],[LW7]]/Tablo27[LW7]*$I$48+Tablo314[[#This Row],[LW8]]/Tablo27[LW8]*$J$48+Tablo314[[#This Row],[LW9]]/Tablo27[LW9]*$K$48+Tablo314[[#This Row],[LW10]]/Tablo27[LW10]*$L$48+Tablo314[[#This Row],[LW11]]/Tablo27[LW11]*$M$48+Tablo314[[#This Row],[LW12]]/Tablo27[LW12]*$N$48+Tablo314[[#This Row],[LW13]]/Tablo27[LW13]*$O$48+Tablo314[[#This Row],[LW14]]/Tablo27[LW14]*$P$48</f>
        <v>0</v>
      </c>
      <c r="AD11" s="92" cm="1">
        <f t="array" ref="AD11">F11/Tablo27[LW1]*$C$49+Tablo314[[#This Row],[LW2]]/Tablo27[LW2]*$D$49+Tablo314[[#This Row],[LW3]]/Tablo27[LW3]*$E$49+Tablo314[[#This Row],[LW4]]/Tablo27[LW4]*$F$49+Tablo314[[#This Row],[LW5]]/Tablo27[LW5]*$G$49+Tablo314[[#This Row],[LW6]]/Tablo27[LW6]*$H$49+Tablo314[[#This Row],[LW7]]/Tablo27[LW7]*$I$49+Tablo314[[#This Row],[LW8]]/Tablo27[LW8]*$J$49+Tablo314[[#This Row],[LW9]]/Tablo27[LW9]*$K$49+Tablo314[[#This Row],[LW10]]/Tablo27[LW10]*$L$49+Tablo314[[#This Row],[LW11]]/Tablo27[LW11]*$M$49+Tablo314[[#This Row],[LW12]]/Tablo27[LW12]*$N$49+Tablo314[[#This Row],[LW13]]/Tablo27[LW13]*$O$49+Tablo314[[#This Row],[LW14]]/Tablo27[LW14]*$P$49</f>
        <v>0</v>
      </c>
      <c r="AE11" s="8">
        <f>SUM(Tablo314[[#This Row],[DÇ1]],Tablo314[[#This Row],[DÇ2]],Tablo314[[#This Row],[DÇ3]],Tablo314[[#This Row],[DÇ4]])</f>
        <v>110</v>
      </c>
      <c r="AF11" s="9" cm="1">
        <f t="array" ref="AF11">_xlfn.NORM.DIST(Tablo314[[#This Row],[TOTAL]],Tablo29[Mean],Tablo29[Variance],FALSE)</f>
        <v>3.8963490863819831E-3</v>
      </c>
    </row>
    <row r="12" spans="2:32" ht="15.6" thickTop="1" thickBot="1" x14ac:dyDescent="0.35">
      <c r="B12" s="93">
        <v>8</v>
      </c>
      <c r="C12" s="14">
        <v>13</v>
      </c>
      <c r="D12" s="61" t="s">
        <v>110</v>
      </c>
      <c r="E12" s="61" t="s">
        <v>111</v>
      </c>
      <c r="F12" s="5">
        <v>1</v>
      </c>
      <c r="G12" s="5">
        <v>5</v>
      </c>
      <c r="H12" s="5">
        <v>0</v>
      </c>
      <c r="I12" s="5">
        <v>1</v>
      </c>
      <c r="J12" s="5">
        <v>2</v>
      </c>
      <c r="K12" s="5">
        <v>4</v>
      </c>
      <c r="L12" s="5">
        <v>4</v>
      </c>
      <c r="M12" s="5">
        <v>5</v>
      </c>
      <c r="N12" s="5">
        <v>5</v>
      </c>
      <c r="O12" s="5">
        <v>9</v>
      </c>
      <c r="P12" s="5">
        <v>8</v>
      </c>
      <c r="Q12" s="5">
        <v>5</v>
      </c>
      <c r="R12" s="5">
        <v>4</v>
      </c>
      <c r="S12" s="5">
        <v>8</v>
      </c>
      <c r="T12" s="8">
        <f>SUM(Tablo314[[#This Row],[LW1]:[LW14]])</f>
        <v>61</v>
      </c>
      <c r="U12" s="8" cm="1">
        <f t="array" ref="U12">F12/Tablo27[LW1]*$C$40+Tablo314[[#This Row],[LW2]]/Tablo27[LW2]*$D$40+Tablo314[[#This Row],[LW3]]/Tablo27[LW3]*$E$40+Tablo314[[#This Row],[LW4]]/Tablo27[LW4]*$F$40+Tablo314[[#This Row],[LW5]]/Tablo27[LW5]*$G$40+Tablo314[[#This Row],[LW6]]/Tablo27[LW6]*$H$40+Tablo314[[#This Row],[LW7]]/Tablo27[LW7]*$I$40+Tablo314[[#This Row],[LW8]]/Tablo27[LW8]*$J$40+Tablo314[[#This Row],[LW9]]/Tablo27[LW9]*$K$40+Tablo314[[#This Row],[LW10]]/Tablo27[LW10]*$L$40+Tablo314[[#This Row],[LW11]]/Tablo27[LW11]*$M$40+Tablo314[[#This Row],[LW12]]/Tablo27[LW12]*$N$40+Tablo314[[#This Row],[LW13]]/Tablo27[LW13]*$O$40+Tablo314[[#This Row],[LW14]]/Tablo27[LW14]*$P$40</f>
        <v>12</v>
      </c>
      <c r="V12" s="8" cm="1">
        <f t="array" ref="V12">F12/Tablo27[LW1]*$C$41+Tablo314[[#This Row],[LW2]]/Tablo27[LW2]*$D$41+Tablo314[[#This Row],[LW3]]/Tablo27[LW3]*$E$41+Tablo314[[#This Row],[LW4]]/Tablo27[LW4]*$F$41+Tablo314[[#This Row],[LW5]]/Tablo27[LW5]*$G$41+Tablo314[[#This Row],[LW6]]/Tablo27[LW6]*$H$41+Tablo314[[#This Row],[LW7]]/Tablo27[LW7]*$I$41+Tablo314[[#This Row],[LW8]]/Tablo27[LW8]*$J$41+Tablo314[[#This Row],[LW9]]/Tablo27[LW9]*$K$41+Tablo314[[#This Row],[LW10]]/Tablo27[LW10]*$L$41+Tablo314[[#This Row],[LW11]]/Tablo27[LW11]*$M$41+Tablo314[[#This Row],[LW12]]/Tablo27[LW12]*$N$41+Tablo314[[#This Row],[LW13]]/Tablo27[LW13]*$O$41+Tablo314[[#This Row],[LW14]]/Tablo27[LW14]*$P$41</f>
        <v>26.5</v>
      </c>
      <c r="W12" s="8" cm="1">
        <f t="array" ref="W12">F12/Tablo27[LW1]*$C$42+Tablo314[[#This Row],[LW2]]/Tablo27[LW2]*$D$42+Tablo314[[#This Row],[LW3]]/Tablo27[LW3]*$E$42+Tablo314[[#This Row],[LW4]]/Tablo27[LW4]*$F$42+Tablo314[[#This Row],[LW5]]/Tablo27[LW5]*$G$42+Tablo314[[#This Row],[LW6]]/Tablo27[LW6]*$H$42+Tablo314[[#This Row],[LW7]]/Tablo27[LW7]*$I$42+Tablo314[[#This Row],[LW8]]/Tablo27[LW8]*$J$42+Tablo314[[#This Row],[LW9]]/Tablo27[LW9]*$K$42+Tablo314[[#This Row],[LW10]]/Tablo27[LW10]*$L$42+Tablo314[[#This Row],[LW11]]/Tablo27[LW11]*$M$42+Tablo314[[#This Row],[LW12]]/Tablo27[LW12]*$N$42+Tablo314[[#This Row],[LW13]]/Tablo27[LW13]*$O$42+Tablo314[[#This Row],[LW14]]/Tablo27[LW14]*$P$42</f>
        <v>37</v>
      </c>
      <c r="X12" s="8" cm="1">
        <f t="array" ref="X12">F12/Tablo27[LW1]*$C$43+Tablo314[[#This Row],[LW2]]/Tablo27[LW2]*$D$43+Tablo314[[#This Row],[LW3]]/Tablo27[LW3]*$E$43+Tablo314[[#This Row],[LW4]]/Tablo27[LW4]*$F$43+Tablo314[[#This Row],[LW5]]/Tablo27[LW5]*$G$43+Tablo314[[#This Row],[LW6]]/Tablo27[LW6]*$H$43+Tablo314[[#This Row],[LW7]]/Tablo27[LW7]*$I$43+Tablo314[[#This Row],[LW8]]/Tablo27[LW8]*$J$43+Tablo314[[#This Row],[LW9]]/Tablo27[LW9]*$K$43+Tablo314[[#This Row],[LW10]]/Tablo27[LW10]*$L$43+Tablo314[[#This Row],[LW11]]/Tablo27[LW11]*$M$43+Tablo314[[#This Row],[LW12]]/Tablo27[LW12]*$N$43+Tablo314[[#This Row],[LW13]]/Tablo27[LW13]*$O$43+Tablo314[[#This Row],[LW14]]/Tablo27[LW14]*$P$43</f>
        <v>36</v>
      </c>
      <c r="Y12" s="92" cm="1">
        <f t="array" ref="Y12">F12/Tablo27[LW1]*$C$44+Tablo314[[#This Row],[LW2]]/Tablo27[LW2]*$D$44+Tablo314[[#This Row],[LW3]]/Tablo27[LW3]*$E$44+Tablo314[[#This Row],[LW4]]/Tablo27[LW4]*$F$44+Tablo314[[#This Row],[LW5]]/Tablo27[LW5]*$G$44+Tablo314[[#This Row],[LW6]]/Tablo27[LW6]*$H$44+Tablo314[[#This Row],[LW7]]/Tablo27[LW7]*$I$44+Tablo314[[#This Row],[LW8]]/Tablo27[LW8]*$J$44+Tablo314[[#This Row],[LW9]]/Tablo27[LW9]*$K$44+Tablo314[[#This Row],[LW10]]/Tablo27[LW10]*$L$44+Tablo314[[#This Row],[LW11]]/Tablo27[LW11]*$M$44+Tablo314[[#This Row],[LW12]]/Tablo27[LW12]*$N$44+Tablo314[[#This Row],[LW13]]/Tablo27[LW13]*$O$44+Tablo314[[#This Row],[LW14]]/Tablo27[LW14]*$P$44</f>
        <v>0</v>
      </c>
      <c r="Z12" s="92" cm="1">
        <f t="array" ref="Z12">F12/Tablo27[LW1]*$C$45+Tablo314[[#This Row],[LW2]]/Tablo27[LW2]*$D$45+Tablo314[[#This Row],[LW3]]/Tablo27[LW3]*$E$45+Tablo314[[#This Row],[LW4]]/Tablo27[LW4]*$F$45+Tablo314[[#This Row],[LW5]]/Tablo27[LW5]*$G$45+Tablo314[[#This Row],[LW6]]/Tablo27[LW6]*$H$45+Tablo314[[#This Row],[LW7]]/Tablo27[LW7]*$I$45+Tablo314[[#This Row],[LW8]]/Tablo27[LW8]*$J$45+Tablo314[[#This Row],[LW9]]/Tablo27[LW9]*$K$45+Tablo314[[#This Row],[LW10]]/Tablo27[LW10]*$L$45+Tablo314[[#This Row],[LW11]]/Tablo27[LW11]*$M$45+Tablo314[[#This Row],[LW12]]/Tablo27[LW12]*$N$45+Tablo314[[#This Row],[LW13]]/Tablo27[LW13]*$O$45+Tablo314[[#This Row],[LW14]]/Tablo27[LW14]*$P$45</f>
        <v>0</v>
      </c>
      <c r="AA12" s="92" cm="1">
        <f t="array" ref="AA12">F12/Tablo27[LW1]*$C$46+Tablo314[[#This Row],[LW2]]/Tablo27[LW2]*$D$46+Tablo314[[#This Row],[LW3]]/Tablo27[LW3]*$E$46+Tablo314[[#This Row],[LW4]]/Tablo27[LW4]*$F$46+Tablo314[[#This Row],[LW5]]/Tablo27[LW5]*$G$46+Tablo314[[#This Row],[LW6]]/Tablo27[LW6]*$H$46+Tablo314[[#This Row],[LW7]]/Tablo27[LW7]*$I$46+Tablo314[[#This Row],[LW8]]/Tablo27[LW8]*$J$46+Tablo314[[#This Row],[LW9]]/Tablo27[LW9]*$K$46+Tablo314[[#This Row],[LW10]]/Tablo27[LW10]*$L$46+Tablo314[[#This Row],[LW11]]/Tablo27[LW11]*$M$46+Tablo314[[#This Row],[LW12]]/Tablo27[LW12]*$N$46+Tablo314[[#This Row],[LW13]]/Tablo27[LW13]*$O$46+Tablo314[[#This Row],[LW14]]/Tablo27[LW14]*$P$46</f>
        <v>0</v>
      </c>
      <c r="AB12" s="92" cm="1">
        <f t="array" ref="AB12">F12/Tablo27[LW1]*$C$47+Tablo314[[#This Row],[LW2]]/Tablo27[LW2]*$D$47+Tablo314[[#This Row],[LW3]]/Tablo27[LW3]*$E$47+Tablo314[[#This Row],[LW4]]/Tablo27[LW4]*$F$47+Tablo314[[#This Row],[LW5]]/Tablo27[LW5]*$G$47+Tablo314[[#This Row],[LW6]]/Tablo27[LW6]*$H$47+Tablo314[[#This Row],[LW7]]/Tablo27[LW7]*$I$47+Tablo314[[#This Row],[LW8]]/Tablo27[LW8]*$J$47+Tablo314[[#This Row],[LW9]]/Tablo27[LW9]*$K$47+Tablo314[[#This Row],[LW10]]/Tablo27[LW10]*$L$47+Tablo314[[#This Row],[LW11]]/Tablo27[LW11]*$M$47+Tablo314[[#This Row],[LW12]]/Tablo27[LW12]*$N$47+Tablo314[[#This Row],[LW13]]/Tablo27[LW13]*$O$47+Tablo314[[#This Row],[LW14]]/Tablo27[LW14]*$P$47</f>
        <v>0</v>
      </c>
      <c r="AC12" s="92" cm="1">
        <f t="array" ref="AC12">F12/Tablo27[LW1]*$C$48+Tablo314[[#This Row],[LW2]]/Tablo27[LW2]*$D$48+Tablo314[[#This Row],[LW3]]/Tablo27[LW3]*$E$48+Tablo314[[#This Row],[LW4]]/Tablo27[LW4]*$F$48+Tablo314[[#This Row],[LW5]]/Tablo27[LW5]*$G$48+Tablo314[[#This Row],[LW6]]/Tablo27[LW6]*$H$48+Tablo314[[#This Row],[LW7]]/Tablo27[LW7]*$I$48+Tablo314[[#This Row],[LW8]]/Tablo27[LW8]*$J$48+Tablo314[[#This Row],[LW9]]/Tablo27[LW9]*$K$48+Tablo314[[#This Row],[LW10]]/Tablo27[LW10]*$L$48+Tablo314[[#This Row],[LW11]]/Tablo27[LW11]*$M$48+Tablo314[[#This Row],[LW12]]/Tablo27[LW12]*$N$48+Tablo314[[#This Row],[LW13]]/Tablo27[LW13]*$O$48+Tablo314[[#This Row],[LW14]]/Tablo27[LW14]*$P$48</f>
        <v>0</v>
      </c>
      <c r="AD12" s="92" cm="1">
        <f t="array" ref="AD12">F12/Tablo27[LW1]*$C$49+Tablo314[[#This Row],[LW2]]/Tablo27[LW2]*$D$49+Tablo314[[#This Row],[LW3]]/Tablo27[LW3]*$E$49+Tablo314[[#This Row],[LW4]]/Tablo27[LW4]*$F$49+Tablo314[[#This Row],[LW5]]/Tablo27[LW5]*$G$49+Tablo314[[#This Row],[LW6]]/Tablo27[LW6]*$H$49+Tablo314[[#This Row],[LW7]]/Tablo27[LW7]*$I$49+Tablo314[[#This Row],[LW8]]/Tablo27[LW8]*$J$49+Tablo314[[#This Row],[LW9]]/Tablo27[LW9]*$K$49+Tablo314[[#This Row],[LW10]]/Tablo27[LW10]*$L$49+Tablo314[[#This Row],[LW11]]/Tablo27[LW11]*$M$49+Tablo314[[#This Row],[LW12]]/Tablo27[LW12]*$N$49+Tablo314[[#This Row],[LW13]]/Tablo27[LW13]*$O$49+Tablo314[[#This Row],[LW14]]/Tablo27[LW14]*$P$49</f>
        <v>0</v>
      </c>
      <c r="AE12" s="8">
        <f>SUM(Tablo314[[#This Row],[DÇ1]],Tablo314[[#This Row],[DÇ2]],Tablo314[[#This Row],[DÇ3]],Tablo314[[#This Row],[DÇ4]])</f>
        <v>111.5</v>
      </c>
      <c r="AF12" s="9" cm="1">
        <f t="array" ref="AF12">_xlfn.NORM.DIST(Tablo314[[#This Row],[TOTAL]],Tablo29[Mean],Tablo29[Variance],FALSE)</f>
        <v>3.8994708706283757E-3</v>
      </c>
    </row>
    <row r="13" spans="2:32" ht="15.6" thickTop="1" thickBot="1" x14ac:dyDescent="0.35">
      <c r="B13" s="91">
        <v>9</v>
      </c>
      <c r="C13" s="14">
        <v>20</v>
      </c>
      <c r="D13" s="61" t="s">
        <v>110</v>
      </c>
      <c r="E13" s="61" t="s">
        <v>111</v>
      </c>
      <c r="F13" s="5">
        <v>5</v>
      </c>
      <c r="G13" s="5">
        <v>5</v>
      </c>
      <c r="H13" s="5">
        <v>0</v>
      </c>
      <c r="I13" s="5">
        <v>4</v>
      </c>
      <c r="J13" s="5">
        <v>5</v>
      </c>
      <c r="K13" s="5">
        <v>0</v>
      </c>
      <c r="L13" s="5">
        <v>1</v>
      </c>
      <c r="M13" s="5">
        <v>5</v>
      </c>
      <c r="N13" s="5">
        <v>3</v>
      </c>
      <c r="O13" s="5">
        <v>9</v>
      </c>
      <c r="P13" s="5">
        <v>4</v>
      </c>
      <c r="Q13" s="5">
        <v>2</v>
      </c>
      <c r="R13" s="5">
        <v>9</v>
      </c>
      <c r="S13" s="5">
        <v>9</v>
      </c>
      <c r="T13" s="8">
        <f>SUM(Tablo314[[#This Row],[LW1]:[LW14]])</f>
        <v>61</v>
      </c>
      <c r="U13" s="8" cm="1">
        <f t="array" ref="U13">F13/Tablo27[LW1]*$C$40+Tablo314[[#This Row],[LW2]]/Tablo27[LW2]*$D$40+Tablo314[[#This Row],[LW3]]/Tablo27[LW3]*$E$40+Tablo314[[#This Row],[LW4]]/Tablo27[LW4]*$F$40+Tablo314[[#This Row],[LW5]]/Tablo27[LW5]*$G$40+Tablo314[[#This Row],[LW6]]/Tablo27[LW6]*$H$40+Tablo314[[#This Row],[LW7]]/Tablo27[LW7]*$I$40+Tablo314[[#This Row],[LW8]]/Tablo27[LW8]*$J$40+Tablo314[[#This Row],[LW9]]/Tablo27[LW9]*$K$40+Tablo314[[#This Row],[LW10]]/Tablo27[LW10]*$L$40+Tablo314[[#This Row],[LW11]]/Tablo27[LW11]*$M$40+Tablo314[[#This Row],[LW12]]/Tablo27[LW12]*$N$40+Tablo314[[#This Row],[LW13]]/Tablo27[LW13]*$O$40+Tablo314[[#This Row],[LW14]]/Tablo27[LW14]*$P$40</f>
        <v>12</v>
      </c>
      <c r="V13" s="8" cm="1">
        <f t="array" ref="V13">F13/Tablo27[LW1]*$C$41+Tablo314[[#This Row],[LW2]]/Tablo27[LW2]*$D$41+Tablo314[[#This Row],[LW3]]/Tablo27[LW3]*$E$41+Tablo314[[#This Row],[LW4]]/Tablo27[LW4]*$F$41+Tablo314[[#This Row],[LW5]]/Tablo27[LW5]*$G$41+Tablo314[[#This Row],[LW6]]/Tablo27[LW6]*$H$41+Tablo314[[#This Row],[LW7]]/Tablo27[LW7]*$I$41+Tablo314[[#This Row],[LW8]]/Tablo27[LW8]*$J$41+Tablo314[[#This Row],[LW9]]/Tablo27[LW9]*$K$41+Tablo314[[#This Row],[LW10]]/Tablo27[LW10]*$L$41+Tablo314[[#This Row],[LW11]]/Tablo27[LW11]*$M$41+Tablo314[[#This Row],[LW12]]/Tablo27[LW12]*$N$41+Tablo314[[#This Row],[LW13]]/Tablo27[LW13]*$O$41+Tablo314[[#This Row],[LW14]]/Tablo27[LW14]*$P$41</f>
        <v>20.5</v>
      </c>
      <c r="W13" s="8" cm="1">
        <f t="array" ref="W13">F13/Tablo27[LW1]*$C$42+Tablo314[[#This Row],[LW2]]/Tablo27[LW2]*$D$42+Tablo314[[#This Row],[LW3]]/Tablo27[LW3]*$E$42+Tablo314[[#This Row],[LW4]]/Tablo27[LW4]*$F$42+Tablo314[[#This Row],[LW5]]/Tablo27[LW5]*$G$42+Tablo314[[#This Row],[LW6]]/Tablo27[LW6]*$H$42+Tablo314[[#This Row],[LW7]]/Tablo27[LW7]*$I$42+Tablo314[[#This Row],[LW8]]/Tablo27[LW8]*$J$42+Tablo314[[#This Row],[LW9]]/Tablo27[LW9]*$K$42+Tablo314[[#This Row],[LW10]]/Tablo27[LW10]*$L$42+Tablo314[[#This Row],[LW11]]/Tablo27[LW11]*$M$42+Tablo314[[#This Row],[LW12]]/Tablo27[LW12]*$N$42+Tablo314[[#This Row],[LW13]]/Tablo27[LW13]*$O$42+Tablo314[[#This Row],[LW14]]/Tablo27[LW14]*$P$42</f>
        <v>35</v>
      </c>
      <c r="X13" s="8" cm="1">
        <f t="array" ref="X13">F13/Tablo27[LW1]*$C$43+Tablo314[[#This Row],[LW2]]/Tablo27[LW2]*$D$43+Tablo314[[#This Row],[LW3]]/Tablo27[LW3]*$E$43+Tablo314[[#This Row],[LW4]]/Tablo27[LW4]*$F$43+Tablo314[[#This Row],[LW5]]/Tablo27[LW5]*$G$43+Tablo314[[#This Row],[LW6]]/Tablo27[LW6]*$H$43+Tablo314[[#This Row],[LW7]]/Tablo27[LW7]*$I$43+Tablo314[[#This Row],[LW8]]/Tablo27[LW8]*$J$43+Tablo314[[#This Row],[LW9]]/Tablo27[LW9]*$K$43+Tablo314[[#This Row],[LW10]]/Tablo27[LW10]*$L$43+Tablo314[[#This Row],[LW11]]/Tablo27[LW11]*$M$43+Tablo314[[#This Row],[LW12]]/Tablo27[LW12]*$N$43+Tablo314[[#This Row],[LW13]]/Tablo27[LW13]*$O$43+Tablo314[[#This Row],[LW14]]/Tablo27[LW14]*$P$43</f>
        <v>34.5</v>
      </c>
      <c r="Y13" s="92" cm="1">
        <f t="array" ref="Y13">F13/Tablo27[LW1]*$C$44+Tablo314[[#This Row],[LW2]]/Tablo27[LW2]*$D$44+Tablo314[[#This Row],[LW3]]/Tablo27[LW3]*$E$44+Tablo314[[#This Row],[LW4]]/Tablo27[LW4]*$F$44+Tablo314[[#This Row],[LW5]]/Tablo27[LW5]*$G$44+Tablo314[[#This Row],[LW6]]/Tablo27[LW6]*$H$44+Tablo314[[#This Row],[LW7]]/Tablo27[LW7]*$I$44+Tablo314[[#This Row],[LW8]]/Tablo27[LW8]*$J$44+Tablo314[[#This Row],[LW9]]/Tablo27[LW9]*$K$44+Tablo314[[#This Row],[LW10]]/Tablo27[LW10]*$L$44+Tablo314[[#This Row],[LW11]]/Tablo27[LW11]*$M$44+Tablo314[[#This Row],[LW12]]/Tablo27[LW12]*$N$44+Tablo314[[#This Row],[LW13]]/Tablo27[LW13]*$O$44+Tablo314[[#This Row],[LW14]]/Tablo27[LW14]*$P$44</f>
        <v>0</v>
      </c>
      <c r="Z13" s="92" cm="1">
        <f t="array" ref="Z13">F13/Tablo27[LW1]*$C$45+Tablo314[[#This Row],[LW2]]/Tablo27[LW2]*$D$45+Tablo314[[#This Row],[LW3]]/Tablo27[LW3]*$E$45+Tablo314[[#This Row],[LW4]]/Tablo27[LW4]*$F$45+Tablo314[[#This Row],[LW5]]/Tablo27[LW5]*$G$45+Tablo314[[#This Row],[LW6]]/Tablo27[LW6]*$H$45+Tablo314[[#This Row],[LW7]]/Tablo27[LW7]*$I$45+Tablo314[[#This Row],[LW8]]/Tablo27[LW8]*$J$45+Tablo314[[#This Row],[LW9]]/Tablo27[LW9]*$K$45+Tablo314[[#This Row],[LW10]]/Tablo27[LW10]*$L$45+Tablo314[[#This Row],[LW11]]/Tablo27[LW11]*$M$45+Tablo314[[#This Row],[LW12]]/Tablo27[LW12]*$N$45+Tablo314[[#This Row],[LW13]]/Tablo27[LW13]*$O$45+Tablo314[[#This Row],[LW14]]/Tablo27[LW14]*$P$45</f>
        <v>0</v>
      </c>
      <c r="AA13" s="92" cm="1">
        <f t="array" ref="AA13">F13/Tablo27[LW1]*$C$46+Tablo314[[#This Row],[LW2]]/Tablo27[LW2]*$D$46+Tablo314[[#This Row],[LW3]]/Tablo27[LW3]*$E$46+Tablo314[[#This Row],[LW4]]/Tablo27[LW4]*$F$46+Tablo314[[#This Row],[LW5]]/Tablo27[LW5]*$G$46+Tablo314[[#This Row],[LW6]]/Tablo27[LW6]*$H$46+Tablo314[[#This Row],[LW7]]/Tablo27[LW7]*$I$46+Tablo314[[#This Row],[LW8]]/Tablo27[LW8]*$J$46+Tablo314[[#This Row],[LW9]]/Tablo27[LW9]*$K$46+Tablo314[[#This Row],[LW10]]/Tablo27[LW10]*$L$46+Tablo314[[#This Row],[LW11]]/Tablo27[LW11]*$M$46+Tablo314[[#This Row],[LW12]]/Tablo27[LW12]*$N$46+Tablo314[[#This Row],[LW13]]/Tablo27[LW13]*$O$46+Tablo314[[#This Row],[LW14]]/Tablo27[LW14]*$P$46</f>
        <v>0</v>
      </c>
      <c r="AB13" s="92" cm="1">
        <f t="array" ref="AB13">F13/Tablo27[LW1]*$C$47+Tablo314[[#This Row],[LW2]]/Tablo27[LW2]*$D$47+Tablo314[[#This Row],[LW3]]/Tablo27[LW3]*$E$47+Tablo314[[#This Row],[LW4]]/Tablo27[LW4]*$F$47+Tablo314[[#This Row],[LW5]]/Tablo27[LW5]*$G$47+Tablo314[[#This Row],[LW6]]/Tablo27[LW6]*$H$47+Tablo314[[#This Row],[LW7]]/Tablo27[LW7]*$I$47+Tablo314[[#This Row],[LW8]]/Tablo27[LW8]*$J$47+Tablo314[[#This Row],[LW9]]/Tablo27[LW9]*$K$47+Tablo314[[#This Row],[LW10]]/Tablo27[LW10]*$L$47+Tablo314[[#This Row],[LW11]]/Tablo27[LW11]*$M$47+Tablo314[[#This Row],[LW12]]/Tablo27[LW12]*$N$47+Tablo314[[#This Row],[LW13]]/Tablo27[LW13]*$O$47+Tablo314[[#This Row],[LW14]]/Tablo27[LW14]*$P$47</f>
        <v>0</v>
      </c>
      <c r="AC13" s="92" cm="1">
        <f t="array" ref="AC13">F13/Tablo27[LW1]*$C$48+Tablo314[[#This Row],[LW2]]/Tablo27[LW2]*$D$48+Tablo314[[#This Row],[LW3]]/Tablo27[LW3]*$E$48+Tablo314[[#This Row],[LW4]]/Tablo27[LW4]*$F$48+Tablo314[[#This Row],[LW5]]/Tablo27[LW5]*$G$48+Tablo314[[#This Row],[LW6]]/Tablo27[LW6]*$H$48+Tablo314[[#This Row],[LW7]]/Tablo27[LW7]*$I$48+Tablo314[[#This Row],[LW8]]/Tablo27[LW8]*$J$48+Tablo314[[#This Row],[LW9]]/Tablo27[LW9]*$K$48+Tablo314[[#This Row],[LW10]]/Tablo27[LW10]*$L$48+Tablo314[[#This Row],[LW11]]/Tablo27[LW11]*$M$48+Tablo314[[#This Row],[LW12]]/Tablo27[LW12]*$N$48+Tablo314[[#This Row],[LW13]]/Tablo27[LW13]*$O$48+Tablo314[[#This Row],[LW14]]/Tablo27[LW14]*$P$48</f>
        <v>0</v>
      </c>
      <c r="AD13" s="92" cm="1">
        <f t="array" ref="AD13">F13/Tablo27[LW1]*$C$49+Tablo314[[#This Row],[LW2]]/Tablo27[LW2]*$D$49+Tablo314[[#This Row],[LW3]]/Tablo27[LW3]*$E$49+Tablo314[[#This Row],[LW4]]/Tablo27[LW4]*$F$49+Tablo314[[#This Row],[LW5]]/Tablo27[LW5]*$G$49+Tablo314[[#This Row],[LW6]]/Tablo27[LW6]*$H$49+Tablo314[[#This Row],[LW7]]/Tablo27[LW7]*$I$49+Tablo314[[#This Row],[LW8]]/Tablo27[LW8]*$J$49+Tablo314[[#This Row],[LW9]]/Tablo27[LW9]*$K$49+Tablo314[[#This Row],[LW10]]/Tablo27[LW10]*$L$49+Tablo314[[#This Row],[LW11]]/Tablo27[LW11]*$M$49+Tablo314[[#This Row],[LW12]]/Tablo27[LW12]*$N$49+Tablo314[[#This Row],[LW13]]/Tablo27[LW13]*$O$49+Tablo314[[#This Row],[LW14]]/Tablo27[LW14]*$P$49</f>
        <v>0</v>
      </c>
      <c r="AE13" s="8">
        <f>SUM(Tablo314[[#This Row],[DÇ1]],Tablo314[[#This Row],[DÇ2]],Tablo314[[#This Row],[DÇ3]],Tablo314[[#This Row],[DÇ4]])</f>
        <v>102</v>
      </c>
      <c r="AF13" s="9" cm="1">
        <f t="array" ref="AF13">_xlfn.NORM.DIST(Tablo314[[#This Row],[TOTAL]],Tablo29[Mean],Tablo29[Variance],FALSE)</f>
        <v>3.8994708706283757E-3</v>
      </c>
    </row>
    <row r="14" spans="2:32" ht="15.6" thickTop="1" thickBot="1" x14ac:dyDescent="0.35">
      <c r="B14" s="93">
        <v>10</v>
      </c>
      <c r="C14" s="14">
        <v>26</v>
      </c>
      <c r="D14" s="61" t="s">
        <v>110</v>
      </c>
      <c r="E14" s="61" t="s">
        <v>111</v>
      </c>
      <c r="F14" s="5">
        <v>5</v>
      </c>
      <c r="G14" s="5">
        <v>5</v>
      </c>
      <c r="H14" s="5">
        <v>9</v>
      </c>
      <c r="I14" s="5">
        <v>5</v>
      </c>
      <c r="J14" s="5">
        <v>1</v>
      </c>
      <c r="K14" s="5">
        <v>3</v>
      </c>
      <c r="L14" s="5">
        <v>5</v>
      </c>
      <c r="M14" s="5">
        <v>5</v>
      </c>
      <c r="N14" s="5">
        <v>5</v>
      </c>
      <c r="O14" s="5">
        <v>2</v>
      </c>
      <c r="P14" s="5">
        <v>1</v>
      </c>
      <c r="Q14" s="5">
        <v>3</v>
      </c>
      <c r="R14" s="5">
        <v>3</v>
      </c>
      <c r="S14" s="5">
        <v>7</v>
      </c>
      <c r="T14" s="8">
        <f>SUM(Tablo314[[#This Row],[LW1]:[LW14]])</f>
        <v>59</v>
      </c>
      <c r="U14" s="8" cm="1">
        <f t="array" ref="U14">F14/Tablo27[LW1]*$C$40+Tablo314[[#This Row],[LW2]]/Tablo27[LW2]*$D$40+Tablo314[[#This Row],[LW3]]/Tablo27[LW3]*$E$40+Tablo314[[#This Row],[LW4]]/Tablo27[LW4]*$F$40+Tablo314[[#This Row],[LW5]]/Tablo27[LW5]*$G$40+Tablo314[[#This Row],[LW6]]/Tablo27[LW6]*$H$40+Tablo314[[#This Row],[LW7]]/Tablo27[LW7]*$I$40+Tablo314[[#This Row],[LW8]]/Tablo27[LW8]*$J$40+Tablo314[[#This Row],[LW9]]/Tablo27[LW9]*$K$40+Tablo314[[#This Row],[LW10]]/Tablo27[LW10]*$L$40+Tablo314[[#This Row],[LW11]]/Tablo27[LW11]*$M$40+Tablo314[[#This Row],[LW12]]/Tablo27[LW12]*$N$40+Tablo314[[#This Row],[LW13]]/Tablo27[LW13]*$O$40+Tablo314[[#This Row],[LW14]]/Tablo27[LW14]*$P$40</f>
        <v>21</v>
      </c>
      <c r="V14" s="8" cm="1">
        <f t="array" ref="V14">F14/Tablo27[LW1]*$C$41+Tablo314[[#This Row],[LW2]]/Tablo27[LW2]*$D$41+Tablo314[[#This Row],[LW3]]/Tablo27[LW3]*$E$41+Tablo314[[#This Row],[LW4]]/Tablo27[LW4]*$F$41+Tablo314[[#This Row],[LW5]]/Tablo27[LW5]*$G$41+Tablo314[[#This Row],[LW6]]/Tablo27[LW6]*$H$41+Tablo314[[#This Row],[LW7]]/Tablo27[LW7]*$I$41+Tablo314[[#This Row],[LW8]]/Tablo27[LW8]*$J$41+Tablo314[[#This Row],[LW9]]/Tablo27[LW9]*$K$41+Tablo314[[#This Row],[LW10]]/Tablo27[LW10]*$L$41+Tablo314[[#This Row],[LW11]]/Tablo27[LW11]*$M$41+Tablo314[[#This Row],[LW12]]/Tablo27[LW12]*$N$41+Tablo314[[#This Row],[LW13]]/Tablo27[LW13]*$O$41+Tablo314[[#This Row],[LW14]]/Tablo27[LW14]*$P$41</f>
        <v>28</v>
      </c>
      <c r="W14" s="8" cm="1">
        <f t="array" ref="W14">F14/Tablo27[LW1]*$C$42+Tablo314[[#This Row],[LW2]]/Tablo27[LW2]*$D$42+Tablo314[[#This Row],[LW3]]/Tablo27[LW3]*$E$42+Tablo314[[#This Row],[LW4]]/Tablo27[LW4]*$F$42+Tablo314[[#This Row],[LW5]]/Tablo27[LW5]*$G$42+Tablo314[[#This Row],[LW6]]/Tablo27[LW6]*$H$42+Tablo314[[#This Row],[LW7]]/Tablo27[LW7]*$I$42+Tablo314[[#This Row],[LW8]]/Tablo27[LW8]*$J$42+Tablo314[[#This Row],[LW9]]/Tablo27[LW9]*$K$42+Tablo314[[#This Row],[LW10]]/Tablo27[LW10]*$L$42+Tablo314[[#This Row],[LW11]]/Tablo27[LW11]*$M$42+Tablo314[[#This Row],[LW12]]/Tablo27[LW12]*$N$42+Tablo314[[#This Row],[LW13]]/Tablo27[LW13]*$O$42+Tablo314[[#This Row],[LW14]]/Tablo27[LW14]*$P$42</f>
        <v>27</v>
      </c>
      <c r="X14" s="8" cm="1">
        <f t="array" ref="X14">F14/Tablo27[LW1]*$C$43+Tablo314[[#This Row],[LW2]]/Tablo27[LW2]*$D$43+Tablo314[[#This Row],[LW3]]/Tablo27[LW3]*$E$43+Tablo314[[#This Row],[LW4]]/Tablo27[LW4]*$F$43+Tablo314[[#This Row],[LW5]]/Tablo27[LW5]*$G$43+Tablo314[[#This Row],[LW6]]/Tablo27[LW6]*$H$43+Tablo314[[#This Row],[LW7]]/Tablo27[LW7]*$I$43+Tablo314[[#This Row],[LW8]]/Tablo27[LW8]*$J$43+Tablo314[[#This Row],[LW9]]/Tablo27[LW9]*$K$43+Tablo314[[#This Row],[LW10]]/Tablo27[LW10]*$L$43+Tablo314[[#This Row],[LW11]]/Tablo27[LW11]*$M$43+Tablo314[[#This Row],[LW12]]/Tablo27[LW12]*$N$43+Tablo314[[#This Row],[LW13]]/Tablo27[LW13]*$O$43+Tablo314[[#This Row],[LW14]]/Tablo27[LW14]*$P$43</f>
        <v>30.5</v>
      </c>
      <c r="Y14" s="92" cm="1">
        <f t="array" ref="Y14">F14/Tablo27[LW1]*$C$44+Tablo314[[#This Row],[LW2]]/Tablo27[LW2]*$D$44+Tablo314[[#This Row],[LW3]]/Tablo27[LW3]*$E$44+Tablo314[[#This Row],[LW4]]/Tablo27[LW4]*$F$44+Tablo314[[#This Row],[LW5]]/Tablo27[LW5]*$G$44+Tablo314[[#This Row],[LW6]]/Tablo27[LW6]*$H$44+Tablo314[[#This Row],[LW7]]/Tablo27[LW7]*$I$44+Tablo314[[#This Row],[LW8]]/Tablo27[LW8]*$J$44+Tablo314[[#This Row],[LW9]]/Tablo27[LW9]*$K$44+Tablo314[[#This Row],[LW10]]/Tablo27[LW10]*$L$44+Tablo314[[#This Row],[LW11]]/Tablo27[LW11]*$M$44+Tablo314[[#This Row],[LW12]]/Tablo27[LW12]*$N$44+Tablo314[[#This Row],[LW13]]/Tablo27[LW13]*$O$44+Tablo314[[#This Row],[LW14]]/Tablo27[LW14]*$P$44</f>
        <v>0</v>
      </c>
      <c r="Z14" s="92" cm="1">
        <f t="array" ref="Z14">F14/Tablo27[LW1]*$C$45+Tablo314[[#This Row],[LW2]]/Tablo27[LW2]*$D$45+Tablo314[[#This Row],[LW3]]/Tablo27[LW3]*$E$45+Tablo314[[#This Row],[LW4]]/Tablo27[LW4]*$F$45+Tablo314[[#This Row],[LW5]]/Tablo27[LW5]*$G$45+Tablo314[[#This Row],[LW6]]/Tablo27[LW6]*$H$45+Tablo314[[#This Row],[LW7]]/Tablo27[LW7]*$I$45+Tablo314[[#This Row],[LW8]]/Tablo27[LW8]*$J$45+Tablo314[[#This Row],[LW9]]/Tablo27[LW9]*$K$45+Tablo314[[#This Row],[LW10]]/Tablo27[LW10]*$L$45+Tablo314[[#This Row],[LW11]]/Tablo27[LW11]*$M$45+Tablo314[[#This Row],[LW12]]/Tablo27[LW12]*$N$45+Tablo314[[#This Row],[LW13]]/Tablo27[LW13]*$O$45+Tablo314[[#This Row],[LW14]]/Tablo27[LW14]*$P$45</f>
        <v>0</v>
      </c>
      <c r="AA14" s="92" cm="1">
        <f t="array" ref="AA14">F14/Tablo27[LW1]*$C$46+Tablo314[[#This Row],[LW2]]/Tablo27[LW2]*$D$46+Tablo314[[#This Row],[LW3]]/Tablo27[LW3]*$E$46+Tablo314[[#This Row],[LW4]]/Tablo27[LW4]*$F$46+Tablo314[[#This Row],[LW5]]/Tablo27[LW5]*$G$46+Tablo314[[#This Row],[LW6]]/Tablo27[LW6]*$H$46+Tablo314[[#This Row],[LW7]]/Tablo27[LW7]*$I$46+Tablo314[[#This Row],[LW8]]/Tablo27[LW8]*$J$46+Tablo314[[#This Row],[LW9]]/Tablo27[LW9]*$K$46+Tablo314[[#This Row],[LW10]]/Tablo27[LW10]*$L$46+Tablo314[[#This Row],[LW11]]/Tablo27[LW11]*$M$46+Tablo314[[#This Row],[LW12]]/Tablo27[LW12]*$N$46+Tablo314[[#This Row],[LW13]]/Tablo27[LW13]*$O$46+Tablo314[[#This Row],[LW14]]/Tablo27[LW14]*$P$46</f>
        <v>0</v>
      </c>
      <c r="AB14" s="92" cm="1">
        <f t="array" ref="AB14">F14/Tablo27[LW1]*$C$47+Tablo314[[#This Row],[LW2]]/Tablo27[LW2]*$D$47+Tablo314[[#This Row],[LW3]]/Tablo27[LW3]*$E$47+Tablo314[[#This Row],[LW4]]/Tablo27[LW4]*$F$47+Tablo314[[#This Row],[LW5]]/Tablo27[LW5]*$G$47+Tablo314[[#This Row],[LW6]]/Tablo27[LW6]*$H$47+Tablo314[[#This Row],[LW7]]/Tablo27[LW7]*$I$47+Tablo314[[#This Row],[LW8]]/Tablo27[LW8]*$J$47+Tablo314[[#This Row],[LW9]]/Tablo27[LW9]*$K$47+Tablo314[[#This Row],[LW10]]/Tablo27[LW10]*$L$47+Tablo314[[#This Row],[LW11]]/Tablo27[LW11]*$M$47+Tablo314[[#This Row],[LW12]]/Tablo27[LW12]*$N$47+Tablo314[[#This Row],[LW13]]/Tablo27[LW13]*$O$47+Tablo314[[#This Row],[LW14]]/Tablo27[LW14]*$P$47</f>
        <v>0</v>
      </c>
      <c r="AC14" s="92" cm="1">
        <f t="array" ref="AC14">F14/Tablo27[LW1]*$C$48+Tablo314[[#This Row],[LW2]]/Tablo27[LW2]*$D$48+Tablo314[[#This Row],[LW3]]/Tablo27[LW3]*$E$48+Tablo314[[#This Row],[LW4]]/Tablo27[LW4]*$F$48+Tablo314[[#This Row],[LW5]]/Tablo27[LW5]*$G$48+Tablo314[[#This Row],[LW6]]/Tablo27[LW6]*$H$48+Tablo314[[#This Row],[LW7]]/Tablo27[LW7]*$I$48+Tablo314[[#This Row],[LW8]]/Tablo27[LW8]*$J$48+Tablo314[[#This Row],[LW9]]/Tablo27[LW9]*$K$48+Tablo314[[#This Row],[LW10]]/Tablo27[LW10]*$L$48+Tablo314[[#This Row],[LW11]]/Tablo27[LW11]*$M$48+Tablo314[[#This Row],[LW12]]/Tablo27[LW12]*$N$48+Tablo314[[#This Row],[LW13]]/Tablo27[LW13]*$O$48+Tablo314[[#This Row],[LW14]]/Tablo27[LW14]*$P$48</f>
        <v>0</v>
      </c>
      <c r="AD14" s="92" cm="1">
        <f t="array" ref="AD14">F14/Tablo27[LW1]*$C$49+Tablo314[[#This Row],[LW2]]/Tablo27[LW2]*$D$49+Tablo314[[#This Row],[LW3]]/Tablo27[LW3]*$E$49+Tablo314[[#This Row],[LW4]]/Tablo27[LW4]*$F$49+Tablo314[[#This Row],[LW5]]/Tablo27[LW5]*$G$49+Tablo314[[#This Row],[LW6]]/Tablo27[LW6]*$H$49+Tablo314[[#This Row],[LW7]]/Tablo27[LW7]*$I$49+Tablo314[[#This Row],[LW8]]/Tablo27[LW8]*$J$49+Tablo314[[#This Row],[LW9]]/Tablo27[LW9]*$K$49+Tablo314[[#This Row],[LW10]]/Tablo27[LW10]*$L$49+Tablo314[[#This Row],[LW11]]/Tablo27[LW11]*$M$49+Tablo314[[#This Row],[LW12]]/Tablo27[LW12]*$N$49+Tablo314[[#This Row],[LW13]]/Tablo27[LW13]*$O$49+Tablo314[[#This Row],[LW14]]/Tablo27[LW14]*$P$49</f>
        <v>0</v>
      </c>
      <c r="AE14" s="8">
        <f>SUM(Tablo314[[#This Row],[DÇ1]],Tablo314[[#This Row],[DÇ2]],Tablo314[[#This Row],[DÇ3]],Tablo314[[#This Row],[DÇ4]])</f>
        <v>106.5</v>
      </c>
      <c r="AF14" s="9" cm="1">
        <f t="array" ref="AF14">_xlfn.NORM.DIST(Tablo314[[#This Row],[TOTAL]],Tablo29[Mean],Tablo29[Variance],FALSE)</f>
        <v>3.9045960123092736E-3</v>
      </c>
    </row>
    <row r="15" spans="2:32" ht="15.6" thickTop="1" thickBot="1" x14ac:dyDescent="0.35">
      <c r="B15" s="91">
        <v>11</v>
      </c>
      <c r="C15" s="14">
        <v>28</v>
      </c>
      <c r="D15" s="61" t="s">
        <v>110</v>
      </c>
      <c r="E15" s="61" t="s">
        <v>111</v>
      </c>
      <c r="F15" s="5">
        <v>5</v>
      </c>
      <c r="G15" s="5">
        <v>5</v>
      </c>
      <c r="H15" s="5">
        <v>4</v>
      </c>
      <c r="I15" s="5">
        <v>2</v>
      </c>
      <c r="J15" s="5">
        <v>5</v>
      </c>
      <c r="K15" s="5">
        <v>9</v>
      </c>
      <c r="L15" s="5">
        <v>5</v>
      </c>
      <c r="M15" s="5">
        <v>3</v>
      </c>
      <c r="N15" s="5">
        <v>5</v>
      </c>
      <c r="O15" s="5">
        <v>2</v>
      </c>
      <c r="P15" s="5">
        <v>7</v>
      </c>
      <c r="Q15" s="5">
        <v>0</v>
      </c>
      <c r="R15" s="5">
        <v>1</v>
      </c>
      <c r="S15" s="5">
        <v>5</v>
      </c>
      <c r="T15" s="8">
        <f>SUM(Tablo314[[#This Row],[LW1]:[LW14]])</f>
        <v>58</v>
      </c>
      <c r="U15" s="8" cm="1">
        <f t="array" ref="U15">F15/Tablo27[LW1]*$C$40+Tablo314[[#This Row],[LW2]]/Tablo27[LW2]*$D$40+Tablo314[[#This Row],[LW3]]/Tablo27[LW3]*$E$40+Tablo314[[#This Row],[LW4]]/Tablo27[LW4]*$F$40+Tablo314[[#This Row],[LW5]]/Tablo27[LW5]*$G$40+Tablo314[[#This Row],[LW6]]/Tablo27[LW6]*$H$40+Tablo314[[#This Row],[LW7]]/Tablo27[LW7]*$I$40+Tablo314[[#This Row],[LW8]]/Tablo27[LW8]*$J$40+Tablo314[[#This Row],[LW9]]/Tablo27[LW9]*$K$40+Tablo314[[#This Row],[LW10]]/Tablo27[LW10]*$L$40+Tablo314[[#This Row],[LW11]]/Tablo27[LW11]*$M$40+Tablo314[[#This Row],[LW12]]/Tablo27[LW12]*$N$40+Tablo314[[#This Row],[LW13]]/Tablo27[LW13]*$O$40+Tablo314[[#This Row],[LW14]]/Tablo27[LW14]*$P$40</f>
        <v>20</v>
      </c>
      <c r="V15" s="8" cm="1">
        <f t="array" ref="V15">F15/Tablo27[LW1]*$C$41+Tablo314[[#This Row],[LW2]]/Tablo27[LW2]*$D$41+Tablo314[[#This Row],[LW3]]/Tablo27[LW3]*$E$41+Tablo314[[#This Row],[LW4]]/Tablo27[LW4]*$F$41+Tablo314[[#This Row],[LW5]]/Tablo27[LW5]*$G$41+Tablo314[[#This Row],[LW6]]/Tablo27[LW6]*$H$41+Tablo314[[#This Row],[LW7]]/Tablo27[LW7]*$I$41+Tablo314[[#This Row],[LW8]]/Tablo27[LW8]*$J$41+Tablo314[[#This Row],[LW9]]/Tablo27[LW9]*$K$41+Tablo314[[#This Row],[LW10]]/Tablo27[LW10]*$L$41+Tablo314[[#This Row],[LW11]]/Tablo27[LW11]*$M$41+Tablo314[[#This Row],[LW12]]/Tablo27[LW12]*$N$41+Tablo314[[#This Row],[LW13]]/Tablo27[LW13]*$O$41+Tablo314[[#This Row],[LW14]]/Tablo27[LW14]*$P$41</f>
        <v>33</v>
      </c>
      <c r="W15" s="8" cm="1">
        <f t="array" ref="W15">F15/Tablo27[LW1]*$C$42+Tablo314[[#This Row],[LW2]]/Tablo27[LW2]*$D$42+Tablo314[[#This Row],[LW3]]/Tablo27[LW3]*$E$42+Tablo314[[#This Row],[LW4]]/Tablo27[LW4]*$F$42+Tablo314[[#This Row],[LW5]]/Tablo27[LW5]*$G$42+Tablo314[[#This Row],[LW6]]/Tablo27[LW6]*$H$42+Tablo314[[#This Row],[LW7]]/Tablo27[LW7]*$I$42+Tablo314[[#This Row],[LW8]]/Tablo27[LW8]*$J$42+Tablo314[[#This Row],[LW9]]/Tablo27[LW9]*$K$42+Tablo314[[#This Row],[LW10]]/Tablo27[LW10]*$L$42+Tablo314[[#This Row],[LW11]]/Tablo27[LW11]*$M$42+Tablo314[[#This Row],[LW12]]/Tablo27[LW12]*$N$42+Tablo314[[#This Row],[LW13]]/Tablo27[LW13]*$O$42+Tablo314[[#This Row],[LW14]]/Tablo27[LW14]*$P$42</f>
        <v>30.5</v>
      </c>
      <c r="X15" s="8" cm="1">
        <f t="array" ref="X15">F15/Tablo27[LW1]*$C$43+Tablo314[[#This Row],[LW2]]/Tablo27[LW2]*$D$43+Tablo314[[#This Row],[LW3]]/Tablo27[LW3]*$E$43+Tablo314[[#This Row],[LW4]]/Tablo27[LW4]*$F$43+Tablo314[[#This Row],[LW5]]/Tablo27[LW5]*$G$43+Tablo314[[#This Row],[LW6]]/Tablo27[LW6]*$H$43+Tablo314[[#This Row],[LW7]]/Tablo27[LW7]*$I$43+Tablo314[[#This Row],[LW8]]/Tablo27[LW8]*$J$43+Tablo314[[#This Row],[LW9]]/Tablo27[LW9]*$K$43+Tablo314[[#This Row],[LW10]]/Tablo27[LW10]*$L$43+Tablo314[[#This Row],[LW11]]/Tablo27[LW11]*$M$43+Tablo314[[#This Row],[LW12]]/Tablo27[LW12]*$N$43+Tablo314[[#This Row],[LW13]]/Tablo27[LW13]*$O$43+Tablo314[[#This Row],[LW14]]/Tablo27[LW14]*$P$43</f>
        <v>32</v>
      </c>
      <c r="Y15" s="92" cm="1">
        <f t="array" ref="Y15">F15/Tablo27[LW1]*$C$44+Tablo314[[#This Row],[LW2]]/Tablo27[LW2]*$D$44+Tablo314[[#This Row],[LW3]]/Tablo27[LW3]*$E$44+Tablo314[[#This Row],[LW4]]/Tablo27[LW4]*$F$44+Tablo314[[#This Row],[LW5]]/Tablo27[LW5]*$G$44+Tablo314[[#This Row],[LW6]]/Tablo27[LW6]*$H$44+Tablo314[[#This Row],[LW7]]/Tablo27[LW7]*$I$44+Tablo314[[#This Row],[LW8]]/Tablo27[LW8]*$J$44+Tablo314[[#This Row],[LW9]]/Tablo27[LW9]*$K$44+Tablo314[[#This Row],[LW10]]/Tablo27[LW10]*$L$44+Tablo314[[#This Row],[LW11]]/Tablo27[LW11]*$M$44+Tablo314[[#This Row],[LW12]]/Tablo27[LW12]*$N$44+Tablo314[[#This Row],[LW13]]/Tablo27[LW13]*$O$44+Tablo314[[#This Row],[LW14]]/Tablo27[LW14]*$P$44</f>
        <v>0</v>
      </c>
      <c r="Z15" s="92" cm="1">
        <f t="array" ref="Z15">F15/Tablo27[LW1]*$C$45+Tablo314[[#This Row],[LW2]]/Tablo27[LW2]*$D$45+Tablo314[[#This Row],[LW3]]/Tablo27[LW3]*$E$45+Tablo314[[#This Row],[LW4]]/Tablo27[LW4]*$F$45+Tablo314[[#This Row],[LW5]]/Tablo27[LW5]*$G$45+Tablo314[[#This Row],[LW6]]/Tablo27[LW6]*$H$45+Tablo314[[#This Row],[LW7]]/Tablo27[LW7]*$I$45+Tablo314[[#This Row],[LW8]]/Tablo27[LW8]*$J$45+Tablo314[[#This Row],[LW9]]/Tablo27[LW9]*$K$45+Tablo314[[#This Row],[LW10]]/Tablo27[LW10]*$L$45+Tablo314[[#This Row],[LW11]]/Tablo27[LW11]*$M$45+Tablo314[[#This Row],[LW12]]/Tablo27[LW12]*$N$45+Tablo314[[#This Row],[LW13]]/Tablo27[LW13]*$O$45+Tablo314[[#This Row],[LW14]]/Tablo27[LW14]*$P$45</f>
        <v>0</v>
      </c>
      <c r="AA15" s="92" cm="1">
        <f t="array" ref="AA15">F15/Tablo27[LW1]*$C$46+Tablo314[[#This Row],[LW2]]/Tablo27[LW2]*$D$46+Tablo314[[#This Row],[LW3]]/Tablo27[LW3]*$E$46+Tablo314[[#This Row],[LW4]]/Tablo27[LW4]*$F$46+Tablo314[[#This Row],[LW5]]/Tablo27[LW5]*$G$46+Tablo314[[#This Row],[LW6]]/Tablo27[LW6]*$H$46+Tablo314[[#This Row],[LW7]]/Tablo27[LW7]*$I$46+Tablo314[[#This Row],[LW8]]/Tablo27[LW8]*$J$46+Tablo314[[#This Row],[LW9]]/Tablo27[LW9]*$K$46+Tablo314[[#This Row],[LW10]]/Tablo27[LW10]*$L$46+Tablo314[[#This Row],[LW11]]/Tablo27[LW11]*$M$46+Tablo314[[#This Row],[LW12]]/Tablo27[LW12]*$N$46+Tablo314[[#This Row],[LW13]]/Tablo27[LW13]*$O$46+Tablo314[[#This Row],[LW14]]/Tablo27[LW14]*$P$46</f>
        <v>0</v>
      </c>
      <c r="AB15" s="92" cm="1">
        <f t="array" ref="AB15">F15/Tablo27[LW1]*$C$47+Tablo314[[#This Row],[LW2]]/Tablo27[LW2]*$D$47+Tablo314[[#This Row],[LW3]]/Tablo27[LW3]*$E$47+Tablo314[[#This Row],[LW4]]/Tablo27[LW4]*$F$47+Tablo314[[#This Row],[LW5]]/Tablo27[LW5]*$G$47+Tablo314[[#This Row],[LW6]]/Tablo27[LW6]*$H$47+Tablo314[[#This Row],[LW7]]/Tablo27[LW7]*$I$47+Tablo314[[#This Row],[LW8]]/Tablo27[LW8]*$J$47+Tablo314[[#This Row],[LW9]]/Tablo27[LW9]*$K$47+Tablo314[[#This Row],[LW10]]/Tablo27[LW10]*$L$47+Tablo314[[#This Row],[LW11]]/Tablo27[LW11]*$M$47+Tablo314[[#This Row],[LW12]]/Tablo27[LW12]*$N$47+Tablo314[[#This Row],[LW13]]/Tablo27[LW13]*$O$47+Tablo314[[#This Row],[LW14]]/Tablo27[LW14]*$P$47</f>
        <v>0</v>
      </c>
      <c r="AC15" s="92" cm="1">
        <f t="array" ref="AC15">F15/Tablo27[LW1]*$C$48+Tablo314[[#This Row],[LW2]]/Tablo27[LW2]*$D$48+Tablo314[[#This Row],[LW3]]/Tablo27[LW3]*$E$48+Tablo314[[#This Row],[LW4]]/Tablo27[LW4]*$F$48+Tablo314[[#This Row],[LW5]]/Tablo27[LW5]*$G$48+Tablo314[[#This Row],[LW6]]/Tablo27[LW6]*$H$48+Tablo314[[#This Row],[LW7]]/Tablo27[LW7]*$I$48+Tablo314[[#This Row],[LW8]]/Tablo27[LW8]*$J$48+Tablo314[[#This Row],[LW9]]/Tablo27[LW9]*$K$48+Tablo314[[#This Row],[LW10]]/Tablo27[LW10]*$L$48+Tablo314[[#This Row],[LW11]]/Tablo27[LW11]*$M$48+Tablo314[[#This Row],[LW12]]/Tablo27[LW12]*$N$48+Tablo314[[#This Row],[LW13]]/Tablo27[LW13]*$O$48+Tablo314[[#This Row],[LW14]]/Tablo27[LW14]*$P$48</f>
        <v>0</v>
      </c>
      <c r="AD15" s="92" cm="1">
        <f t="array" ref="AD15">F15/Tablo27[LW1]*$C$49+Tablo314[[#This Row],[LW2]]/Tablo27[LW2]*$D$49+Tablo314[[#This Row],[LW3]]/Tablo27[LW3]*$E$49+Tablo314[[#This Row],[LW4]]/Tablo27[LW4]*$F$49+Tablo314[[#This Row],[LW5]]/Tablo27[LW5]*$G$49+Tablo314[[#This Row],[LW6]]/Tablo27[LW6]*$H$49+Tablo314[[#This Row],[LW7]]/Tablo27[LW7]*$I$49+Tablo314[[#This Row],[LW8]]/Tablo27[LW8]*$J$49+Tablo314[[#This Row],[LW9]]/Tablo27[LW9]*$K$49+Tablo314[[#This Row],[LW10]]/Tablo27[LW10]*$L$49+Tablo314[[#This Row],[LW11]]/Tablo27[LW11]*$M$49+Tablo314[[#This Row],[LW12]]/Tablo27[LW12]*$N$49+Tablo314[[#This Row],[LW13]]/Tablo27[LW13]*$O$49+Tablo314[[#This Row],[LW14]]/Tablo27[LW14]*$P$49</f>
        <v>0</v>
      </c>
      <c r="AE15" s="8">
        <f>SUM(Tablo314[[#This Row],[DÇ1]],Tablo314[[#This Row],[DÇ2]],Tablo314[[#This Row],[DÇ3]],Tablo314[[#This Row],[DÇ4]])</f>
        <v>115.5</v>
      </c>
      <c r="AF15" s="9" cm="1">
        <f t="array" ref="AF15">_xlfn.NORM.DIST(Tablo314[[#This Row],[TOTAL]],Tablo29[Mean],Tablo29[Variance],FALSE)</f>
        <v>3.9065978943835077E-3</v>
      </c>
    </row>
    <row r="16" spans="2:32" ht="15.6" thickTop="1" thickBot="1" x14ac:dyDescent="0.35">
      <c r="B16" s="93">
        <v>12</v>
      </c>
      <c r="C16" s="14">
        <v>24</v>
      </c>
      <c r="D16" s="61" t="s">
        <v>110</v>
      </c>
      <c r="E16" s="61" t="s">
        <v>111</v>
      </c>
      <c r="F16" s="5">
        <v>5</v>
      </c>
      <c r="G16" s="5">
        <v>5</v>
      </c>
      <c r="H16" s="5">
        <v>5</v>
      </c>
      <c r="I16" s="5">
        <v>0</v>
      </c>
      <c r="J16" s="5">
        <v>5</v>
      </c>
      <c r="K16" s="5">
        <v>0</v>
      </c>
      <c r="L16" s="5">
        <v>2</v>
      </c>
      <c r="M16" s="5">
        <v>3</v>
      </c>
      <c r="N16" s="5">
        <v>4</v>
      </c>
      <c r="O16" s="5">
        <v>6</v>
      </c>
      <c r="P16" s="5">
        <v>4</v>
      </c>
      <c r="Q16" s="5">
        <v>6</v>
      </c>
      <c r="R16" s="5">
        <v>9</v>
      </c>
      <c r="S16" s="5">
        <v>3</v>
      </c>
      <c r="T16" s="8">
        <f>SUM(Tablo314[[#This Row],[LW1]:[LW14]])</f>
        <v>57</v>
      </c>
      <c r="U16" s="8" cm="1">
        <f t="array" ref="U16">F16/Tablo27[LW1]*$C$40+Tablo314[[#This Row],[LW2]]/Tablo27[LW2]*$D$40+Tablo314[[#This Row],[LW3]]/Tablo27[LW3]*$E$40+Tablo314[[#This Row],[LW4]]/Tablo27[LW4]*$F$40+Tablo314[[#This Row],[LW5]]/Tablo27[LW5]*$G$40+Tablo314[[#This Row],[LW6]]/Tablo27[LW6]*$H$40+Tablo314[[#This Row],[LW7]]/Tablo27[LW7]*$I$40+Tablo314[[#This Row],[LW8]]/Tablo27[LW8]*$J$40+Tablo314[[#This Row],[LW9]]/Tablo27[LW9]*$K$40+Tablo314[[#This Row],[LW10]]/Tablo27[LW10]*$L$40+Tablo314[[#This Row],[LW11]]/Tablo27[LW11]*$M$40+Tablo314[[#This Row],[LW12]]/Tablo27[LW12]*$N$40+Tablo314[[#This Row],[LW13]]/Tablo27[LW13]*$O$40+Tablo314[[#This Row],[LW14]]/Tablo27[LW14]*$P$40</f>
        <v>15</v>
      </c>
      <c r="V16" s="8" cm="1">
        <f t="array" ref="V16">F16/Tablo27[LW1]*$C$41+Tablo314[[#This Row],[LW2]]/Tablo27[LW2]*$D$41+Tablo314[[#This Row],[LW3]]/Tablo27[LW3]*$E$41+Tablo314[[#This Row],[LW4]]/Tablo27[LW4]*$F$41+Tablo314[[#This Row],[LW5]]/Tablo27[LW5]*$G$41+Tablo314[[#This Row],[LW6]]/Tablo27[LW6]*$H$41+Tablo314[[#This Row],[LW7]]/Tablo27[LW7]*$I$41+Tablo314[[#This Row],[LW8]]/Tablo27[LW8]*$J$41+Tablo314[[#This Row],[LW9]]/Tablo27[LW9]*$K$41+Tablo314[[#This Row],[LW10]]/Tablo27[LW10]*$L$41+Tablo314[[#This Row],[LW11]]/Tablo27[LW11]*$M$41+Tablo314[[#This Row],[LW12]]/Tablo27[LW12]*$N$41+Tablo314[[#This Row],[LW13]]/Tablo27[LW13]*$O$41+Tablo314[[#This Row],[LW14]]/Tablo27[LW14]*$P$41</f>
        <v>26</v>
      </c>
      <c r="W16" s="8" cm="1">
        <f t="array" ref="W16">F16/Tablo27[LW1]*$C$42+Tablo314[[#This Row],[LW2]]/Tablo27[LW2]*$D$42+Tablo314[[#This Row],[LW3]]/Tablo27[LW3]*$E$42+Tablo314[[#This Row],[LW4]]/Tablo27[LW4]*$F$42+Tablo314[[#This Row],[LW5]]/Tablo27[LW5]*$G$42+Tablo314[[#This Row],[LW6]]/Tablo27[LW6]*$H$42+Tablo314[[#This Row],[LW7]]/Tablo27[LW7]*$I$42+Tablo314[[#This Row],[LW8]]/Tablo27[LW8]*$J$42+Tablo314[[#This Row],[LW9]]/Tablo27[LW9]*$K$42+Tablo314[[#This Row],[LW10]]/Tablo27[LW10]*$L$42+Tablo314[[#This Row],[LW11]]/Tablo27[LW11]*$M$42+Tablo314[[#This Row],[LW12]]/Tablo27[LW12]*$N$42+Tablo314[[#This Row],[LW13]]/Tablo27[LW13]*$O$42+Tablo314[[#This Row],[LW14]]/Tablo27[LW14]*$P$42</f>
        <v>32.5</v>
      </c>
      <c r="X16" s="8" cm="1">
        <f t="array" ref="X16">F16/Tablo27[LW1]*$C$43+Tablo314[[#This Row],[LW2]]/Tablo27[LW2]*$D$43+Tablo314[[#This Row],[LW3]]/Tablo27[LW3]*$E$43+Tablo314[[#This Row],[LW4]]/Tablo27[LW4]*$F$43+Tablo314[[#This Row],[LW5]]/Tablo27[LW5]*$G$43+Tablo314[[#This Row],[LW6]]/Tablo27[LW6]*$H$43+Tablo314[[#This Row],[LW7]]/Tablo27[LW7]*$I$43+Tablo314[[#This Row],[LW8]]/Tablo27[LW8]*$J$43+Tablo314[[#This Row],[LW9]]/Tablo27[LW9]*$K$43+Tablo314[[#This Row],[LW10]]/Tablo27[LW10]*$L$43+Tablo314[[#This Row],[LW11]]/Tablo27[LW11]*$M$43+Tablo314[[#This Row],[LW12]]/Tablo27[LW12]*$N$43+Tablo314[[#This Row],[LW13]]/Tablo27[LW13]*$O$43+Tablo314[[#This Row],[LW14]]/Tablo27[LW14]*$P$43</f>
        <v>28</v>
      </c>
      <c r="Y16" s="92" cm="1">
        <f t="array" ref="Y16">F16/Tablo27[LW1]*$C$44+Tablo314[[#This Row],[LW2]]/Tablo27[LW2]*$D$44+Tablo314[[#This Row],[LW3]]/Tablo27[LW3]*$E$44+Tablo314[[#This Row],[LW4]]/Tablo27[LW4]*$F$44+Tablo314[[#This Row],[LW5]]/Tablo27[LW5]*$G$44+Tablo314[[#This Row],[LW6]]/Tablo27[LW6]*$H$44+Tablo314[[#This Row],[LW7]]/Tablo27[LW7]*$I$44+Tablo314[[#This Row],[LW8]]/Tablo27[LW8]*$J$44+Tablo314[[#This Row],[LW9]]/Tablo27[LW9]*$K$44+Tablo314[[#This Row],[LW10]]/Tablo27[LW10]*$L$44+Tablo314[[#This Row],[LW11]]/Tablo27[LW11]*$M$44+Tablo314[[#This Row],[LW12]]/Tablo27[LW12]*$N$44+Tablo314[[#This Row],[LW13]]/Tablo27[LW13]*$O$44+Tablo314[[#This Row],[LW14]]/Tablo27[LW14]*$P$44</f>
        <v>0</v>
      </c>
      <c r="Z16" s="92" cm="1">
        <f t="array" ref="Z16">F16/Tablo27[LW1]*$C$45+Tablo314[[#This Row],[LW2]]/Tablo27[LW2]*$D$45+Tablo314[[#This Row],[LW3]]/Tablo27[LW3]*$E$45+Tablo314[[#This Row],[LW4]]/Tablo27[LW4]*$F$45+Tablo314[[#This Row],[LW5]]/Tablo27[LW5]*$G$45+Tablo314[[#This Row],[LW6]]/Tablo27[LW6]*$H$45+Tablo314[[#This Row],[LW7]]/Tablo27[LW7]*$I$45+Tablo314[[#This Row],[LW8]]/Tablo27[LW8]*$J$45+Tablo314[[#This Row],[LW9]]/Tablo27[LW9]*$K$45+Tablo314[[#This Row],[LW10]]/Tablo27[LW10]*$L$45+Tablo314[[#This Row],[LW11]]/Tablo27[LW11]*$M$45+Tablo314[[#This Row],[LW12]]/Tablo27[LW12]*$N$45+Tablo314[[#This Row],[LW13]]/Tablo27[LW13]*$O$45+Tablo314[[#This Row],[LW14]]/Tablo27[LW14]*$P$45</f>
        <v>0</v>
      </c>
      <c r="AA16" s="92" cm="1">
        <f t="array" ref="AA16">F16/Tablo27[LW1]*$C$46+Tablo314[[#This Row],[LW2]]/Tablo27[LW2]*$D$46+Tablo314[[#This Row],[LW3]]/Tablo27[LW3]*$E$46+Tablo314[[#This Row],[LW4]]/Tablo27[LW4]*$F$46+Tablo314[[#This Row],[LW5]]/Tablo27[LW5]*$G$46+Tablo314[[#This Row],[LW6]]/Tablo27[LW6]*$H$46+Tablo314[[#This Row],[LW7]]/Tablo27[LW7]*$I$46+Tablo314[[#This Row],[LW8]]/Tablo27[LW8]*$J$46+Tablo314[[#This Row],[LW9]]/Tablo27[LW9]*$K$46+Tablo314[[#This Row],[LW10]]/Tablo27[LW10]*$L$46+Tablo314[[#This Row],[LW11]]/Tablo27[LW11]*$M$46+Tablo314[[#This Row],[LW12]]/Tablo27[LW12]*$N$46+Tablo314[[#This Row],[LW13]]/Tablo27[LW13]*$O$46+Tablo314[[#This Row],[LW14]]/Tablo27[LW14]*$P$46</f>
        <v>0</v>
      </c>
      <c r="AB16" s="92" cm="1">
        <f t="array" ref="AB16">F16/Tablo27[LW1]*$C$47+Tablo314[[#This Row],[LW2]]/Tablo27[LW2]*$D$47+Tablo314[[#This Row],[LW3]]/Tablo27[LW3]*$E$47+Tablo314[[#This Row],[LW4]]/Tablo27[LW4]*$F$47+Tablo314[[#This Row],[LW5]]/Tablo27[LW5]*$G$47+Tablo314[[#This Row],[LW6]]/Tablo27[LW6]*$H$47+Tablo314[[#This Row],[LW7]]/Tablo27[LW7]*$I$47+Tablo314[[#This Row],[LW8]]/Tablo27[LW8]*$J$47+Tablo314[[#This Row],[LW9]]/Tablo27[LW9]*$K$47+Tablo314[[#This Row],[LW10]]/Tablo27[LW10]*$L$47+Tablo314[[#This Row],[LW11]]/Tablo27[LW11]*$M$47+Tablo314[[#This Row],[LW12]]/Tablo27[LW12]*$N$47+Tablo314[[#This Row],[LW13]]/Tablo27[LW13]*$O$47+Tablo314[[#This Row],[LW14]]/Tablo27[LW14]*$P$47</f>
        <v>0</v>
      </c>
      <c r="AC16" s="92" cm="1">
        <f t="array" ref="AC16">F16/Tablo27[LW1]*$C$48+Tablo314[[#This Row],[LW2]]/Tablo27[LW2]*$D$48+Tablo314[[#This Row],[LW3]]/Tablo27[LW3]*$E$48+Tablo314[[#This Row],[LW4]]/Tablo27[LW4]*$F$48+Tablo314[[#This Row],[LW5]]/Tablo27[LW5]*$G$48+Tablo314[[#This Row],[LW6]]/Tablo27[LW6]*$H$48+Tablo314[[#This Row],[LW7]]/Tablo27[LW7]*$I$48+Tablo314[[#This Row],[LW8]]/Tablo27[LW8]*$J$48+Tablo314[[#This Row],[LW9]]/Tablo27[LW9]*$K$48+Tablo314[[#This Row],[LW10]]/Tablo27[LW10]*$L$48+Tablo314[[#This Row],[LW11]]/Tablo27[LW11]*$M$48+Tablo314[[#This Row],[LW12]]/Tablo27[LW12]*$N$48+Tablo314[[#This Row],[LW13]]/Tablo27[LW13]*$O$48+Tablo314[[#This Row],[LW14]]/Tablo27[LW14]*$P$48</f>
        <v>0</v>
      </c>
      <c r="AD16" s="92" cm="1">
        <f t="array" ref="AD16">F16/Tablo27[LW1]*$C$49+Tablo314[[#This Row],[LW2]]/Tablo27[LW2]*$D$49+Tablo314[[#This Row],[LW3]]/Tablo27[LW3]*$E$49+Tablo314[[#This Row],[LW4]]/Tablo27[LW4]*$F$49+Tablo314[[#This Row],[LW5]]/Tablo27[LW5]*$G$49+Tablo314[[#This Row],[LW6]]/Tablo27[LW6]*$H$49+Tablo314[[#This Row],[LW7]]/Tablo27[LW7]*$I$49+Tablo314[[#This Row],[LW8]]/Tablo27[LW8]*$J$49+Tablo314[[#This Row],[LW9]]/Tablo27[LW9]*$K$49+Tablo314[[#This Row],[LW10]]/Tablo27[LW10]*$L$49+Tablo314[[#This Row],[LW11]]/Tablo27[LW11]*$M$49+Tablo314[[#This Row],[LW12]]/Tablo27[LW12]*$N$49+Tablo314[[#This Row],[LW13]]/Tablo27[LW13]*$O$49+Tablo314[[#This Row],[LW14]]/Tablo27[LW14]*$P$49</f>
        <v>0</v>
      </c>
      <c r="AE16" s="8">
        <f>SUM(Tablo314[[#This Row],[DÇ1]],Tablo314[[#This Row],[DÇ2]],Tablo314[[#This Row],[DÇ3]],Tablo314[[#This Row],[DÇ4]])</f>
        <v>101.5</v>
      </c>
      <c r="AF16" s="9" cm="1">
        <f t="array" ref="AF16">_xlfn.NORM.DIST(Tablo314[[#This Row],[TOTAL]],Tablo29[Mean],Tablo29[Variance],FALSE)</f>
        <v>3.9082251792843577E-3</v>
      </c>
    </row>
    <row r="17" spans="2:32" ht="15.6" thickTop="1" thickBot="1" x14ac:dyDescent="0.35">
      <c r="B17" s="91">
        <v>13</v>
      </c>
      <c r="C17" s="14">
        <v>16</v>
      </c>
      <c r="D17" s="61" t="s">
        <v>110</v>
      </c>
      <c r="E17" s="61" t="s">
        <v>111</v>
      </c>
      <c r="F17" s="5">
        <v>3</v>
      </c>
      <c r="G17" s="5">
        <v>2</v>
      </c>
      <c r="H17" s="5">
        <v>0</v>
      </c>
      <c r="I17" s="5">
        <v>5</v>
      </c>
      <c r="J17" s="5">
        <v>5</v>
      </c>
      <c r="K17" s="5">
        <v>1</v>
      </c>
      <c r="L17" s="5">
        <v>2</v>
      </c>
      <c r="M17" s="5">
        <v>2</v>
      </c>
      <c r="N17" s="5">
        <v>2</v>
      </c>
      <c r="O17" s="5">
        <v>8</v>
      </c>
      <c r="P17" s="5">
        <v>2</v>
      </c>
      <c r="Q17" s="5">
        <v>8</v>
      </c>
      <c r="R17" s="5">
        <v>8</v>
      </c>
      <c r="S17" s="5">
        <v>8</v>
      </c>
      <c r="T17" s="8">
        <f>SUM(Tablo314[[#This Row],[LW1]:[LW14]])</f>
        <v>56</v>
      </c>
      <c r="U17" s="8" cm="1">
        <f t="array" ref="U17">F17/Tablo27[LW1]*$C$40+Tablo314[[#This Row],[LW2]]/Tablo27[LW2]*$D$40+Tablo314[[#This Row],[LW3]]/Tablo27[LW3]*$E$40+Tablo314[[#This Row],[LW4]]/Tablo27[LW4]*$F$40+Tablo314[[#This Row],[LW5]]/Tablo27[LW5]*$G$40+Tablo314[[#This Row],[LW6]]/Tablo27[LW6]*$H$40+Tablo314[[#This Row],[LW7]]/Tablo27[LW7]*$I$40+Tablo314[[#This Row],[LW8]]/Tablo27[LW8]*$J$40+Tablo314[[#This Row],[LW9]]/Tablo27[LW9]*$K$40+Tablo314[[#This Row],[LW10]]/Tablo27[LW10]*$L$40+Tablo314[[#This Row],[LW11]]/Tablo27[LW11]*$M$40+Tablo314[[#This Row],[LW12]]/Tablo27[LW12]*$N$40+Tablo314[[#This Row],[LW13]]/Tablo27[LW13]*$O$40+Tablo314[[#This Row],[LW14]]/Tablo27[LW14]*$P$40</f>
        <v>6.5</v>
      </c>
      <c r="V17" s="8" cm="1">
        <f t="array" ref="V17">F17/Tablo27[LW1]*$C$41+Tablo314[[#This Row],[LW2]]/Tablo27[LW2]*$D$41+Tablo314[[#This Row],[LW3]]/Tablo27[LW3]*$E$41+Tablo314[[#This Row],[LW4]]/Tablo27[LW4]*$F$41+Tablo314[[#This Row],[LW5]]/Tablo27[LW5]*$G$41+Tablo314[[#This Row],[LW6]]/Tablo27[LW6]*$H$41+Tablo314[[#This Row],[LW7]]/Tablo27[LW7]*$I$41+Tablo314[[#This Row],[LW8]]/Tablo27[LW8]*$J$41+Tablo314[[#This Row],[LW9]]/Tablo27[LW9]*$K$41+Tablo314[[#This Row],[LW10]]/Tablo27[LW10]*$L$41+Tablo314[[#This Row],[LW11]]/Tablo27[LW11]*$M$41+Tablo314[[#This Row],[LW12]]/Tablo27[LW12]*$N$41+Tablo314[[#This Row],[LW13]]/Tablo27[LW13]*$O$41+Tablo314[[#This Row],[LW14]]/Tablo27[LW14]*$P$41</f>
        <v>16.5</v>
      </c>
      <c r="W17" s="8" cm="1">
        <f t="array" ref="W17">F17/Tablo27[LW1]*$C$42+Tablo314[[#This Row],[LW2]]/Tablo27[LW2]*$D$42+Tablo314[[#This Row],[LW3]]/Tablo27[LW3]*$E$42+Tablo314[[#This Row],[LW4]]/Tablo27[LW4]*$F$42+Tablo314[[#This Row],[LW5]]/Tablo27[LW5]*$G$42+Tablo314[[#This Row],[LW6]]/Tablo27[LW6]*$H$42+Tablo314[[#This Row],[LW7]]/Tablo27[LW7]*$I$42+Tablo314[[#This Row],[LW8]]/Tablo27[LW8]*$J$42+Tablo314[[#This Row],[LW9]]/Tablo27[LW9]*$K$42+Tablo314[[#This Row],[LW10]]/Tablo27[LW10]*$L$42+Tablo314[[#This Row],[LW11]]/Tablo27[LW11]*$M$42+Tablo314[[#This Row],[LW12]]/Tablo27[LW12]*$N$42+Tablo314[[#This Row],[LW13]]/Tablo27[LW13]*$O$42+Tablo314[[#This Row],[LW14]]/Tablo27[LW14]*$P$42</f>
        <v>32.5</v>
      </c>
      <c r="X17" s="8" cm="1">
        <f t="array" ref="X17">F17/Tablo27[LW1]*$C$43+Tablo314[[#This Row],[LW2]]/Tablo27[LW2]*$D$43+Tablo314[[#This Row],[LW3]]/Tablo27[LW3]*$E$43+Tablo314[[#This Row],[LW4]]/Tablo27[LW4]*$F$43+Tablo314[[#This Row],[LW5]]/Tablo27[LW5]*$G$43+Tablo314[[#This Row],[LW6]]/Tablo27[LW6]*$H$43+Tablo314[[#This Row],[LW7]]/Tablo27[LW7]*$I$43+Tablo314[[#This Row],[LW8]]/Tablo27[LW8]*$J$43+Tablo314[[#This Row],[LW9]]/Tablo27[LW9]*$K$43+Tablo314[[#This Row],[LW10]]/Tablo27[LW10]*$L$43+Tablo314[[#This Row],[LW11]]/Tablo27[LW11]*$M$43+Tablo314[[#This Row],[LW12]]/Tablo27[LW12]*$N$43+Tablo314[[#This Row],[LW13]]/Tablo27[LW13]*$O$43+Tablo314[[#This Row],[LW14]]/Tablo27[LW14]*$P$43</f>
        <v>33.5</v>
      </c>
      <c r="Y17" s="92" cm="1">
        <f t="array" ref="Y17">F17/Tablo27[LW1]*$C$44+Tablo314[[#This Row],[LW2]]/Tablo27[LW2]*$D$44+Tablo314[[#This Row],[LW3]]/Tablo27[LW3]*$E$44+Tablo314[[#This Row],[LW4]]/Tablo27[LW4]*$F$44+Tablo314[[#This Row],[LW5]]/Tablo27[LW5]*$G$44+Tablo314[[#This Row],[LW6]]/Tablo27[LW6]*$H$44+Tablo314[[#This Row],[LW7]]/Tablo27[LW7]*$I$44+Tablo314[[#This Row],[LW8]]/Tablo27[LW8]*$J$44+Tablo314[[#This Row],[LW9]]/Tablo27[LW9]*$K$44+Tablo314[[#This Row],[LW10]]/Tablo27[LW10]*$L$44+Tablo314[[#This Row],[LW11]]/Tablo27[LW11]*$M$44+Tablo314[[#This Row],[LW12]]/Tablo27[LW12]*$N$44+Tablo314[[#This Row],[LW13]]/Tablo27[LW13]*$O$44+Tablo314[[#This Row],[LW14]]/Tablo27[LW14]*$P$44</f>
        <v>0</v>
      </c>
      <c r="Z17" s="92" cm="1">
        <f t="array" ref="Z17">F17/Tablo27[LW1]*$C$45+Tablo314[[#This Row],[LW2]]/Tablo27[LW2]*$D$45+Tablo314[[#This Row],[LW3]]/Tablo27[LW3]*$E$45+Tablo314[[#This Row],[LW4]]/Tablo27[LW4]*$F$45+Tablo314[[#This Row],[LW5]]/Tablo27[LW5]*$G$45+Tablo314[[#This Row],[LW6]]/Tablo27[LW6]*$H$45+Tablo314[[#This Row],[LW7]]/Tablo27[LW7]*$I$45+Tablo314[[#This Row],[LW8]]/Tablo27[LW8]*$J$45+Tablo314[[#This Row],[LW9]]/Tablo27[LW9]*$K$45+Tablo314[[#This Row],[LW10]]/Tablo27[LW10]*$L$45+Tablo314[[#This Row],[LW11]]/Tablo27[LW11]*$M$45+Tablo314[[#This Row],[LW12]]/Tablo27[LW12]*$N$45+Tablo314[[#This Row],[LW13]]/Tablo27[LW13]*$O$45+Tablo314[[#This Row],[LW14]]/Tablo27[LW14]*$P$45</f>
        <v>0</v>
      </c>
      <c r="AA17" s="92" cm="1">
        <f t="array" ref="AA17">F17/Tablo27[LW1]*$C$46+Tablo314[[#This Row],[LW2]]/Tablo27[LW2]*$D$46+Tablo314[[#This Row],[LW3]]/Tablo27[LW3]*$E$46+Tablo314[[#This Row],[LW4]]/Tablo27[LW4]*$F$46+Tablo314[[#This Row],[LW5]]/Tablo27[LW5]*$G$46+Tablo314[[#This Row],[LW6]]/Tablo27[LW6]*$H$46+Tablo314[[#This Row],[LW7]]/Tablo27[LW7]*$I$46+Tablo314[[#This Row],[LW8]]/Tablo27[LW8]*$J$46+Tablo314[[#This Row],[LW9]]/Tablo27[LW9]*$K$46+Tablo314[[#This Row],[LW10]]/Tablo27[LW10]*$L$46+Tablo314[[#This Row],[LW11]]/Tablo27[LW11]*$M$46+Tablo314[[#This Row],[LW12]]/Tablo27[LW12]*$N$46+Tablo314[[#This Row],[LW13]]/Tablo27[LW13]*$O$46+Tablo314[[#This Row],[LW14]]/Tablo27[LW14]*$P$46</f>
        <v>0</v>
      </c>
      <c r="AB17" s="92" cm="1">
        <f t="array" ref="AB17">F17/Tablo27[LW1]*$C$47+Tablo314[[#This Row],[LW2]]/Tablo27[LW2]*$D$47+Tablo314[[#This Row],[LW3]]/Tablo27[LW3]*$E$47+Tablo314[[#This Row],[LW4]]/Tablo27[LW4]*$F$47+Tablo314[[#This Row],[LW5]]/Tablo27[LW5]*$G$47+Tablo314[[#This Row],[LW6]]/Tablo27[LW6]*$H$47+Tablo314[[#This Row],[LW7]]/Tablo27[LW7]*$I$47+Tablo314[[#This Row],[LW8]]/Tablo27[LW8]*$J$47+Tablo314[[#This Row],[LW9]]/Tablo27[LW9]*$K$47+Tablo314[[#This Row],[LW10]]/Tablo27[LW10]*$L$47+Tablo314[[#This Row],[LW11]]/Tablo27[LW11]*$M$47+Tablo314[[#This Row],[LW12]]/Tablo27[LW12]*$N$47+Tablo314[[#This Row],[LW13]]/Tablo27[LW13]*$O$47+Tablo314[[#This Row],[LW14]]/Tablo27[LW14]*$P$47</f>
        <v>0</v>
      </c>
      <c r="AC17" s="92" cm="1">
        <f t="array" ref="AC17">F17/Tablo27[LW1]*$C$48+Tablo314[[#This Row],[LW2]]/Tablo27[LW2]*$D$48+Tablo314[[#This Row],[LW3]]/Tablo27[LW3]*$E$48+Tablo314[[#This Row],[LW4]]/Tablo27[LW4]*$F$48+Tablo314[[#This Row],[LW5]]/Tablo27[LW5]*$G$48+Tablo314[[#This Row],[LW6]]/Tablo27[LW6]*$H$48+Tablo314[[#This Row],[LW7]]/Tablo27[LW7]*$I$48+Tablo314[[#This Row],[LW8]]/Tablo27[LW8]*$J$48+Tablo314[[#This Row],[LW9]]/Tablo27[LW9]*$K$48+Tablo314[[#This Row],[LW10]]/Tablo27[LW10]*$L$48+Tablo314[[#This Row],[LW11]]/Tablo27[LW11]*$M$48+Tablo314[[#This Row],[LW12]]/Tablo27[LW12]*$N$48+Tablo314[[#This Row],[LW13]]/Tablo27[LW13]*$O$48+Tablo314[[#This Row],[LW14]]/Tablo27[LW14]*$P$48</f>
        <v>0</v>
      </c>
      <c r="AD17" s="92" cm="1">
        <f t="array" ref="AD17">F17/Tablo27[LW1]*$C$49+Tablo314[[#This Row],[LW2]]/Tablo27[LW2]*$D$49+Tablo314[[#This Row],[LW3]]/Tablo27[LW3]*$E$49+Tablo314[[#This Row],[LW4]]/Tablo27[LW4]*$F$49+Tablo314[[#This Row],[LW5]]/Tablo27[LW5]*$G$49+Tablo314[[#This Row],[LW6]]/Tablo27[LW6]*$H$49+Tablo314[[#This Row],[LW7]]/Tablo27[LW7]*$I$49+Tablo314[[#This Row],[LW8]]/Tablo27[LW8]*$J$49+Tablo314[[#This Row],[LW9]]/Tablo27[LW9]*$K$49+Tablo314[[#This Row],[LW10]]/Tablo27[LW10]*$L$49+Tablo314[[#This Row],[LW11]]/Tablo27[LW11]*$M$49+Tablo314[[#This Row],[LW12]]/Tablo27[LW12]*$N$49+Tablo314[[#This Row],[LW13]]/Tablo27[LW13]*$O$49+Tablo314[[#This Row],[LW14]]/Tablo27[LW14]*$P$49</f>
        <v>0</v>
      </c>
      <c r="AE17" s="8">
        <f>SUM(Tablo314[[#This Row],[DÇ1]],Tablo314[[#This Row],[DÇ2]],Tablo314[[#This Row],[DÇ3]],Tablo314[[#This Row],[DÇ4]])</f>
        <v>89</v>
      </c>
      <c r="AF17" s="9" cm="1">
        <f t="array" ref="AF17">_xlfn.NORM.DIST(Tablo314[[#This Row],[TOTAL]],Tablo29[Mean],Tablo29[Variance],FALSE)</f>
        <v>3.9094773981390536E-3</v>
      </c>
    </row>
    <row r="18" spans="2:32" ht="15.6" thickTop="1" thickBot="1" x14ac:dyDescent="0.35">
      <c r="B18" s="93">
        <v>14</v>
      </c>
      <c r="C18" s="14">
        <v>25</v>
      </c>
      <c r="D18" s="61" t="s">
        <v>110</v>
      </c>
      <c r="E18" s="61" t="s">
        <v>111</v>
      </c>
      <c r="F18" s="5">
        <v>5</v>
      </c>
      <c r="G18" s="5">
        <v>5</v>
      </c>
      <c r="H18" s="5">
        <v>2</v>
      </c>
      <c r="I18" s="5">
        <v>5</v>
      </c>
      <c r="J18" s="5">
        <v>2</v>
      </c>
      <c r="K18" s="5">
        <v>2</v>
      </c>
      <c r="L18" s="5">
        <v>5</v>
      </c>
      <c r="M18" s="5">
        <v>0</v>
      </c>
      <c r="N18" s="5">
        <v>5</v>
      </c>
      <c r="O18" s="5">
        <v>3</v>
      </c>
      <c r="P18" s="5">
        <v>4</v>
      </c>
      <c r="Q18" s="5">
        <v>4</v>
      </c>
      <c r="R18" s="5">
        <v>5</v>
      </c>
      <c r="S18" s="5">
        <v>9</v>
      </c>
      <c r="T18" s="8">
        <f>SUM(Tablo314[[#This Row],[LW1]:[LW14]])</f>
        <v>56</v>
      </c>
      <c r="U18" s="8" cm="1">
        <f t="array" ref="U18">F18/Tablo27[LW1]*$C$40+Tablo314[[#This Row],[LW2]]/Tablo27[LW2]*$D$40+Tablo314[[#This Row],[LW3]]/Tablo27[LW3]*$E$40+Tablo314[[#This Row],[LW4]]/Tablo27[LW4]*$F$40+Tablo314[[#This Row],[LW5]]/Tablo27[LW5]*$G$40+Tablo314[[#This Row],[LW6]]/Tablo27[LW6]*$H$40+Tablo314[[#This Row],[LW7]]/Tablo27[LW7]*$I$40+Tablo314[[#This Row],[LW8]]/Tablo27[LW8]*$J$40+Tablo314[[#This Row],[LW9]]/Tablo27[LW9]*$K$40+Tablo314[[#This Row],[LW10]]/Tablo27[LW10]*$L$40+Tablo314[[#This Row],[LW11]]/Tablo27[LW11]*$M$40+Tablo314[[#This Row],[LW12]]/Tablo27[LW12]*$N$40+Tablo314[[#This Row],[LW13]]/Tablo27[LW13]*$O$40+Tablo314[[#This Row],[LW14]]/Tablo27[LW14]*$P$40</f>
        <v>10</v>
      </c>
      <c r="V18" s="8" cm="1">
        <f t="array" ref="V18">F18/Tablo27[LW1]*$C$41+Tablo314[[#This Row],[LW2]]/Tablo27[LW2]*$D$41+Tablo314[[#This Row],[LW3]]/Tablo27[LW3]*$E$41+Tablo314[[#This Row],[LW4]]/Tablo27[LW4]*$F$41+Tablo314[[#This Row],[LW5]]/Tablo27[LW5]*$G$41+Tablo314[[#This Row],[LW6]]/Tablo27[LW6]*$H$41+Tablo314[[#This Row],[LW7]]/Tablo27[LW7]*$I$41+Tablo314[[#This Row],[LW8]]/Tablo27[LW8]*$J$41+Tablo314[[#This Row],[LW9]]/Tablo27[LW9]*$K$41+Tablo314[[#This Row],[LW10]]/Tablo27[LW10]*$L$41+Tablo314[[#This Row],[LW11]]/Tablo27[LW11]*$M$41+Tablo314[[#This Row],[LW12]]/Tablo27[LW12]*$N$41+Tablo314[[#This Row],[LW13]]/Tablo27[LW13]*$O$41+Tablo314[[#This Row],[LW14]]/Tablo27[LW14]*$P$41</f>
        <v>23.5</v>
      </c>
      <c r="W18" s="8" cm="1">
        <f t="array" ref="W18">F18/Tablo27[LW1]*$C$42+Tablo314[[#This Row],[LW2]]/Tablo27[LW2]*$D$42+Tablo314[[#This Row],[LW3]]/Tablo27[LW3]*$E$42+Tablo314[[#This Row],[LW4]]/Tablo27[LW4]*$F$42+Tablo314[[#This Row],[LW5]]/Tablo27[LW5]*$G$42+Tablo314[[#This Row],[LW6]]/Tablo27[LW6]*$H$42+Tablo314[[#This Row],[LW7]]/Tablo27[LW7]*$I$42+Tablo314[[#This Row],[LW8]]/Tablo27[LW8]*$J$42+Tablo314[[#This Row],[LW9]]/Tablo27[LW9]*$K$42+Tablo314[[#This Row],[LW10]]/Tablo27[LW10]*$L$42+Tablo314[[#This Row],[LW11]]/Tablo27[LW11]*$M$42+Tablo314[[#This Row],[LW12]]/Tablo27[LW12]*$N$42+Tablo314[[#This Row],[LW13]]/Tablo27[LW13]*$O$42+Tablo314[[#This Row],[LW14]]/Tablo27[LW14]*$P$42</f>
        <v>28</v>
      </c>
      <c r="X18" s="8" cm="1">
        <f t="array" ref="X18">F18/Tablo27[LW1]*$C$43+Tablo314[[#This Row],[LW2]]/Tablo27[LW2]*$D$43+Tablo314[[#This Row],[LW3]]/Tablo27[LW3]*$E$43+Tablo314[[#This Row],[LW4]]/Tablo27[LW4]*$F$43+Tablo314[[#This Row],[LW5]]/Tablo27[LW5]*$G$43+Tablo314[[#This Row],[LW6]]/Tablo27[LW6]*$H$43+Tablo314[[#This Row],[LW7]]/Tablo27[LW7]*$I$43+Tablo314[[#This Row],[LW8]]/Tablo27[LW8]*$J$43+Tablo314[[#This Row],[LW9]]/Tablo27[LW9]*$K$43+Tablo314[[#This Row],[LW10]]/Tablo27[LW10]*$L$43+Tablo314[[#This Row],[LW11]]/Tablo27[LW11]*$M$43+Tablo314[[#This Row],[LW12]]/Tablo27[LW12]*$N$43+Tablo314[[#This Row],[LW13]]/Tablo27[LW13]*$O$43+Tablo314[[#This Row],[LW14]]/Tablo27[LW14]*$P$43</f>
        <v>30.5</v>
      </c>
      <c r="Y18" s="92" cm="1">
        <f t="array" ref="Y18">F18/Tablo27[LW1]*$C$44+Tablo314[[#This Row],[LW2]]/Tablo27[LW2]*$D$44+Tablo314[[#This Row],[LW3]]/Tablo27[LW3]*$E$44+Tablo314[[#This Row],[LW4]]/Tablo27[LW4]*$F$44+Tablo314[[#This Row],[LW5]]/Tablo27[LW5]*$G$44+Tablo314[[#This Row],[LW6]]/Tablo27[LW6]*$H$44+Tablo314[[#This Row],[LW7]]/Tablo27[LW7]*$I$44+Tablo314[[#This Row],[LW8]]/Tablo27[LW8]*$J$44+Tablo314[[#This Row],[LW9]]/Tablo27[LW9]*$K$44+Tablo314[[#This Row],[LW10]]/Tablo27[LW10]*$L$44+Tablo314[[#This Row],[LW11]]/Tablo27[LW11]*$M$44+Tablo314[[#This Row],[LW12]]/Tablo27[LW12]*$N$44+Tablo314[[#This Row],[LW13]]/Tablo27[LW13]*$O$44+Tablo314[[#This Row],[LW14]]/Tablo27[LW14]*$P$44</f>
        <v>0</v>
      </c>
      <c r="Z18" s="92" cm="1">
        <f t="array" ref="Z18">F18/Tablo27[LW1]*$C$45+Tablo314[[#This Row],[LW2]]/Tablo27[LW2]*$D$45+Tablo314[[#This Row],[LW3]]/Tablo27[LW3]*$E$45+Tablo314[[#This Row],[LW4]]/Tablo27[LW4]*$F$45+Tablo314[[#This Row],[LW5]]/Tablo27[LW5]*$G$45+Tablo314[[#This Row],[LW6]]/Tablo27[LW6]*$H$45+Tablo314[[#This Row],[LW7]]/Tablo27[LW7]*$I$45+Tablo314[[#This Row],[LW8]]/Tablo27[LW8]*$J$45+Tablo314[[#This Row],[LW9]]/Tablo27[LW9]*$K$45+Tablo314[[#This Row],[LW10]]/Tablo27[LW10]*$L$45+Tablo314[[#This Row],[LW11]]/Tablo27[LW11]*$M$45+Tablo314[[#This Row],[LW12]]/Tablo27[LW12]*$N$45+Tablo314[[#This Row],[LW13]]/Tablo27[LW13]*$O$45+Tablo314[[#This Row],[LW14]]/Tablo27[LW14]*$P$45</f>
        <v>0</v>
      </c>
      <c r="AA18" s="92" cm="1">
        <f t="array" ref="AA18">F18/Tablo27[LW1]*$C$46+Tablo314[[#This Row],[LW2]]/Tablo27[LW2]*$D$46+Tablo314[[#This Row],[LW3]]/Tablo27[LW3]*$E$46+Tablo314[[#This Row],[LW4]]/Tablo27[LW4]*$F$46+Tablo314[[#This Row],[LW5]]/Tablo27[LW5]*$G$46+Tablo314[[#This Row],[LW6]]/Tablo27[LW6]*$H$46+Tablo314[[#This Row],[LW7]]/Tablo27[LW7]*$I$46+Tablo314[[#This Row],[LW8]]/Tablo27[LW8]*$J$46+Tablo314[[#This Row],[LW9]]/Tablo27[LW9]*$K$46+Tablo314[[#This Row],[LW10]]/Tablo27[LW10]*$L$46+Tablo314[[#This Row],[LW11]]/Tablo27[LW11]*$M$46+Tablo314[[#This Row],[LW12]]/Tablo27[LW12]*$N$46+Tablo314[[#This Row],[LW13]]/Tablo27[LW13]*$O$46+Tablo314[[#This Row],[LW14]]/Tablo27[LW14]*$P$46</f>
        <v>0</v>
      </c>
      <c r="AB18" s="92" cm="1">
        <f t="array" ref="AB18">F18/Tablo27[LW1]*$C$47+Tablo314[[#This Row],[LW2]]/Tablo27[LW2]*$D$47+Tablo314[[#This Row],[LW3]]/Tablo27[LW3]*$E$47+Tablo314[[#This Row],[LW4]]/Tablo27[LW4]*$F$47+Tablo314[[#This Row],[LW5]]/Tablo27[LW5]*$G$47+Tablo314[[#This Row],[LW6]]/Tablo27[LW6]*$H$47+Tablo314[[#This Row],[LW7]]/Tablo27[LW7]*$I$47+Tablo314[[#This Row],[LW8]]/Tablo27[LW8]*$J$47+Tablo314[[#This Row],[LW9]]/Tablo27[LW9]*$K$47+Tablo314[[#This Row],[LW10]]/Tablo27[LW10]*$L$47+Tablo314[[#This Row],[LW11]]/Tablo27[LW11]*$M$47+Tablo314[[#This Row],[LW12]]/Tablo27[LW12]*$N$47+Tablo314[[#This Row],[LW13]]/Tablo27[LW13]*$O$47+Tablo314[[#This Row],[LW14]]/Tablo27[LW14]*$P$47</f>
        <v>0</v>
      </c>
      <c r="AC18" s="92" cm="1">
        <f t="array" ref="AC18">F18/Tablo27[LW1]*$C$48+Tablo314[[#This Row],[LW2]]/Tablo27[LW2]*$D$48+Tablo314[[#This Row],[LW3]]/Tablo27[LW3]*$E$48+Tablo314[[#This Row],[LW4]]/Tablo27[LW4]*$F$48+Tablo314[[#This Row],[LW5]]/Tablo27[LW5]*$G$48+Tablo314[[#This Row],[LW6]]/Tablo27[LW6]*$H$48+Tablo314[[#This Row],[LW7]]/Tablo27[LW7]*$I$48+Tablo314[[#This Row],[LW8]]/Tablo27[LW8]*$J$48+Tablo314[[#This Row],[LW9]]/Tablo27[LW9]*$K$48+Tablo314[[#This Row],[LW10]]/Tablo27[LW10]*$L$48+Tablo314[[#This Row],[LW11]]/Tablo27[LW11]*$M$48+Tablo314[[#This Row],[LW12]]/Tablo27[LW12]*$N$48+Tablo314[[#This Row],[LW13]]/Tablo27[LW13]*$O$48+Tablo314[[#This Row],[LW14]]/Tablo27[LW14]*$P$48</f>
        <v>0</v>
      </c>
      <c r="AD18" s="92" cm="1">
        <f t="array" ref="AD18">F18/Tablo27[LW1]*$C$49+Tablo314[[#This Row],[LW2]]/Tablo27[LW2]*$D$49+Tablo314[[#This Row],[LW3]]/Tablo27[LW3]*$E$49+Tablo314[[#This Row],[LW4]]/Tablo27[LW4]*$F$49+Tablo314[[#This Row],[LW5]]/Tablo27[LW5]*$G$49+Tablo314[[#This Row],[LW6]]/Tablo27[LW6]*$H$49+Tablo314[[#This Row],[LW7]]/Tablo27[LW7]*$I$49+Tablo314[[#This Row],[LW8]]/Tablo27[LW8]*$J$49+Tablo314[[#This Row],[LW9]]/Tablo27[LW9]*$K$49+Tablo314[[#This Row],[LW10]]/Tablo27[LW10]*$L$49+Tablo314[[#This Row],[LW11]]/Tablo27[LW11]*$M$49+Tablo314[[#This Row],[LW12]]/Tablo27[LW12]*$N$49+Tablo314[[#This Row],[LW13]]/Tablo27[LW13]*$O$49+Tablo314[[#This Row],[LW14]]/Tablo27[LW14]*$P$49</f>
        <v>0</v>
      </c>
      <c r="AE18" s="8">
        <f>SUM(Tablo314[[#This Row],[DÇ1]],Tablo314[[#This Row],[DÇ2]],Tablo314[[#This Row],[DÇ3]],Tablo314[[#This Row],[DÇ4]])</f>
        <v>92</v>
      </c>
      <c r="AF18" s="9" cm="1">
        <f t="array" ref="AF18">_xlfn.NORM.DIST(Tablo314[[#This Row],[TOTAL]],Tablo29[Mean],Tablo29[Variance],FALSE)</f>
        <v>3.9094773981390536E-3</v>
      </c>
    </row>
    <row r="19" spans="2:32" ht="15.6" thickTop="1" thickBot="1" x14ac:dyDescent="0.35">
      <c r="B19" s="91">
        <v>15</v>
      </c>
      <c r="C19" s="14">
        <v>27</v>
      </c>
      <c r="D19" s="61" t="s">
        <v>110</v>
      </c>
      <c r="E19" s="61" t="s">
        <v>111</v>
      </c>
      <c r="F19" s="5">
        <v>3</v>
      </c>
      <c r="G19" s="5">
        <v>5</v>
      </c>
      <c r="H19" s="5">
        <v>4</v>
      </c>
      <c r="I19" s="5">
        <v>3</v>
      </c>
      <c r="J19" s="5">
        <v>4</v>
      </c>
      <c r="K19" s="5">
        <v>8</v>
      </c>
      <c r="L19" s="5">
        <v>5</v>
      </c>
      <c r="M19" s="5">
        <v>5</v>
      </c>
      <c r="N19" s="5">
        <v>5</v>
      </c>
      <c r="O19" s="5">
        <v>2</v>
      </c>
      <c r="P19" s="5">
        <v>1</v>
      </c>
      <c r="Q19" s="5">
        <v>1</v>
      </c>
      <c r="R19" s="5">
        <v>6</v>
      </c>
      <c r="S19" s="5">
        <v>3</v>
      </c>
      <c r="T19" s="8">
        <f>SUM(Tablo314[[#This Row],[LW1]:[LW14]])</f>
        <v>55</v>
      </c>
      <c r="U19" s="8" cm="1">
        <f t="array" ref="U19">F19/Tablo27[LW1]*$C$40+Tablo314[[#This Row],[LW2]]/Tablo27[LW2]*$D$40+Tablo314[[#This Row],[LW3]]/Tablo27[LW3]*$E$40+Tablo314[[#This Row],[LW4]]/Tablo27[LW4]*$F$40+Tablo314[[#This Row],[LW5]]/Tablo27[LW5]*$G$40+Tablo314[[#This Row],[LW6]]/Tablo27[LW6]*$H$40+Tablo314[[#This Row],[LW7]]/Tablo27[LW7]*$I$40+Tablo314[[#This Row],[LW8]]/Tablo27[LW8]*$J$40+Tablo314[[#This Row],[LW9]]/Tablo27[LW9]*$K$40+Tablo314[[#This Row],[LW10]]/Tablo27[LW10]*$L$40+Tablo314[[#This Row],[LW11]]/Tablo27[LW11]*$M$40+Tablo314[[#This Row],[LW12]]/Tablo27[LW12]*$N$40+Tablo314[[#This Row],[LW13]]/Tablo27[LW13]*$O$40+Tablo314[[#This Row],[LW14]]/Tablo27[LW14]*$P$40</f>
        <v>16.5</v>
      </c>
      <c r="V19" s="8" cm="1">
        <f t="array" ref="V19">F19/Tablo27[LW1]*$C$41+Tablo314[[#This Row],[LW2]]/Tablo27[LW2]*$D$41+Tablo314[[#This Row],[LW3]]/Tablo27[LW3]*$E$41+Tablo314[[#This Row],[LW4]]/Tablo27[LW4]*$F$41+Tablo314[[#This Row],[LW5]]/Tablo27[LW5]*$G$41+Tablo314[[#This Row],[LW6]]/Tablo27[LW6]*$H$41+Tablo314[[#This Row],[LW7]]/Tablo27[LW7]*$I$41+Tablo314[[#This Row],[LW8]]/Tablo27[LW8]*$J$41+Tablo314[[#This Row],[LW9]]/Tablo27[LW9]*$K$41+Tablo314[[#This Row],[LW10]]/Tablo27[LW10]*$L$41+Tablo314[[#This Row],[LW11]]/Tablo27[LW11]*$M$41+Tablo314[[#This Row],[LW12]]/Tablo27[LW12]*$N$41+Tablo314[[#This Row],[LW13]]/Tablo27[LW13]*$O$41+Tablo314[[#This Row],[LW14]]/Tablo27[LW14]*$P$41</f>
        <v>28.5</v>
      </c>
      <c r="W19" s="8" cm="1">
        <f t="array" ref="W19">F19/Tablo27[LW1]*$C$42+Tablo314[[#This Row],[LW2]]/Tablo27[LW2]*$D$42+Tablo314[[#This Row],[LW3]]/Tablo27[LW3]*$E$42+Tablo314[[#This Row],[LW4]]/Tablo27[LW4]*$F$42+Tablo314[[#This Row],[LW5]]/Tablo27[LW5]*$G$42+Tablo314[[#This Row],[LW6]]/Tablo27[LW6]*$H$42+Tablo314[[#This Row],[LW7]]/Tablo27[LW7]*$I$42+Tablo314[[#This Row],[LW8]]/Tablo27[LW8]*$J$42+Tablo314[[#This Row],[LW9]]/Tablo27[LW9]*$K$42+Tablo314[[#This Row],[LW10]]/Tablo27[LW10]*$L$42+Tablo314[[#This Row],[LW11]]/Tablo27[LW11]*$M$42+Tablo314[[#This Row],[LW12]]/Tablo27[LW12]*$N$42+Tablo314[[#This Row],[LW13]]/Tablo27[LW13]*$O$42+Tablo314[[#This Row],[LW14]]/Tablo27[LW14]*$P$42</f>
        <v>32.5</v>
      </c>
      <c r="X19" s="8" cm="1">
        <f t="array" ref="X19">F19/Tablo27[LW1]*$C$43+Tablo314[[#This Row],[LW2]]/Tablo27[LW2]*$D$43+Tablo314[[#This Row],[LW3]]/Tablo27[LW3]*$E$43+Tablo314[[#This Row],[LW4]]/Tablo27[LW4]*$F$43+Tablo314[[#This Row],[LW5]]/Tablo27[LW5]*$G$43+Tablo314[[#This Row],[LW6]]/Tablo27[LW6]*$H$43+Tablo314[[#This Row],[LW7]]/Tablo27[LW7]*$I$43+Tablo314[[#This Row],[LW8]]/Tablo27[LW8]*$J$43+Tablo314[[#This Row],[LW9]]/Tablo27[LW9]*$K$43+Tablo314[[#This Row],[LW10]]/Tablo27[LW10]*$L$43+Tablo314[[#This Row],[LW11]]/Tablo27[LW11]*$M$43+Tablo314[[#This Row],[LW12]]/Tablo27[LW12]*$N$43+Tablo314[[#This Row],[LW13]]/Tablo27[LW13]*$O$43+Tablo314[[#This Row],[LW14]]/Tablo27[LW14]*$P$43</f>
        <v>32.5</v>
      </c>
      <c r="Y19" s="92" cm="1">
        <f t="array" ref="Y19">F19/Tablo27[LW1]*$C$44+Tablo314[[#This Row],[LW2]]/Tablo27[LW2]*$D$44+Tablo314[[#This Row],[LW3]]/Tablo27[LW3]*$E$44+Tablo314[[#This Row],[LW4]]/Tablo27[LW4]*$F$44+Tablo314[[#This Row],[LW5]]/Tablo27[LW5]*$G$44+Tablo314[[#This Row],[LW6]]/Tablo27[LW6]*$H$44+Tablo314[[#This Row],[LW7]]/Tablo27[LW7]*$I$44+Tablo314[[#This Row],[LW8]]/Tablo27[LW8]*$J$44+Tablo314[[#This Row],[LW9]]/Tablo27[LW9]*$K$44+Tablo314[[#This Row],[LW10]]/Tablo27[LW10]*$L$44+Tablo314[[#This Row],[LW11]]/Tablo27[LW11]*$M$44+Tablo314[[#This Row],[LW12]]/Tablo27[LW12]*$N$44+Tablo314[[#This Row],[LW13]]/Tablo27[LW13]*$O$44+Tablo314[[#This Row],[LW14]]/Tablo27[LW14]*$P$44</f>
        <v>0</v>
      </c>
      <c r="Z19" s="92" cm="1">
        <f t="array" ref="Z19">F19/Tablo27[LW1]*$C$45+Tablo314[[#This Row],[LW2]]/Tablo27[LW2]*$D$45+Tablo314[[#This Row],[LW3]]/Tablo27[LW3]*$E$45+Tablo314[[#This Row],[LW4]]/Tablo27[LW4]*$F$45+Tablo314[[#This Row],[LW5]]/Tablo27[LW5]*$G$45+Tablo314[[#This Row],[LW6]]/Tablo27[LW6]*$H$45+Tablo314[[#This Row],[LW7]]/Tablo27[LW7]*$I$45+Tablo314[[#This Row],[LW8]]/Tablo27[LW8]*$J$45+Tablo314[[#This Row],[LW9]]/Tablo27[LW9]*$K$45+Tablo314[[#This Row],[LW10]]/Tablo27[LW10]*$L$45+Tablo314[[#This Row],[LW11]]/Tablo27[LW11]*$M$45+Tablo314[[#This Row],[LW12]]/Tablo27[LW12]*$N$45+Tablo314[[#This Row],[LW13]]/Tablo27[LW13]*$O$45+Tablo314[[#This Row],[LW14]]/Tablo27[LW14]*$P$45</f>
        <v>0</v>
      </c>
      <c r="AA19" s="92" cm="1">
        <f t="array" ref="AA19">F19/Tablo27[LW1]*$C$46+Tablo314[[#This Row],[LW2]]/Tablo27[LW2]*$D$46+Tablo314[[#This Row],[LW3]]/Tablo27[LW3]*$E$46+Tablo314[[#This Row],[LW4]]/Tablo27[LW4]*$F$46+Tablo314[[#This Row],[LW5]]/Tablo27[LW5]*$G$46+Tablo314[[#This Row],[LW6]]/Tablo27[LW6]*$H$46+Tablo314[[#This Row],[LW7]]/Tablo27[LW7]*$I$46+Tablo314[[#This Row],[LW8]]/Tablo27[LW8]*$J$46+Tablo314[[#This Row],[LW9]]/Tablo27[LW9]*$K$46+Tablo314[[#This Row],[LW10]]/Tablo27[LW10]*$L$46+Tablo314[[#This Row],[LW11]]/Tablo27[LW11]*$M$46+Tablo314[[#This Row],[LW12]]/Tablo27[LW12]*$N$46+Tablo314[[#This Row],[LW13]]/Tablo27[LW13]*$O$46+Tablo314[[#This Row],[LW14]]/Tablo27[LW14]*$P$46</f>
        <v>0</v>
      </c>
      <c r="AB19" s="92" cm="1">
        <f t="array" ref="AB19">F19/Tablo27[LW1]*$C$47+Tablo314[[#This Row],[LW2]]/Tablo27[LW2]*$D$47+Tablo314[[#This Row],[LW3]]/Tablo27[LW3]*$E$47+Tablo314[[#This Row],[LW4]]/Tablo27[LW4]*$F$47+Tablo314[[#This Row],[LW5]]/Tablo27[LW5]*$G$47+Tablo314[[#This Row],[LW6]]/Tablo27[LW6]*$H$47+Tablo314[[#This Row],[LW7]]/Tablo27[LW7]*$I$47+Tablo314[[#This Row],[LW8]]/Tablo27[LW8]*$J$47+Tablo314[[#This Row],[LW9]]/Tablo27[LW9]*$K$47+Tablo314[[#This Row],[LW10]]/Tablo27[LW10]*$L$47+Tablo314[[#This Row],[LW11]]/Tablo27[LW11]*$M$47+Tablo314[[#This Row],[LW12]]/Tablo27[LW12]*$N$47+Tablo314[[#This Row],[LW13]]/Tablo27[LW13]*$O$47+Tablo314[[#This Row],[LW14]]/Tablo27[LW14]*$P$47</f>
        <v>0</v>
      </c>
      <c r="AC19" s="92" cm="1">
        <f t="array" ref="AC19">F19/Tablo27[LW1]*$C$48+Tablo314[[#This Row],[LW2]]/Tablo27[LW2]*$D$48+Tablo314[[#This Row],[LW3]]/Tablo27[LW3]*$E$48+Tablo314[[#This Row],[LW4]]/Tablo27[LW4]*$F$48+Tablo314[[#This Row],[LW5]]/Tablo27[LW5]*$G$48+Tablo314[[#This Row],[LW6]]/Tablo27[LW6]*$H$48+Tablo314[[#This Row],[LW7]]/Tablo27[LW7]*$I$48+Tablo314[[#This Row],[LW8]]/Tablo27[LW8]*$J$48+Tablo314[[#This Row],[LW9]]/Tablo27[LW9]*$K$48+Tablo314[[#This Row],[LW10]]/Tablo27[LW10]*$L$48+Tablo314[[#This Row],[LW11]]/Tablo27[LW11]*$M$48+Tablo314[[#This Row],[LW12]]/Tablo27[LW12]*$N$48+Tablo314[[#This Row],[LW13]]/Tablo27[LW13]*$O$48+Tablo314[[#This Row],[LW14]]/Tablo27[LW14]*$P$48</f>
        <v>0</v>
      </c>
      <c r="AD19" s="92" cm="1">
        <f t="array" ref="AD19">F19/Tablo27[LW1]*$C$49+Tablo314[[#This Row],[LW2]]/Tablo27[LW2]*$D$49+Tablo314[[#This Row],[LW3]]/Tablo27[LW3]*$E$49+Tablo314[[#This Row],[LW4]]/Tablo27[LW4]*$F$49+Tablo314[[#This Row],[LW5]]/Tablo27[LW5]*$G$49+Tablo314[[#This Row],[LW6]]/Tablo27[LW6]*$H$49+Tablo314[[#This Row],[LW7]]/Tablo27[LW7]*$I$49+Tablo314[[#This Row],[LW8]]/Tablo27[LW8]*$J$49+Tablo314[[#This Row],[LW9]]/Tablo27[LW9]*$K$49+Tablo314[[#This Row],[LW10]]/Tablo27[LW10]*$L$49+Tablo314[[#This Row],[LW11]]/Tablo27[LW11]*$M$49+Tablo314[[#This Row],[LW12]]/Tablo27[LW12]*$N$49+Tablo314[[#This Row],[LW13]]/Tablo27[LW13]*$O$49+Tablo314[[#This Row],[LW14]]/Tablo27[LW14]*$P$49</f>
        <v>0</v>
      </c>
      <c r="AE19" s="8">
        <f>SUM(Tablo314[[#This Row],[DÇ1]],Tablo314[[#This Row],[DÇ2]],Tablo314[[#This Row],[DÇ3]],Tablo314[[#This Row],[DÇ4]])</f>
        <v>110</v>
      </c>
      <c r="AF19" s="9" cm="1">
        <f t="array" ref="AF19">_xlfn.NORM.DIST(Tablo314[[#This Row],[TOTAL]],Tablo29[Mean],Tablo29[Variance],FALSE)</f>
        <v>3.9103541900546721E-3</v>
      </c>
    </row>
    <row r="20" spans="2:32" ht="15.6" thickTop="1" thickBot="1" x14ac:dyDescent="0.35">
      <c r="B20" s="93">
        <v>16</v>
      </c>
      <c r="C20" s="14">
        <v>5</v>
      </c>
      <c r="D20" s="61" t="s">
        <v>110</v>
      </c>
      <c r="E20" s="61" t="s">
        <v>111</v>
      </c>
      <c r="F20" s="5">
        <v>5</v>
      </c>
      <c r="G20" s="5">
        <v>3</v>
      </c>
      <c r="H20" s="5">
        <v>2</v>
      </c>
      <c r="I20" s="5">
        <v>1</v>
      </c>
      <c r="J20" s="5">
        <v>0</v>
      </c>
      <c r="K20" s="5">
        <v>8</v>
      </c>
      <c r="L20" s="5">
        <v>5</v>
      </c>
      <c r="M20" s="5">
        <v>2</v>
      </c>
      <c r="N20" s="5">
        <v>0</v>
      </c>
      <c r="O20" s="5">
        <v>7</v>
      </c>
      <c r="P20" s="5">
        <v>2</v>
      </c>
      <c r="Q20" s="5">
        <v>9</v>
      </c>
      <c r="R20" s="5">
        <v>3</v>
      </c>
      <c r="S20" s="5">
        <v>7</v>
      </c>
      <c r="T20" s="8">
        <f>SUM(Tablo314[[#This Row],[LW1]:[LW14]])</f>
        <v>54</v>
      </c>
      <c r="U20" s="8" cm="1">
        <f t="array" ref="U20">F20/Tablo27[LW1]*$C$40+Tablo314[[#This Row],[LW2]]/Tablo27[LW2]*$D$40+Tablo314[[#This Row],[LW3]]/Tablo27[LW3]*$E$40+Tablo314[[#This Row],[LW4]]/Tablo27[LW4]*$F$40+Tablo314[[#This Row],[LW5]]/Tablo27[LW5]*$G$40+Tablo314[[#This Row],[LW6]]/Tablo27[LW6]*$H$40+Tablo314[[#This Row],[LW7]]/Tablo27[LW7]*$I$40+Tablo314[[#This Row],[LW8]]/Tablo27[LW8]*$J$40+Tablo314[[#This Row],[LW9]]/Tablo27[LW9]*$K$40+Tablo314[[#This Row],[LW10]]/Tablo27[LW10]*$L$40+Tablo314[[#This Row],[LW11]]/Tablo27[LW11]*$M$40+Tablo314[[#This Row],[LW12]]/Tablo27[LW12]*$N$40+Tablo314[[#This Row],[LW13]]/Tablo27[LW13]*$O$40+Tablo314[[#This Row],[LW14]]/Tablo27[LW14]*$P$40</f>
        <v>14</v>
      </c>
      <c r="V20" s="8" cm="1">
        <f t="array" ref="V20">F20/Tablo27[LW1]*$C$41+Tablo314[[#This Row],[LW2]]/Tablo27[LW2]*$D$41+Tablo314[[#This Row],[LW3]]/Tablo27[LW3]*$E$41+Tablo314[[#This Row],[LW4]]/Tablo27[LW4]*$F$41+Tablo314[[#This Row],[LW5]]/Tablo27[LW5]*$G$41+Tablo314[[#This Row],[LW6]]/Tablo27[LW6]*$H$41+Tablo314[[#This Row],[LW7]]/Tablo27[LW7]*$I$41+Tablo314[[#This Row],[LW8]]/Tablo27[LW8]*$J$41+Tablo314[[#This Row],[LW9]]/Tablo27[LW9]*$K$41+Tablo314[[#This Row],[LW10]]/Tablo27[LW10]*$L$41+Tablo314[[#This Row],[LW11]]/Tablo27[LW11]*$M$41+Tablo314[[#This Row],[LW12]]/Tablo27[LW12]*$N$41+Tablo314[[#This Row],[LW13]]/Tablo27[LW13]*$O$41+Tablo314[[#This Row],[LW14]]/Tablo27[LW14]*$P$41</f>
        <v>18.5</v>
      </c>
      <c r="W20" s="8" cm="1">
        <f t="array" ref="W20">F20/Tablo27[LW1]*$C$42+Tablo314[[#This Row],[LW2]]/Tablo27[LW2]*$D$42+Tablo314[[#This Row],[LW3]]/Tablo27[LW3]*$E$42+Tablo314[[#This Row],[LW4]]/Tablo27[LW4]*$F$42+Tablo314[[#This Row],[LW5]]/Tablo27[LW5]*$G$42+Tablo314[[#This Row],[LW6]]/Tablo27[LW6]*$H$42+Tablo314[[#This Row],[LW7]]/Tablo27[LW7]*$I$42+Tablo314[[#This Row],[LW8]]/Tablo27[LW8]*$J$42+Tablo314[[#This Row],[LW9]]/Tablo27[LW9]*$K$42+Tablo314[[#This Row],[LW10]]/Tablo27[LW10]*$L$42+Tablo314[[#This Row],[LW11]]/Tablo27[LW11]*$M$42+Tablo314[[#This Row],[LW12]]/Tablo27[LW12]*$N$42+Tablo314[[#This Row],[LW13]]/Tablo27[LW13]*$O$42+Tablo314[[#This Row],[LW14]]/Tablo27[LW14]*$P$42</f>
        <v>26.5</v>
      </c>
      <c r="X20" s="8" cm="1">
        <f t="array" ref="X20">F20/Tablo27[LW1]*$C$43+Tablo314[[#This Row],[LW2]]/Tablo27[LW2]*$D$43+Tablo314[[#This Row],[LW3]]/Tablo27[LW3]*$E$43+Tablo314[[#This Row],[LW4]]/Tablo27[LW4]*$F$43+Tablo314[[#This Row],[LW5]]/Tablo27[LW5]*$G$43+Tablo314[[#This Row],[LW6]]/Tablo27[LW6]*$H$43+Tablo314[[#This Row],[LW7]]/Tablo27[LW7]*$I$43+Tablo314[[#This Row],[LW8]]/Tablo27[LW8]*$J$43+Tablo314[[#This Row],[LW9]]/Tablo27[LW9]*$K$43+Tablo314[[#This Row],[LW10]]/Tablo27[LW10]*$L$43+Tablo314[[#This Row],[LW11]]/Tablo27[LW11]*$M$43+Tablo314[[#This Row],[LW12]]/Tablo27[LW12]*$N$43+Tablo314[[#This Row],[LW13]]/Tablo27[LW13]*$O$43+Tablo314[[#This Row],[LW14]]/Tablo27[LW14]*$P$43</f>
        <v>26</v>
      </c>
      <c r="Y20" s="92" cm="1">
        <f t="array" ref="Y20">F20/Tablo27[LW1]*$C$44+Tablo314[[#This Row],[LW2]]/Tablo27[LW2]*$D$44+Tablo314[[#This Row],[LW3]]/Tablo27[LW3]*$E$44+Tablo314[[#This Row],[LW4]]/Tablo27[LW4]*$F$44+Tablo314[[#This Row],[LW5]]/Tablo27[LW5]*$G$44+Tablo314[[#This Row],[LW6]]/Tablo27[LW6]*$H$44+Tablo314[[#This Row],[LW7]]/Tablo27[LW7]*$I$44+Tablo314[[#This Row],[LW8]]/Tablo27[LW8]*$J$44+Tablo314[[#This Row],[LW9]]/Tablo27[LW9]*$K$44+Tablo314[[#This Row],[LW10]]/Tablo27[LW10]*$L$44+Tablo314[[#This Row],[LW11]]/Tablo27[LW11]*$M$44+Tablo314[[#This Row],[LW12]]/Tablo27[LW12]*$N$44+Tablo314[[#This Row],[LW13]]/Tablo27[LW13]*$O$44+Tablo314[[#This Row],[LW14]]/Tablo27[LW14]*$P$44</f>
        <v>0</v>
      </c>
      <c r="Z20" s="92" cm="1">
        <f t="array" ref="Z20">F20/Tablo27[LW1]*$C$45+Tablo314[[#This Row],[LW2]]/Tablo27[LW2]*$D$45+Tablo314[[#This Row],[LW3]]/Tablo27[LW3]*$E$45+Tablo314[[#This Row],[LW4]]/Tablo27[LW4]*$F$45+Tablo314[[#This Row],[LW5]]/Tablo27[LW5]*$G$45+Tablo314[[#This Row],[LW6]]/Tablo27[LW6]*$H$45+Tablo314[[#This Row],[LW7]]/Tablo27[LW7]*$I$45+Tablo314[[#This Row],[LW8]]/Tablo27[LW8]*$J$45+Tablo314[[#This Row],[LW9]]/Tablo27[LW9]*$K$45+Tablo314[[#This Row],[LW10]]/Tablo27[LW10]*$L$45+Tablo314[[#This Row],[LW11]]/Tablo27[LW11]*$M$45+Tablo314[[#This Row],[LW12]]/Tablo27[LW12]*$N$45+Tablo314[[#This Row],[LW13]]/Tablo27[LW13]*$O$45+Tablo314[[#This Row],[LW14]]/Tablo27[LW14]*$P$45</f>
        <v>0</v>
      </c>
      <c r="AA20" s="92" cm="1">
        <f t="array" ref="AA20">F20/Tablo27[LW1]*$C$46+Tablo314[[#This Row],[LW2]]/Tablo27[LW2]*$D$46+Tablo314[[#This Row],[LW3]]/Tablo27[LW3]*$E$46+Tablo314[[#This Row],[LW4]]/Tablo27[LW4]*$F$46+Tablo314[[#This Row],[LW5]]/Tablo27[LW5]*$G$46+Tablo314[[#This Row],[LW6]]/Tablo27[LW6]*$H$46+Tablo314[[#This Row],[LW7]]/Tablo27[LW7]*$I$46+Tablo314[[#This Row],[LW8]]/Tablo27[LW8]*$J$46+Tablo314[[#This Row],[LW9]]/Tablo27[LW9]*$K$46+Tablo314[[#This Row],[LW10]]/Tablo27[LW10]*$L$46+Tablo314[[#This Row],[LW11]]/Tablo27[LW11]*$M$46+Tablo314[[#This Row],[LW12]]/Tablo27[LW12]*$N$46+Tablo314[[#This Row],[LW13]]/Tablo27[LW13]*$O$46+Tablo314[[#This Row],[LW14]]/Tablo27[LW14]*$P$46</f>
        <v>0</v>
      </c>
      <c r="AB20" s="92" cm="1">
        <f t="array" ref="AB20">F20/Tablo27[LW1]*$C$47+Tablo314[[#This Row],[LW2]]/Tablo27[LW2]*$D$47+Tablo314[[#This Row],[LW3]]/Tablo27[LW3]*$E$47+Tablo314[[#This Row],[LW4]]/Tablo27[LW4]*$F$47+Tablo314[[#This Row],[LW5]]/Tablo27[LW5]*$G$47+Tablo314[[#This Row],[LW6]]/Tablo27[LW6]*$H$47+Tablo314[[#This Row],[LW7]]/Tablo27[LW7]*$I$47+Tablo314[[#This Row],[LW8]]/Tablo27[LW8]*$J$47+Tablo314[[#This Row],[LW9]]/Tablo27[LW9]*$K$47+Tablo314[[#This Row],[LW10]]/Tablo27[LW10]*$L$47+Tablo314[[#This Row],[LW11]]/Tablo27[LW11]*$M$47+Tablo314[[#This Row],[LW12]]/Tablo27[LW12]*$N$47+Tablo314[[#This Row],[LW13]]/Tablo27[LW13]*$O$47+Tablo314[[#This Row],[LW14]]/Tablo27[LW14]*$P$47</f>
        <v>0</v>
      </c>
      <c r="AC20" s="92" cm="1">
        <f t="array" ref="AC20">F20/Tablo27[LW1]*$C$48+Tablo314[[#This Row],[LW2]]/Tablo27[LW2]*$D$48+Tablo314[[#This Row],[LW3]]/Tablo27[LW3]*$E$48+Tablo314[[#This Row],[LW4]]/Tablo27[LW4]*$F$48+Tablo314[[#This Row],[LW5]]/Tablo27[LW5]*$G$48+Tablo314[[#This Row],[LW6]]/Tablo27[LW6]*$H$48+Tablo314[[#This Row],[LW7]]/Tablo27[LW7]*$I$48+Tablo314[[#This Row],[LW8]]/Tablo27[LW8]*$J$48+Tablo314[[#This Row],[LW9]]/Tablo27[LW9]*$K$48+Tablo314[[#This Row],[LW10]]/Tablo27[LW10]*$L$48+Tablo314[[#This Row],[LW11]]/Tablo27[LW11]*$M$48+Tablo314[[#This Row],[LW12]]/Tablo27[LW12]*$N$48+Tablo314[[#This Row],[LW13]]/Tablo27[LW13]*$O$48+Tablo314[[#This Row],[LW14]]/Tablo27[LW14]*$P$48</f>
        <v>0</v>
      </c>
      <c r="AD20" s="92" cm="1">
        <f t="array" ref="AD20">F20/Tablo27[LW1]*$C$49+Tablo314[[#This Row],[LW2]]/Tablo27[LW2]*$D$49+Tablo314[[#This Row],[LW3]]/Tablo27[LW3]*$E$49+Tablo314[[#This Row],[LW4]]/Tablo27[LW4]*$F$49+Tablo314[[#This Row],[LW5]]/Tablo27[LW5]*$G$49+Tablo314[[#This Row],[LW6]]/Tablo27[LW6]*$H$49+Tablo314[[#This Row],[LW7]]/Tablo27[LW7]*$I$49+Tablo314[[#This Row],[LW8]]/Tablo27[LW8]*$J$49+Tablo314[[#This Row],[LW9]]/Tablo27[LW9]*$K$49+Tablo314[[#This Row],[LW10]]/Tablo27[LW10]*$L$49+Tablo314[[#This Row],[LW11]]/Tablo27[LW11]*$M$49+Tablo314[[#This Row],[LW12]]/Tablo27[LW12]*$N$49+Tablo314[[#This Row],[LW13]]/Tablo27[LW13]*$O$49+Tablo314[[#This Row],[LW14]]/Tablo27[LW14]*$P$49</f>
        <v>0</v>
      </c>
      <c r="AE20" s="8">
        <f>SUM(Tablo314[[#This Row],[DÇ1]],Tablo314[[#This Row],[DÇ2]],Tablo314[[#This Row],[DÇ3]],Tablo314[[#This Row],[DÇ4]])</f>
        <v>85</v>
      </c>
      <c r="AF20" s="9" cm="1">
        <f t="array" ref="AF20">_xlfn.NORM.DIST(Tablo314[[#This Row],[TOTAL]],Tablo29[Mean],Tablo29[Variance],FALSE)</f>
        <v>3.9108553022914804E-3</v>
      </c>
    </row>
    <row r="21" spans="2:32" ht="15.6" thickTop="1" thickBot="1" x14ac:dyDescent="0.35">
      <c r="B21" s="91">
        <v>17</v>
      </c>
      <c r="C21" s="14">
        <v>10</v>
      </c>
      <c r="D21" s="61" t="s">
        <v>110</v>
      </c>
      <c r="E21" s="61" t="s">
        <v>111</v>
      </c>
      <c r="F21" s="5">
        <v>0</v>
      </c>
      <c r="G21" s="5">
        <v>5</v>
      </c>
      <c r="H21" s="5">
        <v>1</v>
      </c>
      <c r="I21" s="5">
        <v>3</v>
      </c>
      <c r="J21" s="5">
        <v>0</v>
      </c>
      <c r="K21" s="5">
        <v>5</v>
      </c>
      <c r="L21" s="5">
        <v>0</v>
      </c>
      <c r="M21" s="5">
        <v>3</v>
      </c>
      <c r="N21" s="5">
        <v>9</v>
      </c>
      <c r="O21" s="5">
        <v>3</v>
      </c>
      <c r="P21" s="5">
        <v>7</v>
      </c>
      <c r="Q21" s="5">
        <v>2</v>
      </c>
      <c r="R21" s="5">
        <v>8</v>
      </c>
      <c r="S21" s="5">
        <v>8</v>
      </c>
      <c r="T21" s="8">
        <f>SUM(Tablo314[[#This Row],[LW1]:[LW14]])</f>
        <v>54</v>
      </c>
      <c r="U21" s="8" cm="1">
        <f t="array" ref="U21">F21/Tablo27[LW1]*$C$40+Tablo314[[#This Row],[LW2]]/Tablo27[LW2]*$D$40+Tablo314[[#This Row],[LW3]]/Tablo27[LW3]*$E$40+Tablo314[[#This Row],[LW4]]/Tablo27[LW4]*$F$40+Tablo314[[#This Row],[LW5]]/Tablo27[LW5]*$G$40+Tablo314[[#This Row],[LW6]]/Tablo27[LW6]*$H$40+Tablo314[[#This Row],[LW7]]/Tablo27[LW7]*$I$40+Tablo314[[#This Row],[LW8]]/Tablo27[LW8]*$J$40+Tablo314[[#This Row],[LW9]]/Tablo27[LW9]*$K$40+Tablo314[[#This Row],[LW10]]/Tablo27[LW10]*$L$40+Tablo314[[#This Row],[LW11]]/Tablo27[LW11]*$M$40+Tablo314[[#This Row],[LW12]]/Tablo27[LW12]*$N$40+Tablo314[[#This Row],[LW13]]/Tablo27[LW13]*$O$40+Tablo314[[#This Row],[LW14]]/Tablo27[LW14]*$P$40</f>
        <v>10</v>
      </c>
      <c r="V21" s="8" cm="1">
        <f t="array" ref="V21">F21/Tablo27[LW1]*$C$41+Tablo314[[#This Row],[LW2]]/Tablo27[LW2]*$D$41+Tablo314[[#This Row],[LW3]]/Tablo27[LW3]*$E$41+Tablo314[[#This Row],[LW4]]/Tablo27[LW4]*$F$41+Tablo314[[#This Row],[LW5]]/Tablo27[LW5]*$G$41+Tablo314[[#This Row],[LW6]]/Tablo27[LW6]*$H$41+Tablo314[[#This Row],[LW7]]/Tablo27[LW7]*$I$41+Tablo314[[#This Row],[LW8]]/Tablo27[LW8]*$J$41+Tablo314[[#This Row],[LW9]]/Tablo27[LW9]*$K$41+Tablo314[[#This Row],[LW10]]/Tablo27[LW10]*$L$41+Tablo314[[#This Row],[LW11]]/Tablo27[LW11]*$M$41+Tablo314[[#This Row],[LW12]]/Tablo27[LW12]*$N$41+Tablo314[[#This Row],[LW13]]/Tablo27[LW13]*$O$41+Tablo314[[#This Row],[LW14]]/Tablo27[LW14]*$P$41</f>
        <v>22.5</v>
      </c>
      <c r="W21" s="8" cm="1">
        <f t="array" ref="W21">F21/Tablo27[LW1]*$C$42+Tablo314[[#This Row],[LW2]]/Tablo27[LW2]*$D$42+Tablo314[[#This Row],[LW3]]/Tablo27[LW3]*$E$42+Tablo314[[#This Row],[LW4]]/Tablo27[LW4]*$F$42+Tablo314[[#This Row],[LW5]]/Tablo27[LW5]*$G$42+Tablo314[[#This Row],[LW6]]/Tablo27[LW6]*$H$42+Tablo314[[#This Row],[LW7]]/Tablo27[LW7]*$I$42+Tablo314[[#This Row],[LW8]]/Tablo27[LW8]*$J$42+Tablo314[[#This Row],[LW9]]/Tablo27[LW9]*$K$42+Tablo314[[#This Row],[LW10]]/Tablo27[LW10]*$L$42+Tablo314[[#This Row],[LW11]]/Tablo27[LW11]*$M$42+Tablo314[[#This Row],[LW12]]/Tablo27[LW12]*$N$42+Tablo314[[#This Row],[LW13]]/Tablo27[LW13]*$O$42+Tablo314[[#This Row],[LW14]]/Tablo27[LW14]*$P$42</f>
        <v>32.5</v>
      </c>
      <c r="X21" s="8" cm="1">
        <f t="array" ref="X21">F21/Tablo27[LW1]*$C$43+Tablo314[[#This Row],[LW2]]/Tablo27[LW2]*$D$43+Tablo314[[#This Row],[LW3]]/Tablo27[LW3]*$E$43+Tablo314[[#This Row],[LW4]]/Tablo27[LW4]*$F$43+Tablo314[[#This Row],[LW5]]/Tablo27[LW5]*$G$43+Tablo314[[#This Row],[LW6]]/Tablo27[LW6]*$H$43+Tablo314[[#This Row],[LW7]]/Tablo27[LW7]*$I$43+Tablo314[[#This Row],[LW8]]/Tablo27[LW8]*$J$43+Tablo314[[#This Row],[LW9]]/Tablo27[LW9]*$K$43+Tablo314[[#This Row],[LW10]]/Tablo27[LW10]*$L$43+Tablo314[[#This Row],[LW11]]/Tablo27[LW11]*$M$43+Tablo314[[#This Row],[LW12]]/Tablo27[LW12]*$N$43+Tablo314[[#This Row],[LW13]]/Tablo27[LW13]*$O$43+Tablo314[[#This Row],[LW14]]/Tablo27[LW14]*$P$43</f>
        <v>31.5</v>
      </c>
      <c r="Y21" s="92" cm="1">
        <f t="array" ref="Y21">F21/Tablo27[LW1]*$C$44+Tablo314[[#This Row],[LW2]]/Tablo27[LW2]*$D$44+Tablo314[[#This Row],[LW3]]/Tablo27[LW3]*$E$44+Tablo314[[#This Row],[LW4]]/Tablo27[LW4]*$F$44+Tablo314[[#This Row],[LW5]]/Tablo27[LW5]*$G$44+Tablo314[[#This Row],[LW6]]/Tablo27[LW6]*$H$44+Tablo314[[#This Row],[LW7]]/Tablo27[LW7]*$I$44+Tablo314[[#This Row],[LW8]]/Tablo27[LW8]*$J$44+Tablo314[[#This Row],[LW9]]/Tablo27[LW9]*$K$44+Tablo314[[#This Row],[LW10]]/Tablo27[LW10]*$L$44+Tablo314[[#This Row],[LW11]]/Tablo27[LW11]*$M$44+Tablo314[[#This Row],[LW12]]/Tablo27[LW12]*$N$44+Tablo314[[#This Row],[LW13]]/Tablo27[LW13]*$O$44+Tablo314[[#This Row],[LW14]]/Tablo27[LW14]*$P$44</f>
        <v>0</v>
      </c>
      <c r="Z21" s="92" cm="1">
        <f t="array" ref="Z21">F21/Tablo27[LW1]*$C$45+Tablo314[[#This Row],[LW2]]/Tablo27[LW2]*$D$45+Tablo314[[#This Row],[LW3]]/Tablo27[LW3]*$E$45+Tablo314[[#This Row],[LW4]]/Tablo27[LW4]*$F$45+Tablo314[[#This Row],[LW5]]/Tablo27[LW5]*$G$45+Tablo314[[#This Row],[LW6]]/Tablo27[LW6]*$H$45+Tablo314[[#This Row],[LW7]]/Tablo27[LW7]*$I$45+Tablo314[[#This Row],[LW8]]/Tablo27[LW8]*$J$45+Tablo314[[#This Row],[LW9]]/Tablo27[LW9]*$K$45+Tablo314[[#This Row],[LW10]]/Tablo27[LW10]*$L$45+Tablo314[[#This Row],[LW11]]/Tablo27[LW11]*$M$45+Tablo314[[#This Row],[LW12]]/Tablo27[LW12]*$N$45+Tablo314[[#This Row],[LW13]]/Tablo27[LW13]*$O$45+Tablo314[[#This Row],[LW14]]/Tablo27[LW14]*$P$45</f>
        <v>0</v>
      </c>
      <c r="AA21" s="92" cm="1">
        <f t="array" ref="AA21">F21/Tablo27[LW1]*$C$46+Tablo314[[#This Row],[LW2]]/Tablo27[LW2]*$D$46+Tablo314[[#This Row],[LW3]]/Tablo27[LW3]*$E$46+Tablo314[[#This Row],[LW4]]/Tablo27[LW4]*$F$46+Tablo314[[#This Row],[LW5]]/Tablo27[LW5]*$G$46+Tablo314[[#This Row],[LW6]]/Tablo27[LW6]*$H$46+Tablo314[[#This Row],[LW7]]/Tablo27[LW7]*$I$46+Tablo314[[#This Row],[LW8]]/Tablo27[LW8]*$J$46+Tablo314[[#This Row],[LW9]]/Tablo27[LW9]*$K$46+Tablo314[[#This Row],[LW10]]/Tablo27[LW10]*$L$46+Tablo314[[#This Row],[LW11]]/Tablo27[LW11]*$M$46+Tablo314[[#This Row],[LW12]]/Tablo27[LW12]*$N$46+Tablo314[[#This Row],[LW13]]/Tablo27[LW13]*$O$46+Tablo314[[#This Row],[LW14]]/Tablo27[LW14]*$P$46</f>
        <v>0</v>
      </c>
      <c r="AB21" s="92" cm="1">
        <f t="array" ref="AB21">F21/Tablo27[LW1]*$C$47+Tablo314[[#This Row],[LW2]]/Tablo27[LW2]*$D$47+Tablo314[[#This Row],[LW3]]/Tablo27[LW3]*$E$47+Tablo314[[#This Row],[LW4]]/Tablo27[LW4]*$F$47+Tablo314[[#This Row],[LW5]]/Tablo27[LW5]*$G$47+Tablo314[[#This Row],[LW6]]/Tablo27[LW6]*$H$47+Tablo314[[#This Row],[LW7]]/Tablo27[LW7]*$I$47+Tablo314[[#This Row],[LW8]]/Tablo27[LW8]*$J$47+Tablo314[[#This Row],[LW9]]/Tablo27[LW9]*$K$47+Tablo314[[#This Row],[LW10]]/Tablo27[LW10]*$L$47+Tablo314[[#This Row],[LW11]]/Tablo27[LW11]*$M$47+Tablo314[[#This Row],[LW12]]/Tablo27[LW12]*$N$47+Tablo314[[#This Row],[LW13]]/Tablo27[LW13]*$O$47+Tablo314[[#This Row],[LW14]]/Tablo27[LW14]*$P$47</f>
        <v>0</v>
      </c>
      <c r="AC21" s="92" cm="1">
        <f t="array" ref="AC21">F21/Tablo27[LW1]*$C$48+Tablo314[[#This Row],[LW2]]/Tablo27[LW2]*$D$48+Tablo314[[#This Row],[LW3]]/Tablo27[LW3]*$E$48+Tablo314[[#This Row],[LW4]]/Tablo27[LW4]*$F$48+Tablo314[[#This Row],[LW5]]/Tablo27[LW5]*$G$48+Tablo314[[#This Row],[LW6]]/Tablo27[LW6]*$H$48+Tablo314[[#This Row],[LW7]]/Tablo27[LW7]*$I$48+Tablo314[[#This Row],[LW8]]/Tablo27[LW8]*$J$48+Tablo314[[#This Row],[LW9]]/Tablo27[LW9]*$K$48+Tablo314[[#This Row],[LW10]]/Tablo27[LW10]*$L$48+Tablo314[[#This Row],[LW11]]/Tablo27[LW11]*$M$48+Tablo314[[#This Row],[LW12]]/Tablo27[LW12]*$N$48+Tablo314[[#This Row],[LW13]]/Tablo27[LW13]*$O$48+Tablo314[[#This Row],[LW14]]/Tablo27[LW14]*$P$48</f>
        <v>0</v>
      </c>
      <c r="AD21" s="92" cm="1">
        <f t="array" ref="AD21">F21/Tablo27[LW1]*$C$49+Tablo314[[#This Row],[LW2]]/Tablo27[LW2]*$D$49+Tablo314[[#This Row],[LW3]]/Tablo27[LW3]*$E$49+Tablo314[[#This Row],[LW4]]/Tablo27[LW4]*$F$49+Tablo314[[#This Row],[LW5]]/Tablo27[LW5]*$G$49+Tablo314[[#This Row],[LW6]]/Tablo27[LW6]*$H$49+Tablo314[[#This Row],[LW7]]/Tablo27[LW7]*$I$49+Tablo314[[#This Row],[LW8]]/Tablo27[LW8]*$J$49+Tablo314[[#This Row],[LW9]]/Tablo27[LW9]*$K$49+Tablo314[[#This Row],[LW10]]/Tablo27[LW10]*$L$49+Tablo314[[#This Row],[LW11]]/Tablo27[LW11]*$M$49+Tablo314[[#This Row],[LW12]]/Tablo27[LW12]*$N$49+Tablo314[[#This Row],[LW13]]/Tablo27[LW13]*$O$49+Tablo314[[#This Row],[LW14]]/Tablo27[LW14]*$P$49</f>
        <v>0</v>
      </c>
      <c r="AE21" s="8">
        <f>SUM(Tablo314[[#This Row],[DÇ1]],Tablo314[[#This Row],[DÇ2]],Tablo314[[#This Row],[DÇ3]],Tablo314[[#This Row],[DÇ4]])</f>
        <v>96.5</v>
      </c>
      <c r="AF21" s="9" cm="1">
        <f t="array" ref="AF21">_xlfn.NORM.DIST(Tablo314[[#This Row],[TOTAL]],Tablo29[Mean],Tablo29[Variance],FALSE)</f>
        <v>3.9108553022914804E-3</v>
      </c>
    </row>
    <row r="22" spans="2:32" ht="15.6" thickTop="1" thickBot="1" x14ac:dyDescent="0.35">
      <c r="B22" s="93">
        <v>18</v>
      </c>
      <c r="C22" s="14">
        <v>21</v>
      </c>
      <c r="D22" s="61" t="s">
        <v>110</v>
      </c>
      <c r="E22" s="61" t="s">
        <v>111</v>
      </c>
      <c r="F22" s="5">
        <v>5</v>
      </c>
      <c r="G22" s="5">
        <v>0</v>
      </c>
      <c r="H22" s="5">
        <v>4</v>
      </c>
      <c r="I22" s="5">
        <v>1</v>
      </c>
      <c r="J22" s="5">
        <v>5</v>
      </c>
      <c r="K22" s="5">
        <v>3</v>
      </c>
      <c r="L22" s="5">
        <v>5</v>
      </c>
      <c r="M22" s="5">
        <v>3</v>
      </c>
      <c r="N22" s="5">
        <v>2</v>
      </c>
      <c r="O22" s="5">
        <v>3</v>
      </c>
      <c r="P22" s="5">
        <v>7</v>
      </c>
      <c r="Q22" s="5">
        <v>5</v>
      </c>
      <c r="R22" s="5">
        <v>1</v>
      </c>
      <c r="S22" s="5">
        <v>9</v>
      </c>
      <c r="T22" s="8">
        <f>SUM(Tablo314[[#This Row],[LW1]:[LW14]])</f>
        <v>53</v>
      </c>
      <c r="U22" s="8" cm="1">
        <f t="array" ref="U22">F22/Tablo27[LW1]*$C$40+Tablo314[[#This Row],[LW2]]/Tablo27[LW2]*$D$40+Tablo314[[#This Row],[LW3]]/Tablo27[LW3]*$E$40+Tablo314[[#This Row],[LW4]]/Tablo27[LW4]*$F$40+Tablo314[[#This Row],[LW5]]/Tablo27[LW5]*$G$40+Tablo314[[#This Row],[LW6]]/Tablo27[LW6]*$H$40+Tablo314[[#This Row],[LW7]]/Tablo27[LW7]*$I$40+Tablo314[[#This Row],[LW8]]/Tablo27[LW8]*$J$40+Tablo314[[#This Row],[LW9]]/Tablo27[LW9]*$K$40+Tablo314[[#This Row],[LW10]]/Tablo27[LW10]*$L$40+Tablo314[[#This Row],[LW11]]/Tablo27[LW11]*$M$40+Tablo314[[#This Row],[LW12]]/Tablo27[LW12]*$N$40+Tablo314[[#This Row],[LW13]]/Tablo27[LW13]*$O$40+Tablo314[[#This Row],[LW14]]/Tablo27[LW14]*$P$40</f>
        <v>17</v>
      </c>
      <c r="V22" s="8" cm="1">
        <f t="array" ref="V22">F22/Tablo27[LW1]*$C$41+Tablo314[[#This Row],[LW2]]/Tablo27[LW2]*$D$41+Tablo314[[#This Row],[LW3]]/Tablo27[LW3]*$E$41+Tablo314[[#This Row],[LW4]]/Tablo27[LW4]*$F$41+Tablo314[[#This Row],[LW5]]/Tablo27[LW5]*$G$41+Tablo314[[#This Row],[LW6]]/Tablo27[LW6]*$H$41+Tablo314[[#This Row],[LW7]]/Tablo27[LW7]*$I$41+Tablo314[[#This Row],[LW8]]/Tablo27[LW8]*$J$41+Tablo314[[#This Row],[LW9]]/Tablo27[LW9]*$K$41+Tablo314[[#This Row],[LW10]]/Tablo27[LW10]*$L$41+Tablo314[[#This Row],[LW11]]/Tablo27[LW11]*$M$41+Tablo314[[#This Row],[LW12]]/Tablo27[LW12]*$N$41+Tablo314[[#This Row],[LW13]]/Tablo27[LW13]*$O$41+Tablo314[[#This Row],[LW14]]/Tablo27[LW14]*$P$41</f>
        <v>22.5</v>
      </c>
      <c r="W22" s="8" cm="1">
        <f t="array" ref="W22">F22/Tablo27[LW1]*$C$42+Tablo314[[#This Row],[LW2]]/Tablo27[LW2]*$D$42+Tablo314[[#This Row],[LW3]]/Tablo27[LW3]*$E$42+Tablo314[[#This Row],[LW4]]/Tablo27[LW4]*$F$42+Tablo314[[#This Row],[LW5]]/Tablo27[LW5]*$G$42+Tablo314[[#This Row],[LW6]]/Tablo27[LW6]*$H$42+Tablo314[[#This Row],[LW7]]/Tablo27[LW7]*$I$42+Tablo314[[#This Row],[LW8]]/Tablo27[LW8]*$J$42+Tablo314[[#This Row],[LW9]]/Tablo27[LW9]*$K$42+Tablo314[[#This Row],[LW10]]/Tablo27[LW10]*$L$42+Tablo314[[#This Row],[LW11]]/Tablo27[LW11]*$M$42+Tablo314[[#This Row],[LW12]]/Tablo27[LW12]*$N$42+Tablo314[[#This Row],[LW13]]/Tablo27[LW13]*$O$42+Tablo314[[#This Row],[LW14]]/Tablo27[LW14]*$P$42</f>
        <v>29.5</v>
      </c>
      <c r="X22" s="8" cm="1">
        <f t="array" ref="X22">F22/Tablo27[LW1]*$C$43+Tablo314[[#This Row],[LW2]]/Tablo27[LW2]*$D$43+Tablo314[[#This Row],[LW3]]/Tablo27[LW3]*$E$43+Tablo314[[#This Row],[LW4]]/Tablo27[LW4]*$F$43+Tablo314[[#This Row],[LW5]]/Tablo27[LW5]*$G$43+Tablo314[[#This Row],[LW6]]/Tablo27[LW6]*$H$43+Tablo314[[#This Row],[LW7]]/Tablo27[LW7]*$I$43+Tablo314[[#This Row],[LW8]]/Tablo27[LW8]*$J$43+Tablo314[[#This Row],[LW9]]/Tablo27[LW9]*$K$43+Tablo314[[#This Row],[LW10]]/Tablo27[LW10]*$L$43+Tablo314[[#This Row],[LW11]]/Tablo27[LW11]*$M$43+Tablo314[[#This Row],[LW12]]/Tablo27[LW12]*$N$43+Tablo314[[#This Row],[LW13]]/Tablo27[LW13]*$O$43+Tablo314[[#This Row],[LW14]]/Tablo27[LW14]*$P$43</f>
        <v>30</v>
      </c>
      <c r="Y22" s="92" cm="1">
        <f t="array" ref="Y22">F22/Tablo27[LW1]*$C$44+Tablo314[[#This Row],[LW2]]/Tablo27[LW2]*$D$44+Tablo314[[#This Row],[LW3]]/Tablo27[LW3]*$E$44+Tablo314[[#This Row],[LW4]]/Tablo27[LW4]*$F$44+Tablo314[[#This Row],[LW5]]/Tablo27[LW5]*$G$44+Tablo314[[#This Row],[LW6]]/Tablo27[LW6]*$H$44+Tablo314[[#This Row],[LW7]]/Tablo27[LW7]*$I$44+Tablo314[[#This Row],[LW8]]/Tablo27[LW8]*$J$44+Tablo314[[#This Row],[LW9]]/Tablo27[LW9]*$K$44+Tablo314[[#This Row],[LW10]]/Tablo27[LW10]*$L$44+Tablo314[[#This Row],[LW11]]/Tablo27[LW11]*$M$44+Tablo314[[#This Row],[LW12]]/Tablo27[LW12]*$N$44+Tablo314[[#This Row],[LW13]]/Tablo27[LW13]*$O$44+Tablo314[[#This Row],[LW14]]/Tablo27[LW14]*$P$44</f>
        <v>0</v>
      </c>
      <c r="Z22" s="92" cm="1">
        <f t="array" ref="Z22">F22/Tablo27[LW1]*$C$45+Tablo314[[#This Row],[LW2]]/Tablo27[LW2]*$D$45+Tablo314[[#This Row],[LW3]]/Tablo27[LW3]*$E$45+Tablo314[[#This Row],[LW4]]/Tablo27[LW4]*$F$45+Tablo314[[#This Row],[LW5]]/Tablo27[LW5]*$G$45+Tablo314[[#This Row],[LW6]]/Tablo27[LW6]*$H$45+Tablo314[[#This Row],[LW7]]/Tablo27[LW7]*$I$45+Tablo314[[#This Row],[LW8]]/Tablo27[LW8]*$J$45+Tablo314[[#This Row],[LW9]]/Tablo27[LW9]*$K$45+Tablo314[[#This Row],[LW10]]/Tablo27[LW10]*$L$45+Tablo314[[#This Row],[LW11]]/Tablo27[LW11]*$M$45+Tablo314[[#This Row],[LW12]]/Tablo27[LW12]*$N$45+Tablo314[[#This Row],[LW13]]/Tablo27[LW13]*$O$45+Tablo314[[#This Row],[LW14]]/Tablo27[LW14]*$P$45</f>
        <v>0</v>
      </c>
      <c r="AA22" s="92" cm="1">
        <f t="array" ref="AA22">F22/Tablo27[LW1]*$C$46+Tablo314[[#This Row],[LW2]]/Tablo27[LW2]*$D$46+Tablo314[[#This Row],[LW3]]/Tablo27[LW3]*$E$46+Tablo314[[#This Row],[LW4]]/Tablo27[LW4]*$F$46+Tablo314[[#This Row],[LW5]]/Tablo27[LW5]*$G$46+Tablo314[[#This Row],[LW6]]/Tablo27[LW6]*$H$46+Tablo314[[#This Row],[LW7]]/Tablo27[LW7]*$I$46+Tablo314[[#This Row],[LW8]]/Tablo27[LW8]*$J$46+Tablo314[[#This Row],[LW9]]/Tablo27[LW9]*$K$46+Tablo314[[#This Row],[LW10]]/Tablo27[LW10]*$L$46+Tablo314[[#This Row],[LW11]]/Tablo27[LW11]*$M$46+Tablo314[[#This Row],[LW12]]/Tablo27[LW12]*$N$46+Tablo314[[#This Row],[LW13]]/Tablo27[LW13]*$O$46+Tablo314[[#This Row],[LW14]]/Tablo27[LW14]*$P$46</f>
        <v>0</v>
      </c>
      <c r="AB22" s="92" cm="1">
        <f t="array" ref="AB22">F22/Tablo27[LW1]*$C$47+Tablo314[[#This Row],[LW2]]/Tablo27[LW2]*$D$47+Tablo314[[#This Row],[LW3]]/Tablo27[LW3]*$E$47+Tablo314[[#This Row],[LW4]]/Tablo27[LW4]*$F$47+Tablo314[[#This Row],[LW5]]/Tablo27[LW5]*$G$47+Tablo314[[#This Row],[LW6]]/Tablo27[LW6]*$H$47+Tablo314[[#This Row],[LW7]]/Tablo27[LW7]*$I$47+Tablo314[[#This Row],[LW8]]/Tablo27[LW8]*$J$47+Tablo314[[#This Row],[LW9]]/Tablo27[LW9]*$K$47+Tablo314[[#This Row],[LW10]]/Tablo27[LW10]*$L$47+Tablo314[[#This Row],[LW11]]/Tablo27[LW11]*$M$47+Tablo314[[#This Row],[LW12]]/Tablo27[LW12]*$N$47+Tablo314[[#This Row],[LW13]]/Tablo27[LW13]*$O$47+Tablo314[[#This Row],[LW14]]/Tablo27[LW14]*$P$47</f>
        <v>0</v>
      </c>
      <c r="AC22" s="92" cm="1">
        <f t="array" ref="AC22">F22/Tablo27[LW1]*$C$48+Tablo314[[#This Row],[LW2]]/Tablo27[LW2]*$D$48+Tablo314[[#This Row],[LW3]]/Tablo27[LW3]*$E$48+Tablo314[[#This Row],[LW4]]/Tablo27[LW4]*$F$48+Tablo314[[#This Row],[LW5]]/Tablo27[LW5]*$G$48+Tablo314[[#This Row],[LW6]]/Tablo27[LW6]*$H$48+Tablo314[[#This Row],[LW7]]/Tablo27[LW7]*$I$48+Tablo314[[#This Row],[LW8]]/Tablo27[LW8]*$J$48+Tablo314[[#This Row],[LW9]]/Tablo27[LW9]*$K$48+Tablo314[[#This Row],[LW10]]/Tablo27[LW10]*$L$48+Tablo314[[#This Row],[LW11]]/Tablo27[LW11]*$M$48+Tablo314[[#This Row],[LW12]]/Tablo27[LW12]*$N$48+Tablo314[[#This Row],[LW13]]/Tablo27[LW13]*$O$48+Tablo314[[#This Row],[LW14]]/Tablo27[LW14]*$P$48</f>
        <v>0</v>
      </c>
      <c r="AD22" s="92" cm="1">
        <f t="array" ref="AD22">F22/Tablo27[LW1]*$C$49+Tablo314[[#This Row],[LW2]]/Tablo27[LW2]*$D$49+Tablo314[[#This Row],[LW3]]/Tablo27[LW3]*$E$49+Tablo314[[#This Row],[LW4]]/Tablo27[LW4]*$F$49+Tablo314[[#This Row],[LW5]]/Tablo27[LW5]*$G$49+Tablo314[[#This Row],[LW6]]/Tablo27[LW6]*$H$49+Tablo314[[#This Row],[LW7]]/Tablo27[LW7]*$I$49+Tablo314[[#This Row],[LW8]]/Tablo27[LW8]*$J$49+Tablo314[[#This Row],[LW9]]/Tablo27[LW9]*$K$49+Tablo314[[#This Row],[LW10]]/Tablo27[LW10]*$L$49+Tablo314[[#This Row],[LW11]]/Tablo27[LW11]*$M$49+Tablo314[[#This Row],[LW12]]/Tablo27[LW12]*$N$49+Tablo314[[#This Row],[LW13]]/Tablo27[LW13]*$O$49+Tablo314[[#This Row],[LW14]]/Tablo27[LW14]*$P$49</f>
        <v>0</v>
      </c>
      <c r="AE22" s="8">
        <f>SUM(Tablo314[[#This Row],[DÇ1]],Tablo314[[#This Row],[DÇ2]],Tablo314[[#This Row],[DÇ3]],Tablo314[[#This Row],[DÇ4]])</f>
        <v>99</v>
      </c>
      <c r="AF22" s="9" cm="1">
        <f t="array" ref="AF22">_xlfn.NORM.DIST(Tablo314[[#This Row],[TOTAL]],Tablo29[Mean],Tablo29[Variance],FALSE)</f>
        <v>3.9109805903843583E-3</v>
      </c>
    </row>
    <row r="23" spans="2:32" ht="15.6" thickTop="1" thickBot="1" x14ac:dyDescent="0.35">
      <c r="B23" s="91">
        <v>19</v>
      </c>
      <c r="C23" s="14">
        <v>6</v>
      </c>
      <c r="D23" s="61" t="s">
        <v>110</v>
      </c>
      <c r="E23" s="61" t="s">
        <v>111</v>
      </c>
      <c r="F23" s="5">
        <v>0</v>
      </c>
      <c r="G23" s="5">
        <v>3</v>
      </c>
      <c r="H23" s="5">
        <v>5</v>
      </c>
      <c r="I23" s="5">
        <v>0</v>
      </c>
      <c r="J23" s="5">
        <v>2</v>
      </c>
      <c r="K23" s="5">
        <v>8</v>
      </c>
      <c r="L23" s="5">
        <v>1</v>
      </c>
      <c r="M23" s="5">
        <v>4</v>
      </c>
      <c r="N23" s="5">
        <v>5</v>
      </c>
      <c r="O23" s="5">
        <v>0</v>
      </c>
      <c r="P23" s="5">
        <v>7</v>
      </c>
      <c r="Q23" s="5">
        <v>3</v>
      </c>
      <c r="R23" s="5">
        <v>2</v>
      </c>
      <c r="S23" s="5">
        <v>9</v>
      </c>
      <c r="T23" s="8">
        <f>SUM(Tablo314[[#This Row],[LW1]:[LW14]])</f>
        <v>49</v>
      </c>
      <c r="U23" s="8" cm="1">
        <f t="array" ref="U23">F23/Tablo27[LW1]*$C$40+Tablo314[[#This Row],[LW2]]/Tablo27[LW2]*$D$40+Tablo314[[#This Row],[LW3]]/Tablo27[LW3]*$E$40+Tablo314[[#This Row],[LW4]]/Tablo27[LW4]*$F$40+Tablo314[[#This Row],[LW5]]/Tablo27[LW5]*$G$40+Tablo314[[#This Row],[LW6]]/Tablo27[LW6]*$H$40+Tablo314[[#This Row],[LW7]]/Tablo27[LW7]*$I$40+Tablo314[[#This Row],[LW8]]/Tablo27[LW8]*$J$40+Tablo314[[#This Row],[LW9]]/Tablo27[LW9]*$K$40+Tablo314[[#This Row],[LW10]]/Tablo27[LW10]*$L$40+Tablo314[[#This Row],[LW11]]/Tablo27[LW11]*$M$40+Tablo314[[#This Row],[LW12]]/Tablo27[LW12]*$N$40+Tablo314[[#This Row],[LW13]]/Tablo27[LW13]*$O$40+Tablo314[[#This Row],[LW14]]/Tablo27[LW14]*$P$40</f>
        <v>16.5</v>
      </c>
      <c r="V23" s="8" cm="1">
        <f t="array" ref="V23">F23/Tablo27[LW1]*$C$41+Tablo314[[#This Row],[LW2]]/Tablo27[LW2]*$D$41+Tablo314[[#This Row],[LW3]]/Tablo27[LW3]*$E$41+Tablo314[[#This Row],[LW4]]/Tablo27[LW4]*$F$41+Tablo314[[#This Row],[LW5]]/Tablo27[LW5]*$G$41+Tablo314[[#This Row],[LW6]]/Tablo27[LW6]*$H$41+Tablo314[[#This Row],[LW7]]/Tablo27[LW7]*$I$41+Tablo314[[#This Row],[LW8]]/Tablo27[LW8]*$J$41+Tablo314[[#This Row],[LW9]]/Tablo27[LW9]*$K$41+Tablo314[[#This Row],[LW10]]/Tablo27[LW10]*$L$41+Tablo314[[#This Row],[LW11]]/Tablo27[LW11]*$M$41+Tablo314[[#This Row],[LW12]]/Tablo27[LW12]*$N$41+Tablo314[[#This Row],[LW13]]/Tablo27[LW13]*$O$41+Tablo314[[#This Row],[LW14]]/Tablo27[LW14]*$P$41</f>
        <v>23.5</v>
      </c>
      <c r="W23" s="8" cm="1">
        <f t="array" ref="W23">F23/Tablo27[LW1]*$C$42+Tablo314[[#This Row],[LW2]]/Tablo27[LW2]*$D$42+Tablo314[[#This Row],[LW3]]/Tablo27[LW3]*$E$42+Tablo314[[#This Row],[LW4]]/Tablo27[LW4]*$F$42+Tablo314[[#This Row],[LW5]]/Tablo27[LW5]*$G$42+Tablo314[[#This Row],[LW6]]/Tablo27[LW6]*$H$42+Tablo314[[#This Row],[LW7]]/Tablo27[LW7]*$I$42+Tablo314[[#This Row],[LW8]]/Tablo27[LW8]*$J$42+Tablo314[[#This Row],[LW9]]/Tablo27[LW9]*$K$42+Tablo314[[#This Row],[LW10]]/Tablo27[LW10]*$L$42+Tablo314[[#This Row],[LW11]]/Tablo27[LW11]*$M$42+Tablo314[[#This Row],[LW12]]/Tablo27[LW12]*$N$42+Tablo314[[#This Row],[LW13]]/Tablo27[LW13]*$O$42+Tablo314[[#This Row],[LW14]]/Tablo27[LW14]*$P$42</f>
        <v>27.5</v>
      </c>
      <c r="X23" s="8" cm="1">
        <f t="array" ref="X23">F23/Tablo27[LW1]*$C$43+Tablo314[[#This Row],[LW2]]/Tablo27[LW2]*$D$43+Tablo314[[#This Row],[LW3]]/Tablo27[LW3]*$E$43+Tablo314[[#This Row],[LW4]]/Tablo27[LW4]*$F$43+Tablo314[[#This Row],[LW5]]/Tablo27[LW5]*$G$43+Tablo314[[#This Row],[LW6]]/Tablo27[LW6]*$H$43+Tablo314[[#This Row],[LW7]]/Tablo27[LW7]*$I$43+Tablo314[[#This Row],[LW8]]/Tablo27[LW8]*$J$43+Tablo314[[#This Row],[LW9]]/Tablo27[LW9]*$K$43+Tablo314[[#This Row],[LW10]]/Tablo27[LW10]*$L$43+Tablo314[[#This Row],[LW11]]/Tablo27[LW11]*$M$43+Tablo314[[#This Row],[LW12]]/Tablo27[LW12]*$N$43+Tablo314[[#This Row],[LW13]]/Tablo27[LW13]*$O$43+Tablo314[[#This Row],[LW14]]/Tablo27[LW14]*$P$43</f>
        <v>26.5</v>
      </c>
      <c r="Y23" s="92" cm="1">
        <f t="array" ref="Y23">F23/Tablo27[LW1]*$C$44+Tablo314[[#This Row],[LW2]]/Tablo27[LW2]*$D$44+Tablo314[[#This Row],[LW3]]/Tablo27[LW3]*$E$44+Tablo314[[#This Row],[LW4]]/Tablo27[LW4]*$F$44+Tablo314[[#This Row],[LW5]]/Tablo27[LW5]*$G$44+Tablo314[[#This Row],[LW6]]/Tablo27[LW6]*$H$44+Tablo314[[#This Row],[LW7]]/Tablo27[LW7]*$I$44+Tablo314[[#This Row],[LW8]]/Tablo27[LW8]*$J$44+Tablo314[[#This Row],[LW9]]/Tablo27[LW9]*$K$44+Tablo314[[#This Row],[LW10]]/Tablo27[LW10]*$L$44+Tablo314[[#This Row],[LW11]]/Tablo27[LW11]*$M$44+Tablo314[[#This Row],[LW12]]/Tablo27[LW12]*$N$44+Tablo314[[#This Row],[LW13]]/Tablo27[LW13]*$O$44+Tablo314[[#This Row],[LW14]]/Tablo27[LW14]*$P$44</f>
        <v>0</v>
      </c>
      <c r="Z23" s="92" cm="1">
        <f t="array" ref="Z23">F23/Tablo27[LW1]*$C$45+Tablo314[[#This Row],[LW2]]/Tablo27[LW2]*$D$45+Tablo314[[#This Row],[LW3]]/Tablo27[LW3]*$E$45+Tablo314[[#This Row],[LW4]]/Tablo27[LW4]*$F$45+Tablo314[[#This Row],[LW5]]/Tablo27[LW5]*$G$45+Tablo314[[#This Row],[LW6]]/Tablo27[LW6]*$H$45+Tablo314[[#This Row],[LW7]]/Tablo27[LW7]*$I$45+Tablo314[[#This Row],[LW8]]/Tablo27[LW8]*$J$45+Tablo314[[#This Row],[LW9]]/Tablo27[LW9]*$K$45+Tablo314[[#This Row],[LW10]]/Tablo27[LW10]*$L$45+Tablo314[[#This Row],[LW11]]/Tablo27[LW11]*$M$45+Tablo314[[#This Row],[LW12]]/Tablo27[LW12]*$N$45+Tablo314[[#This Row],[LW13]]/Tablo27[LW13]*$O$45+Tablo314[[#This Row],[LW14]]/Tablo27[LW14]*$P$45</f>
        <v>0</v>
      </c>
      <c r="AA23" s="92" cm="1">
        <f t="array" ref="AA23">F23/Tablo27[LW1]*$C$46+Tablo314[[#This Row],[LW2]]/Tablo27[LW2]*$D$46+Tablo314[[#This Row],[LW3]]/Tablo27[LW3]*$E$46+Tablo314[[#This Row],[LW4]]/Tablo27[LW4]*$F$46+Tablo314[[#This Row],[LW5]]/Tablo27[LW5]*$G$46+Tablo314[[#This Row],[LW6]]/Tablo27[LW6]*$H$46+Tablo314[[#This Row],[LW7]]/Tablo27[LW7]*$I$46+Tablo314[[#This Row],[LW8]]/Tablo27[LW8]*$J$46+Tablo314[[#This Row],[LW9]]/Tablo27[LW9]*$K$46+Tablo314[[#This Row],[LW10]]/Tablo27[LW10]*$L$46+Tablo314[[#This Row],[LW11]]/Tablo27[LW11]*$M$46+Tablo314[[#This Row],[LW12]]/Tablo27[LW12]*$N$46+Tablo314[[#This Row],[LW13]]/Tablo27[LW13]*$O$46+Tablo314[[#This Row],[LW14]]/Tablo27[LW14]*$P$46</f>
        <v>0</v>
      </c>
      <c r="AB23" s="92" cm="1">
        <f t="array" ref="AB23">F23/Tablo27[LW1]*$C$47+Tablo314[[#This Row],[LW2]]/Tablo27[LW2]*$D$47+Tablo314[[#This Row],[LW3]]/Tablo27[LW3]*$E$47+Tablo314[[#This Row],[LW4]]/Tablo27[LW4]*$F$47+Tablo314[[#This Row],[LW5]]/Tablo27[LW5]*$G$47+Tablo314[[#This Row],[LW6]]/Tablo27[LW6]*$H$47+Tablo314[[#This Row],[LW7]]/Tablo27[LW7]*$I$47+Tablo314[[#This Row],[LW8]]/Tablo27[LW8]*$J$47+Tablo314[[#This Row],[LW9]]/Tablo27[LW9]*$K$47+Tablo314[[#This Row],[LW10]]/Tablo27[LW10]*$L$47+Tablo314[[#This Row],[LW11]]/Tablo27[LW11]*$M$47+Tablo314[[#This Row],[LW12]]/Tablo27[LW12]*$N$47+Tablo314[[#This Row],[LW13]]/Tablo27[LW13]*$O$47+Tablo314[[#This Row],[LW14]]/Tablo27[LW14]*$P$47</f>
        <v>0</v>
      </c>
      <c r="AC23" s="92" cm="1">
        <f t="array" ref="AC23">F23/Tablo27[LW1]*$C$48+Tablo314[[#This Row],[LW2]]/Tablo27[LW2]*$D$48+Tablo314[[#This Row],[LW3]]/Tablo27[LW3]*$E$48+Tablo314[[#This Row],[LW4]]/Tablo27[LW4]*$F$48+Tablo314[[#This Row],[LW5]]/Tablo27[LW5]*$G$48+Tablo314[[#This Row],[LW6]]/Tablo27[LW6]*$H$48+Tablo314[[#This Row],[LW7]]/Tablo27[LW7]*$I$48+Tablo314[[#This Row],[LW8]]/Tablo27[LW8]*$J$48+Tablo314[[#This Row],[LW9]]/Tablo27[LW9]*$K$48+Tablo314[[#This Row],[LW10]]/Tablo27[LW10]*$L$48+Tablo314[[#This Row],[LW11]]/Tablo27[LW11]*$M$48+Tablo314[[#This Row],[LW12]]/Tablo27[LW12]*$N$48+Tablo314[[#This Row],[LW13]]/Tablo27[LW13]*$O$48+Tablo314[[#This Row],[LW14]]/Tablo27[LW14]*$P$48</f>
        <v>0</v>
      </c>
      <c r="AD23" s="92" cm="1">
        <f t="array" ref="AD23">F23/Tablo27[LW1]*$C$49+Tablo314[[#This Row],[LW2]]/Tablo27[LW2]*$D$49+Tablo314[[#This Row],[LW3]]/Tablo27[LW3]*$E$49+Tablo314[[#This Row],[LW4]]/Tablo27[LW4]*$F$49+Tablo314[[#This Row],[LW5]]/Tablo27[LW5]*$G$49+Tablo314[[#This Row],[LW6]]/Tablo27[LW6]*$H$49+Tablo314[[#This Row],[LW7]]/Tablo27[LW7]*$I$49+Tablo314[[#This Row],[LW8]]/Tablo27[LW8]*$J$49+Tablo314[[#This Row],[LW9]]/Tablo27[LW9]*$K$49+Tablo314[[#This Row],[LW10]]/Tablo27[LW10]*$L$49+Tablo314[[#This Row],[LW11]]/Tablo27[LW11]*$M$49+Tablo314[[#This Row],[LW12]]/Tablo27[LW12]*$N$49+Tablo314[[#This Row],[LW13]]/Tablo27[LW13]*$O$49+Tablo314[[#This Row],[LW14]]/Tablo27[LW14]*$P$49</f>
        <v>0</v>
      </c>
      <c r="AE23" s="8">
        <f>SUM(Tablo314[[#This Row],[DÇ1]],Tablo314[[#This Row],[DÇ2]],Tablo314[[#This Row],[DÇ3]],Tablo314[[#This Row],[DÇ4]])</f>
        <v>94</v>
      </c>
      <c r="AF23" s="9" cm="1">
        <f t="array" ref="AF23">_xlfn.NORM.DIST(Tablo314[[#This Row],[TOTAL]],Tablo29[Mean],Tablo29[Variance],FALSE)</f>
        <v>3.9077244040548577E-3</v>
      </c>
    </row>
    <row r="24" spans="2:32" ht="15.6" thickTop="1" thickBot="1" x14ac:dyDescent="0.35">
      <c r="B24" s="93">
        <v>20</v>
      </c>
      <c r="C24" s="14">
        <v>9</v>
      </c>
      <c r="D24" s="61" t="s">
        <v>110</v>
      </c>
      <c r="E24" s="61" t="s">
        <v>111</v>
      </c>
      <c r="F24" s="5">
        <v>4</v>
      </c>
      <c r="G24" s="5">
        <v>5</v>
      </c>
      <c r="H24" s="5">
        <v>5</v>
      </c>
      <c r="I24" s="5">
        <v>5</v>
      </c>
      <c r="J24" s="5">
        <v>1</v>
      </c>
      <c r="K24" s="5">
        <v>4</v>
      </c>
      <c r="L24" s="5">
        <v>0</v>
      </c>
      <c r="M24" s="5">
        <v>5</v>
      </c>
      <c r="N24" s="5">
        <v>5</v>
      </c>
      <c r="O24" s="5">
        <v>7</v>
      </c>
      <c r="P24" s="5">
        <v>0</v>
      </c>
      <c r="Q24" s="5">
        <v>0</v>
      </c>
      <c r="R24" s="5">
        <v>7</v>
      </c>
      <c r="S24" s="5">
        <v>1</v>
      </c>
      <c r="T24" s="8">
        <f>SUM(Tablo314[[#This Row],[LW1]:[LW14]])</f>
        <v>49</v>
      </c>
      <c r="U24" s="8" cm="1">
        <f t="array" ref="U24">F24/Tablo27[LW1]*$C$40+Tablo314[[#This Row],[LW2]]/Tablo27[LW2]*$D$40+Tablo314[[#This Row],[LW3]]/Tablo27[LW3]*$E$40+Tablo314[[#This Row],[LW4]]/Tablo27[LW4]*$F$40+Tablo314[[#This Row],[LW5]]/Tablo27[LW5]*$G$40+Tablo314[[#This Row],[LW6]]/Tablo27[LW6]*$H$40+Tablo314[[#This Row],[LW7]]/Tablo27[LW7]*$I$40+Tablo314[[#This Row],[LW8]]/Tablo27[LW8]*$J$40+Tablo314[[#This Row],[LW9]]/Tablo27[LW9]*$K$40+Tablo314[[#This Row],[LW10]]/Tablo27[LW10]*$L$40+Tablo314[[#This Row],[LW11]]/Tablo27[LW11]*$M$40+Tablo314[[#This Row],[LW12]]/Tablo27[LW12]*$N$40+Tablo314[[#This Row],[LW13]]/Tablo27[LW13]*$O$40+Tablo314[[#This Row],[LW14]]/Tablo27[LW14]*$P$40</f>
        <v>16</v>
      </c>
      <c r="V24" s="8" cm="1">
        <f t="array" ref="V24">F24/Tablo27[LW1]*$C$41+Tablo314[[#This Row],[LW2]]/Tablo27[LW2]*$D$41+Tablo314[[#This Row],[LW3]]/Tablo27[LW3]*$E$41+Tablo314[[#This Row],[LW4]]/Tablo27[LW4]*$F$41+Tablo314[[#This Row],[LW5]]/Tablo27[LW5]*$G$41+Tablo314[[#This Row],[LW6]]/Tablo27[LW6]*$H$41+Tablo314[[#This Row],[LW7]]/Tablo27[LW7]*$I$41+Tablo314[[#This Row],[LW8]]/Tablo27[LW8]*$J$41+Tablo314[[#This Row],[LW9]]/Tablo27[LW9]*$K$41+Tablo314[[#This Row],[LW10]]/Tablo27[LW10]*$L$41+Tablo314[[#This Row],[LW11]]/Tablo27[LW11]*$M$41+Tablo314[[#This Row],[LW12]]/Tablo27[LW12]*$N$41+Tablo314[[#This Row],[LW13]]/Tablo27[LW13]*$O$41+Tablo314[[#This Row],[LW14]]/Tablo27[LW14]*$P$41</f>
        <v>21.5</v>
      </c>
      <c r="W24" s="8" cm="1">
        <f t="array" ref="W24">F24/Tablo27[LW1]*$C$42+Tablo314[[#This Row],[LW2]]/Tablo27[LW2]*$D$42+Tablo314[[#This Row],[LW3]]/Tablo27[LW3]*$E$42+Tablo314[[#This Row],[LW4]]/Tablo27[LW4]*$F$42+Tablo314[[#This Row],[LW5]]/Tablo27[LW5]*$G$42+Tablo314[[#This Row],[LW6]]/Tablo27[LW6]*$H$42+Tablo314[[#This Row],[LW7]]/Tablo27[LW7]*$I$42+Tablo314[[#This Row],[LW8]]/Tablo27[LW8]*$J$42+Tablo314[[#This Row],[LW9]]/Tablo27[LW9]*$K$42+Tablo314[[#This Row],[LW10]]/Tablo27[LW10]*$L$42+Tablo314[[#This Row],[LW11]]/Tablo27[LW11]*$M$42+Tablo314[[#This Row],[LW12]]/Tablo27[LW12]*$N$42+Tablo314[[#This Row],[LW13]]/Tablo27[LW13]*$O$42+Tablo314[[#This Row],[LW14]]/Tablo27[LW14]*$P$42</f>
        <v>24</v>
      </c>
      <c r="X24" s="8" cm="1">
        <f t="array" ref="X24">F24/Tablo27[LW1]*$C$43+Tablo314[[#This Row],[LW2]]/Tablo27[LW2]*$D$43+Tablo314[[#This Row],[LW3]]/Tablo27[LW3]*$E$43+Tablo314[[#This Row],[LW4]]/Tablo27[LW4]*$F$43+Tablo314[[#This Row],[LW5]]/Tablo27[LW5]*$G$43+Tablo314[[#This Row],[LW6]]/Tablo27[LW6]*$H$43+Tablo314[[#This Row],[LW7]]/Tablo27[LW7]*$I$43+Tablo314[[#This Row],[LW8]]/Tablo27[LW8]*$J$43+Tablo314[[#This Row],[LW9]]/Tablo27[LW9]*$K$43+Tablo314[[#This Row],[LW10]]/Tablo27[LW10]*$L$43+Tablo314[[#This Row],[LW11]]/Tablo27[LW11]*$M$43+Tablo314[[#This Row],[LW12]]/Tablo27[LW12]*$N$43+Tablo314[[#This Row],[LW13]]/Tablo27[LW13]*$O$43+Tablo314[[#This Row],[LW14]]/Tablo27[LW14]*$P$43</f>
        <v>25.5</v>
      </c>
      <c r="Y24" s="92" cm="1">
        <f t="array" ref="Y24">F24/Tablo27[LW1]*$C$44+Tablo314[[#This Row],[LW2]]/Tablo27[LW2]*$D$44+Tablo314[[#This Row],[LW3]]/Tablo27[LW3]*$E$44+Tablo314[[#This Row],[LW4]]/Tablo27[LW4]*$F$44+Tablo314[[#This Row],[LW5]]/Tablo27[LW5]*$G$44+Tablo314[[#This Row],[LW6]]/Tablo27[LW6]*$H$44+Tablo314[[#This Row],[LW7]]/Tablo27[LW7]*$I$44+Tablo314[[#This Row],[LW8]]/Tablo27[LW8]*$J$44+Tablo314[[#This Row],[LW9]]/Tablo27[LW9]*$K$44+Tablo314[[#This Row],[LW10]]/Tablo27[LW10]*$L$44+Tablo314[[#This Row],[LW11]]/Tablo27[LW11]*$M$44+Tablo314[[#This Row],[LW12]]/Tablo27[LW12]*$N$44+Tablo314[[#This Row],[LW13]]/Tablo27[LW13]*$O$44+Tablo314[[#This Row],[LW14]]/Tablo27[LW14]*$P$44</f>
        <v>0</v>
      </c>
      <c r="Z24" s="92" cm="1">
        <f t="array" ref="Z24">F24/Tablo27[LW1]*$C$45+Tablo314[[#This Row],[LW2]]/Tablo27[LW2]*$D$45+Tablo314[[#This Row],[LW3]]/Tablo27[LW3]*$E$45+Tablo314[[#This Row],[LW4]]/Tablo27[LW4]*$F$45+Tablo314[[#This Row],[LW5]]/Tablo27[LW5]*$G$45+Tablo314[[#This Row],[LW6]]/Tablo27[LW6]*$H$45+Tablo314[[#This Row],[LW7]]/Tablo27[LW7]*$I$45+Tablo314[[#This Row],[LW8]]/Tablo27[LW8]*$J$45+Tablo314[[#This Row],[LW9]]/Tablo27[LW9]*$K$45+Tablo314[[#This Row],[LW10]]/Tablo27[LW10]*$L$45+Tablo314[[#This Row],[LW11]]/Tablo27[LW11]*$M$45+Tablo314[[#This Row],[LW12]]/Tablo27[LW12]*$N$45+Tablo314[[#This Row],[LW13]]/Tablo27[LW13]*$O$45+Tablo314[[#This Row],[LW14]]/Tablo27[LW14]*$P$45</f>
        <v>0</v>
      </c>
      <c r="AA24" s="92" cm="1">
        <f t="array" ref="AA24">F24/Tablo27[LW1]*$C$46+Tablo314[[#This Row],[LW2]]/Tablo27[LW2]*$D$46+Tablo314[[#This Row],[LW3]]/Tablo27[LW3]*$E$46+Tablo314[[#This Row],[LW4]]/Tablo27[LW4]*$F$46+Tablo314[[#This Row],[LW5]]/Tablo27[LW5]*$G$46+Tablo314[[#This Row],[LW6]]/Tablo27[LW6]*$H$46+Tablo314[[#This Row],[LW7]]/Tablo27[LW7]*$I$46+Tablo314[[#This Row],[LW8]]/Tablo27[LW8]*$J$46+Tablo314[[#This Row],[LW9]]/Tablo27[LW9]*$K$46+Tablo314[[#This Row],[LW10]]/Tablo27[LW10]*$L$46+Tablo314[[#This Row],[LW11]]/Tablo27[LW11]*$M$46+Tablo314[[#This Row],[LW12]]/Tablo27[LW12]*$N$46+Tablo314[[#This Row],[LW13]]/Tablo27[LW13]*$O$46+Tablo314[[#This Row],[LW14]]/Tablo27[LW14]*$P$46</f>
        <v>0</v>
      </c>
      <c r="AB24" s="92" cm="1">
        <f t="array" ref="AB24">F24/Tablo27[LW1]*$C$47+Tablo314[[#This Row],[LW2]]/Tablo27[LW2]*$D$47+Tablo314[[#This Row],[LW3]]/Tablo27[LW3]*$E$47+Tablo314[[#This Row],[LW4]]/Tablo27[LW4]*$F$47+Tablo314[[#This Row],[LW5]]/Tablo27[LW5]*$G$47+Tablo314[[#This Row],[LW6]]/Tablo27[LW6]*$H$47+Tablo314[[#This Row],[LW7]]/Tablo27[LW7]*$I$47+Tablo314[[#This Row],[LW8]]/Tablo27[LW8]*$J$47+Tablo314[[#This Row],[LW9]]/Tablo27[LW9]*$K$47+Tablo314[[#This Row],[LW10]]/Tablo27[LW10]*$L$47+Tablo314[[#This Row],[LW11]]/Tablo27[LW11]*$M$47+Tablo314[[#This Row],[LW12]]/Tablo27[LW12]*$N$47+Tablo314[[#This Row],[LW13]]/Tablo27[LW13]*$O$47+Tablo314[[#This Row],[LW14]]/Tablo27[LW14]*$P$47</f>
        <v>0</v>
      </c>
      <c r="AC24" s="92" cm="1">
        <f t="array" ref="AC24">F24/Tablo27[LW1]*$C$48+Tablo314[[#This Row],[LW2]]/Tablo27[LW2]*$D$48+Tablo314[[#This Row],[LW3]]/Tablo27[LW3]*$E$48+Tablo314[[#This Row],[LW4]]/Tablo27[LW4]*$F$48+Tablo314[[#This Row],[LW5]]/Tablo27[LW5]*$G$48+Tablo314[[#This Row],[LW6]]/Tablo27[LW6]*$H$48+Tablo314[[#This Row],[LW7]]/Tablo27[LW7]*$I$48+Tablo314[[#This Row],[LW8]]/Tablo27[LW8]*$J$48+Tablo314[[#This Row],[LW9]]/Tablo27[LW9]*$K$48+Tablo314[[#This Row],[LW10]]/Tablo27[LW10]*$L$48+Tablo314[[#This Row],[LW11]]/Tablo27[LW11]*$M$48+Tablo314[[#This Row],[LW12]]/Tablo27[LW12]*$N$48+Tablo314[[#This Row],[LW13]]/Tablo27[LW13]*$O$48+Tablo314[[#This Row],[LW14]]/Tablo27[LW14]*$P$48</f>
        <v>0</v>
      </c>
      <c r="AD24" s="92" cm="1">
        <f t="array" ref="AD24">F24/Tablo27[LW1]*$C$49+Tablo314[[#This Row],[LW2]]/Tablo27[LW2]*$D$49+Tablo314[[#This Row],[LW3]]/Tablo27[LW3]*$E$49+Tablo314[[#This Row],[LW4]]/Tablo27[LW4]*$F$49+Tablo314[[#This Row],[LW5]]/Tablo27[LW5]*$G$49+Tablo314[[#This Row],[LW6]]/Tablo27[LW6]*$H$49+Tablo314[[#This Row],[LW7]]/Tablo27[LW7]*$I$49+Tablo314[[#This Row],[LW8]]/Tablo27[LW8]*$J$49+Tablo314[[#This Row],[LW9]]/Tablo27[LW9]*$K$49+Tablo314[[#This Row],[LW10]]/Tablo27[LW10]*$L$49+Tablo314[[#This Row],[LW11]]/Tablo27[LW11]*$M$49+Tablo314[[#This Row],[LW12]]/Tablo27[LW12]*$N$49+Tablo314[[#This Row],[LW13]]/Tablo27[LW13]*$O$49+Tablo314[[#This Row],[LW14]]/Tablo27[LW14]*$P$49</f>
        <v>0</v>
      </c>
      <c r="AE24" s="8">
        <f>SUM(Tablo314[[#This Row],[DÇ1]],Tablo314[[#This Row],[DÇ2]],Tablo314[[#This Row],[DÇ3]],Tablo314[[#This Row],[DÇ4]])</f>
        <v>87</v>
      </c>
      <c r="AF24" s="9" cm="1">
        <f t="array" ref="AF24">_xlfn.NORM.DIST(Tablo314[[#This Row],[TOTAL]],Tablo29[Mean],Tablo29[Variance],FALSE)</f>
        <v>3.9077244040548577E-3</v>
      </c>
    </row>
    <row r="25" spans="2:32" ht="15.6" thickTop="1" thickBot="1" x14ac:dyDescent="0.35">
      <c r="B25" s="91">
        <v>21</v>
      </c>
      <c r="C25" s="14">
        <v>18</v>
      </c>
      <c r="D25" s="61" t="s">
        <v>110</v>
      </c>
      <c r="E25" s="61" t="s">
        <v>111</v>
      </c>
      <c r="F25" s="5">
        <v>5</v>
      </c>
      <c r="G25" s="5">
        <v>1</v>
      </c>
      <c r="H25" s="5">
        <v>5</v>
      </c>
      <c r="I25" s="5">
        <v>5</v>
      </c>
      <c r="J25" s="5">
        <v>5</v>
      </c>
      <c r="K25" s="5">
        <v>6</v>
      </c>
      <c r="L25" s="5">
        <v>5</v>
      </c>
      <c r="M25" s="5">
        <v>2</v>
      </c>
      <c r="N25" s="5">
        <v>3</v>
      </c>
      <c r="O25" s="5">
        <v>3</v>
      </c>
      <c r="P25" s="5">
        <v>1</v>
      </c>
      <c r="Q25" s="5">
        <v>2</v>
      </c>
      <c r="R25" s="5">
        <v>2</v>
      </c>
      <c r="S25" s="5">
        <v>4</v>
      </c>
      <c r="T25" s="8">
        <f>SUM(Tablo314[[#This Row],[LW1]:[LW14]])</f>
        <v>49</v>
      </c>
      <c r="U25" s="8" cm="1">
        <f t="array" ref="U25">F25/Tablo27[LW1]*$C$40+Tablo314[[#This Row],[LW2]]/Tablo27[LW2]*$D$40+Tablo314[[#This Row],[LW3]]/Tablo27[LW3]*$E$40+Tablo314[[#This Row],[LW4]]/Tablo27[LW4]*$F$40+Tablo314[[#This Row],[LW5]]/Tablo27[LW5]*$G$40+Tablo314[[#This Row],[LW6]]/Tablo27[LW6]*$H$40+Tablo314[[#This Row],[LW7]]/Tablo27[LW7]*$I$40+Tablo314[[#This Row],[LW8]]/Tablo27[LW8]*$J$40+Tablo314[[#This Row],[LW9]]/Tablo27[LW9]*$K$40+Tablo314[[#This Row],[LW10]]/Tablo27[LW10]*$L$40+Tablo314[[#This Row],[LW11]]/Tablo27[LW11]*$M$40+Tablo314[[#This Row],[LW12]]/Tablo27[LW12]*$N$40+Tablo314[[#This Row],[LW13]]/Tablo27[LW13]*$O$40+Tablo314[[#This Row],[LW14]]/Tablo27[LW14]*$P$40</f>
        <v>15.5</v>
      </c>
      <c r="V25" s="8" cm="1">
        <f t="array" ref="V25">F25/Tablo27[LW1]*$C$41+Tablo314[[#This Row],[LW2]]/Tablo27[LW2]*$D$41+Tablo314[[#This Row],[LW3]]/Tablo27[LW3]*$E$41+Tablo314[[#This Row],[LW4]]/Tablo27[LW4]*$F$41+Tablo314[[#This Row],[LW5]]/Tablo27[LW5]*$G$41+Tablo314[[#This Row],[LW6]]/Tablo27[LW6]*$H$41+Tablo314[[#This Row],[LW7]]/Tablo27[LW7]*$I$41+Tablo314[[#This Row],[LW8]]/Tablo27[LW8]*$J$41+Tablo314[[#This Row],[LW9]]/Tablo27[LW9]*$K$41+Tablo314[[#This Row],[LW10]]/Tablo27[LW10]*$L$41+Tablo314[[#This Row],[LW11]]/Tablo27[LW11]*$M$41+Tablo314[[#This Row],[LW12]]/Tablo27[LW12]*$N$41+Tablo314[[#This Row],[LW13]]/Tablo27[LW13]*$O$41+Tablo314[[#This Row],[LW14]]/Tablo27[LW14]*$P$41</f>
        <v>24</v>
      </c>
      <c r="W25" s="8" cm="1">
        <f t="array" ref="W25">F25/Tablo27[LW1]*$C$42+Tablo314[[#This Row],[LW2]]/Tablo27[LW2]*$D$42+Tablo314[[#This Row],[LW3]]/Tablo27[LW3]*$E$42+Tablo314[[#This Row],[LW4]]/Tablo27[LW4]*$F$42+Tablo314[[#This Row],[LW5]]/Tablo27[LW5]*$G$42+Tablo314[[#This Row],[LW6]]/Tablo27[LW6]*$H$42+Tablo314[[#This Row],[LW7]]/Tablo27[LW7]*$I$42+Tablo314[[#This Row],[LW8]]/Tablo27[LW8]*$J$42+Tablo314[[#This Row],[LW9]]/Tablo27[LW9]*$K$42+Tablo314[[#This Row],[LW10]]/Tablo27[LW10]*$L$42+Tablo314[[#This Row],[LW11]]/Tablo27[LW11]*$M$42+Tablo314[[#This Row],[LW12]]/Tablo27[LW12]*$N$42+Tablo314[[#This Row],[LW13]]/Tablo27[LW13]*$O$42+Tablo314[[#This Row],[LW14]]/Tablo27[LW14]*$P$42</f>
        <v>25</v>
      </c>
      <c r="X25" s="8" cm="1">
        <f t="array" ref="X25">F25/Tablo27[LW1]*$C$43+Tablo314[[#This Row],[LW2]]/Tablo27[LW2]*$D$43+Tablo314[[#This Row],[LW3]]/Tablo27[LW3]*$E$43+Tablo314[[#This Row],[LW4]]/Tablo27[LW4]*$F$43+Tablo314[[#This Row],[LW5]]/Tablo27[LW5]*$G$43+Tablo314[[#This Row],[LW6]]/Tablo27[LW6]*$H$43+Tablo314[[#This Row],[LW7]]/Tablo27[LW7]*$I$43+Tablo314[[#This Row],[LW8]]/Tablo27[LW8]*$J$43+Tablo314[[#This Row],[LW9]]/Tablo27[LW9]*$K$43+Tablo314[[#This Row],[LW10]]/Tablo27[LW10]*$L$43+Tablo314[[#This Row],[LW11]]/Tablo27[LW11]*$M$43+Tablo314[[#This Row],[LW12]]/Tablo27[LW12]*$N$43+Tablo314[[#This Row],[LW13]]/Tablo27[LW13]*$O$43+Tablo314[[#This Row],[LW14]]/Tablo27[LW14]*$P$43</f>
        <v>29</v>
      </c>
      <c r="Y25" s="92" cm="1">
        <f t="array" ref="Y25">F25/Tablo27[LW1]*$C$44+Tablo314[[#This Row],[LW2]]/Tablo27[LW2]*$D$44+Tablo314[[#This Row],[LW3]]/Tablo27[LW3]*$E$44+Tablo314[[#This Row],[LW4]]/Tablo27[LW4]*$F$44+Tablo314[[#This Row],[LW5]]/Tablo27[LW5]*$G$44+Tablo314[[#This Row],[LW6]]/Tablo27[LW6]*$H$44+Tablo314[[#This Row],[LW7]]/Tablo27[LW7]*$I$44+Tablo314[[#This Row],[LW8]]/Tablo27[LW8]*$J$44+Tablo314[[#This Row],[LW9]]/Tablo27[LW9]*$K$44+Tablo314[[#This Row],[LW10]]/Tablo27[LW10]*$L$44+Tablo314[[#This Row],[LW11]]/Tablo27[LW11]*$M$44+Tablo314[[#This Row],[LW12]]/Tablo27[LW12]*$N$44+Tablo314[[#This Row],[LW13]]/Tablo27[LW13]*$O$44+Tablo314[[#This Row],[LW14]]/Tablo27[LW14]*$P$44</f>
        <v>0</v>
      </c>
      <c r="Z25" s="92" cm="1">
        <f t="array" ref="Z25">F25/Tablo27[LW1]*$C$45+Tablo314[[#This Row],[LW2]]/Tablo27[LW2]*$D$45+Tablo314[[#This Row],[LW3]]/Tablo27[LW3]*$E$45+Tablo314[[#This Row],[LW4]]/Tablo27[LW4]*$F$45+Tablo314[[#This Row],[LW5]]/Tablo27[LW5]*$G$45+Tablo314[[#This Row],[LW6]]/Tablo27[LW6]*$H$45+Tablo314[[#This Row],[LW7]]/Tablo27[LW7]*$I$45+Tablo314[[#This Row],[LW8]]/Tablo27[LW8]*$J$45+Tablo314[[#This Row],[LW9]]/Tablo27[LW9]*$K$45+Tablo314[[#This Row],[LW10]]/Tablo27[LW10]*$L$45+Tablo314[[#This Row],[LW11]]/Tablo27[LW11]*$M$45+Tablo314[[#This Row],[LW12]]/Tablo27[LW12]*$N$45+Tablo314[[#This Row],[LW13]]/Tablo27[LW13]*$O$45+Tablo314[[#This Row],[LW14]]/Tablo27[LW14]*$P$45</f>
        <v>0</v>
      </c>
      <c r="AA25" s="92" cm="1">
        <f t="array" ref="AA25">F25/Tablo27[LW1]*$C$46+Tablo314[[#This Row],[LW2]]/Tablo27[LW2]*$D$46+Tablo314[[#This Row],[LW3]]/Tablo27[LW3]*$E$46+Tablo314[[#This Row],[LW4]]/Tablo27[LW4]*$F$46+Tablo314[[#This Row],[LW5]]/Tablo27[LW5]*$G$46+Tablo314[[#This Row],[LW6]]/Tablo27[LW6]*$H$46+Tablo314[[#This Row],[LW7]]/Tablo27[LW7]*$I$46+Tablo314[[#This Row],[LW8]]/Tablo27[LW8]*$J$46+Tablo314[[#This Row],[LW9]]/Tablo27[LW9]*$K$46+Tablo314[[#This Row],[LW10]]/Tablo27[LW10]*$L$46+Tablo314[[#This Row],[LW11]]/Tablo27[LW11]*$M$46+Tablo314[[#This Row],[LW12]]/Tablo27[LW12]*$N$46+Tablo314[[#This Row],[LW13]]/Tablo27[LW13]*$O$46+Tablo314[[#This Row],[LW14]]/Tablo27[LW14]*$P$46</f>
        <v>0</v>
      </c>
      <c r="AB25" s="92" cm="1">
        <f t="array" ref="AB25">F25/Tablo27[LW1]*$C$47+Tablo314[[#This Row],[LW2]]/Tablo27[LW2]*$D$47+Tablo314[[#This Row],[LW3]]/Tablo27[LW3]*$E$47+Tablo314[[#This Row],[LW4]]/Tablo27[LW4]*$F$47+Tablo314[[#This Row],[LW5]]/Tablo27[LW5]*$G$47+Tablo314[[#This Row],[LW6]]/Tablo27[LW6]*$H$47+Tablo314[[#This Row],[LW7]]/Tablo27[LW7]*$I$47+Tablo314[[#This Row],[LW8]]/Tablo27[LW8]*$J$47+Tablo314[[#This Row],[LW9]]/Tablo27[LW9]*$K$47+Tablo314[[#This Row],[LW10]]/Tablo27[LW10]*$L$47+Tablo314[[#This Row],[LW11]]/Tablo27[LW11]*$M$47+Tablo314[[#This Row],[LW12]]/Tablo27[LW12]*$N$47+Tablo314[[#This Row],[LW13]]/Tablo27[LW13]*$O$47+Tablo314[[#This Row],[LW14]]/Tablo27[LW14]*$P$47</f>
        <v>0</v>
      </c>
      <c r="AC25" s="92" cm="1">
        <f t="array" ref="AC25">F25/Tablo27[LW1]*$C$48+Tablo314[[#This Row],[LW2]]/Tablo27[LW2]*$D$48+Tablo314[[#This Row],[LW3]]/Tablo27[LW3]*$E$48+Tablo314[[#This Row],[LW4]]/Tablo27[LW4]*$F$48+Tablo314[[#This Row],[LW5]]/Tablo27[LW5]*$G$48+Tablo314[[#This Row],[LW6]]/Tablo27[LW6]*$H$48+Tablo314[[#This Row],[LW7]]/Tablo27[LW7]*$I$48+Tablo314[[#This Row],[LW8]]/Tablo27[LW8]*$J$48+Tablo314[[#This Row],[LW9]]/Tablo27[LW9]*$K$48+Tablo314[[#This Row],[LW10]]/Tablo27[LW10]*$L$48+Tablo314[[#This Row],[LW11]]/Tablo27[LW11]*$M$48+Tablo314[[#This Row],[LW12]]/Tablo27[LW12]*$N$48+Tablo314[[#This Row],[LW13]]/Tablo27[LW13]*$O$48+Tablo314[[#This Row],[LW14]]/Tablo27[LW14]*$P$48</f>
        <v>0</v>
      </c>
      <c r="AD25" s="92" cm="1">
        <f t="array" ref="AD25">F25/Tablo27[LW1]*$C$49+Tablo314[[#This Row],[LW2]]/Tablo27[LW2]*$D$49+Tablo314[[#This Row],[LW3]]/Tablo27[LW3]*$E$49+Tablo314[[#This Row],[LW4]]/Tablo27[LW4]*$F$49+Tablo314[[#This Row],[LW5]]/Tablo27[LW5]*$G$49+Tablo314[[#This Row],[LW6]]/Tablo27[LW6]*$H$49+Tablo314[[#This Row],[LW7]]/Tablo27[LW7]*$I$49+Tablo314[[#This Row],[LW8]]/Tablo27[LW8]*$J$49+Tablo314[[#This Row],[LW9]]/Tablo27[LW9]*$K$49+Tablo314[[#This Row],[LW10]]/Tablo27[LW10]*$L$49+Tablo314[[#This Row],[LW11]]/Tablo27[LW11]*$M$49+Tablo314[[#This Row],[LW12]]/Tablo27[LW12]*$N$49+Tablo314[[#This Row],[LW13]]/Tablo27[LW13]*$O$49+Tablo314[[#This Row],[LW14]]/Tablo27[LW14]*$P$49</f>
        <v>0</v>
      </c>
      <c r="AE25" s="8">
        <f>SUM(Tablo314[[#This Row],[DÇ1]],Tablo314[[#This Row],[DÇ2]],Tablo314[[#This Row],[DÇ3]],Tablo314[[#This Row],[DÇ4]])</f>
        <v>93.5</v>
      </c>
      <c r="AF25" s="9" cm="1">
        <f t="array" ref="AF25">_xlfn.NORM.DIST(Tablo314[[#This Row],[TOTAL]],Tablo29[Mean],Tablo29[Variance],FALSE)</f>
        <v>3.9077244040548577E-3</v>
      </c>
    </row>
    <row r="26" spans="2:32" ht="15.6" thickTop="1" thickBot="1" x14ac:dyDescent="0.35">
      <c r="B26" s="93">
        <v>22</v>
      </c>
      <c r="C26" s="14">
        <v>29</v>
      </c>
      <c r="D26" s="61" t="s">
        <v>110</v>
      </c>
      <c r="E26" s="61" t="s">
        <v>111</v>
      </c>
      <c r="F26" s="5">
        <v>0</v>
      </c>
      <c r="G26" s="5">
        <v>5</v>
      </c>
      <c r="H26" s="5">
        <v>1</v>
      </c>
      <c r="I26" s="5">
        <v>0</v>
      </c>
      <c r="J26" s="5">
        <v>5</v>
      </c>
      <c r="K26" s="5">
        <v>1</v>
      </c>
      <c r="L26" s="5">
        <v>3</v>
      </c>
      <c r="M26" s="5">
        <v>5</v>
      </c>
      <c r="N26" s="5">
        <v>5</v>
      </c>
      <c r="O26" s="5">
        <v>6</v>
      </c>
      <c r="P26" s="5">
        <v>4</v>
      </c>
      <c r="Q26" s="5">
        <v>1</v>
      </c>
      <c r="R26" s="5">
        <v>4</v>
      </c>
      <c r="S26" s="5">
        <v>7</v>
      </c>
      <c r="T26" s="8">
        <f>SUM(Tablo314[[#This Row],[LW1]:[LW14]])</f>
        <v>47</v>
      </c>
      <c r="U26" s="8" cm="1">
        <f t="array" ref="U26">F26/Tablo27[LW1]*$C$40+Tablo314[[#This Row],[LW2]]/Tablo27[LW2]*$D$40+Tablo314[[#This Row],[LW3]]/Tablo27[LW3]*$E$40+Tablo314[[#This Row],[LW4]]/Tablo27[LW4]*$F$40+Tablo314[[#This Row],[LW5]]/Tablo27[LW5]*$G$40+Tablo314[[#This Row],[LW6]]/Tablo27[LW6]*$H$40+Tablo314[[#This Row],[LW7]]/Tablo27[LW7]*$I$40+Tablo314[[#This Row],[LW8]]/Tablo27[LW8]*$J$40+Tablo314[[#This Row],[LW9]]/Tablo27[LW9]*$K$40+Tablo314[[#This Row],[LW10]]/Tablo27[LW10]*$L$40+Tablo314[[#This Row],[LW11]]/Tablo27[LW11]*$M$40+Tablo314[[#This Row],[LW12]]/Tablo27[LW12]*$N$40+Tablo314[[#This Row],[LW13]]/Tablo27[LW13]*$O$40+Tablo314[[#This Row],[LW14]]/Tablo27[LW14]*$P$40</f>
        <v>8.5</v>
      </c>
      <c r="V26" s="8" cm="1">
        <f t="array" ref="V26">F26/Tablo27[LW1]*$C$41+Tablo314[[#This Row],[LW2]]/Tablo27[LW2]*$D$41+Tablo314[[#This Row],[LW3]]/Tablo27[LW3]*$E$41+Tablo314[[#This Row],[LW4]]/Tablo27[LW4]*$F$41+Tablo314[[#This Row],[LW5]]/Tablo27[LW5]*$G$41+Tablo314[[#This Row],[LW6]]/Tablo27[LW6]*$H$41+Tablo314[[#This Row],[LW7]]/Tablo27[LW7]*$I$41+Tablo314[[#This Row],[LW8]]/Tablo27[LW8]*$J$41+Tablo314[[#This Row],[LW9]]/Tablo27[LW9]*$K$41+Tablo314[[#This Row],[LW10]]/Tablo27[LW10]*$L$41+Tablo314[[#This Row],[LW11]]/Tablo27[LW11]*$M$41+Tablo314[[#This Row],[LW12]]/Tablo27[LW12]*$N$41+Tablo314[[#This Row],[LW13]]/Tablo27[LW13]*$O$41+Tablo314[[#This Row],[LW14]]/Tablo27[LW14]*$P$41</f>
        <v>24.5</v>
      </c>
      <c r="W26" s="8" cm="1">
        <f t="array" ref="W26">F26/Tablo27[LW1]*$C$42+Tablo314[[#This Row],[LW2]]/Tablo27[LW2]*$D$42+Tablo314[[#This Row],[LW3]]/Tablo27[LW3]*$E$42+Tablo314[[#This Row],[LW4]]/Tablo27[LW4]*$F$42+Tablo314[[#This Row],[LW5]]/Tablo27[LW5]*$G$42+Tablo314[[#This Row],[LW6]]/Tablo27[LW6]*$H$42+Tablo314[[#This Row],[LW7]]/Tablo27[LW7]*$I$42+Tablo314[[#This Row],[LW8]]/Tablo27[LW8]*$J$42+Tablo314[[#This Row],[LW9]]/Tablo27[LW9]*$K$42+Tablo314[[#This Row],[LW10]]/Tablo27[LW10]*$L$42+Tablo314[[#This Row],[LW11]]/Tablo27[LW11]*$M$42+Tablo314[[#This Row],[LW12]]/Tablo27[LW12]*$N$42+Tablo314[[#This Row],[LW13]]/Tablo27[LW13]*$O$42+Tablo314[[#This Row],[LW14]]/Tablo27[LW14]*$P$42</f>
        <v>31.5</v>
      </c>
      <c r="X26" s="8" cm="1">
        <f t="array" ref="X26">F26/Tablo27[LW1]*$C$43+Tablo314[[#This Row],[LW2]]/Tablo27[LW2]*$D$43+Tablo314[[#This Row],[LW3]]/Tablo27[LW3]*$E$43+Tablo314[[#This Row],[LW4]]/Tablo27[LW4]*$F$43+Tablo314[[#This Row],[LW5]]/Tablo27[LW5]*$G$43+Tablo314[[#This Row],[LW6]]/Tablo27[LW6]*$H$43+Tablo314[[#This Row],[LW7]]/Tablo27[LW7]*$I$43+Tablo314[[#This Row],[LW8]]/Tablo27[LW8]*$J$43+Tablo314[[#This Row],[LW9]]/Tablo27[LW9]*$K$43+Tablo314[[#This Row],[LW10]]/Tablo27[LW10]*$L$43+Tablo314[[#This Row],[LW11]]/Tablo27[LW11]*$M$43+Tablo314[[#This Row],[LW12]]/Tablo27[LW12]*$N$43+Tablo314[[#This Row],[LW13]]/Tablo27[LW13]*$O$43+Tablo314[[#This Row],[LW14]]/Tablo27[LW14]*$P$43</f>
        <v>29.5</v>
      </c>
      <c r="Y26" s="92" cm="1">
        <f t="array" ref="Y26">F26/Tablo27[LW1]*$C$44+Tablo314[[#This Row],[LW2]]/Tablo27[LW2]*$D$44+Tablo314[[#This Row],[LW3]]/Tablo27[LW3]*$E$44+Tablo314[[#This Row],[LW4]]/Tablo27[LW4]*$F$44+Tablo314[[#This Row],[LW5]]/Tablo27[LW5]*$G$44+Tablo314[[#This Row],[LW6]]/Tablo27[LW6]*$H$44+Tablo314[[#This Row],[LW7]]/Tablo27[LW7]*$I$44+Tablo314[[#This Row],[LW8]]/Tablo27[LW8]*$J$44+Tablo314[[#This Row],[LW9]]/Tablo27[LW9]*$K$44+Tablo314[[#This Row],[LW10]]/Tablo27[LW10]*$L$44+Tablo314[[#This Row],[LW11]]/Tablo27[LW11]*$M$44+Tablo314[[#This Row],[LW12]]/Tablo27[LW12]*$N$44+Tablo314[[#This Row],[LW13]]/Tablo27[LW13]*$O$44+Tablo314[[#This Row],[LW14]]/Tablo27[LW14]*$P$44</f>
        <v>0</v>
      </c>
      <c r="Z26" s="92" cm="1">
        <f t="array" ref="Z26">F26/Tablo27[LW1]*$C$45+Tablo314[[#This Row],[LW2]]/Tablo27[LW2]*$D$45+Tablo314[[#This Row],[LW3]]/Tablo27[LW3]*$E$45+Tablo314[[#This Row],[LW4]]/Tablo27[LW4]*$F$45+Tablo314[[#This Row],[LW5]]/Tablo27[LW5]*$G$45+Tablo314[[#This Row],[LW6]]/Tablo27[LW6]*$H$45+Tablo314[[#This Row],[LW7]]/Tablo27[LW7]*$I$45+Tablo314[[#This Row],[LW8]]/Tablo27[LW8]*$J$45+Tablo314[[#This Row],[LW9]]/Tablo27[LW9]*$K$45+Tablo314[[#This Row],[LW10]]/Tablo27[LW10]*$L$45+Tablo314[[#This Row],[LW11]]/Tablo27[LW11]*$M$45+Tablo314[[#This Row],[LW12]]/Tablo27[LW12]*$N$45+Tablo314[[#This Row],[LW13]]/Tablo27[LW13]*$O$45+Tablo314[[#This Row],[LW14]]/Tablo27[LW14]*$P$45</f>
        <v>0</v>
      </c>
      <c r="AA26" s="92" cm="1">
        <f t="array" ref="AA26">F26/Tablo27[LW1]*$C$46+Tablo314[[#This Row],[LW2]]/Tablo27[LW2]*$D$46+Tablo314[[#This Row],[LW3]]/Tablo27[LW3]*$E$46+Tablo314[[#This Row],[LW4]]/Tablo27[LW4]*$F$46+Tablo314[[#This Row],[LW5]]/Tablo27[LW5]*$G$46+Tablo314[[#This Row],[LW6]]/Tablo27[LW6]*$H$46+Tablo314[[#This Row],[LW7]]/Tablo27[LW7]*$I$46+Tablo314[[#This Row],[LW8]]/Tablo27[LW8]*$J$46+Tablo314[[#This Row],[LW9]]/Tablo27[LW9]*$K$46+Tablo314[[#This Row],[LW10]]/Tablo27[LW10]*$L$46+Tablo314[[#This Row],[LW11]]/Tablo27[LW11]*$M$46+Tablo314[[#This Row],[LW12]]/Tablo27[LW12]*$N$46+Tablo314[[#This Row],[LW13]]/Tablo27[LW13]*$O$46+Tablo314[[#This Row],[LW14]]/Tablo27[LW14]*$P$46</f>
        <v>0</v>
      </c>
      <c r="AB26" s="92" cm="1">
        <f t="array" ref="AB26">F26/Tablo27[LW1]*$C$47+Tablo314[[#This Row],[LW2]]/Tablo27[LW2]*$D$47+Tablo314[[#This Row],[LW3]]/Tablo27[LW3]*$E$47+Tablo314[[#This Row],[LW4]]/Tablo27[LW4]*$F$47+Tablo314[[#This Row],[LW5]]/Tablo27[LW5]*$G$47+Tablo314[[#This Row],[LW6]]/Tablo27[LW6]*$H$47+Tablo314[[#This Row],[LW7]]/Tablo27[LW7]*$I$47+Tablo314[[#This Row],[LW8]]/Tablo27[LW8]*$J$47+Tablo314[[#This Row],[LW9]]/Tablo27[LW9]*$K$47+Tablo314[[#This Row],[LW10]]/Tablo27[LW10]*$L$47+Tablo314[[#This Row],[LW11]]/Tablo27[LW11]*$M$47+Tablo314[[#This Row],[LW12]]/Tablo27[LW12]*$N$47+Tablo314[[#This Row],[LW13]]/Tablo27[LW13]*$O$47+Tablo314[[#This Row],[LW14]]/Tablo27[LW14]*$P$47</f>
        <v>0</v>
      </c>
      <c r="AC26" s="92" cm="1">
        <f t="array" ref="AC26">F26/Tablo27[LW1]*$C$48+Tablo314[[#This Row],[LW2]]/Tablo27[LW2]*$D$48+Tablo314[[#This Row],[LW3]]/Tablo27[LW3]*$E$48+Tablo314[[#This Row],[LW4]]/Tablo27[LW4]*$F$48+Tablo314[[#This Row],[LW5]]/Tablo27[LW5]*$G$48+Tablo314[[#This Row],[LW6]]/Tablo27[LW6]*$H$48+Tablo314[[#This Row],[LW7]]/Tablo27[LW7]*$I$48+Tablo314[[#This Row],[LW8]]/Tablo27[LW8]*$J$48+Tablo314[[#This Row],[LW9]]/Tablo27[LW9]*$K$48+Tablo314[[#This Row],[LW10]]/Tablo27[LW10]*$L$48+Tablo314[[#This Row],[LW11]]/Tablo27[LW11]*$M$48+Tablo314[[#This Row],[LW12]]/Tablo27[LW12]*$N$48+Tablo314[[#This Row],[LW13]]/Tablo27[LW13]*$O$48+Tablo314[[#This Row],[LW14]]/Tablo27[LW14]*$P$48</f>
        <v>0</v>
      </c>
      <c r="AD26" s="92" cm="1">
        <f t="array" ref="AD26">F26/Tablo27[LW1]*$C$49+Tablo314[[#This Row],[LW2]]/Tablo27[LW2]*$D$49+Tablo314[[#This Row],[LW3]]/Tablo27[LW3]*$E$49+Tablo314[[#This Row],[LW4]]/Tablo27[LW4]*$F$49+Tablo314[[#This Row],[LW5]]/Tablo27[LW5]*$G$49+Tablo314[[#This Row],[LW6]]/Tablo27[LW6]*$H$49+Tablo314[[#This Row],[LW7]]/Tablo27[LW7]*$I$49+Tablo314[[#This Row],[LW8]]/Tablo27[LW8]*$J$49+Tablo314[[#This Row],[LW9]]/Tablo27[LW9]*$K$49+Tablo314[[#This Row],[LW10]]/Tablo27[LW10]*$L$49+Tablo314[[#This Row],[LW11]]/Tablo27[LW11]*$M$49+Tablo314[[#This Row],[LW12]]/Tablo27[LW12]*$N$49+Tablo314[[#This Row],[LW13]]/Tablo27[LW13]*$O$49+Tablo314[[#This Row],[LW14]]/Tablo27[LW14]*$P$49</f>
        <v>0</v>
      </c>
      <c r="AE26" s="8">
        <f>SUM(Tablo314[[#This Row],[DÇ1]],Tablo314[[#This Row],[DÇ2]],Tablo314[[#This Row],[DÇ3]],Tablo314[[#This Row],[DÇ4]])</f>
        <v>94</v>
      </c>
      <c r="AF26" s="9" cm="1">
        <f t="array" ref="AF26">_xlfn.NORM.DIST(Tablo314[[#This Row],[TOTAL]],Tablo29[Mean],Tablo29[Variance],FALSE)</f>
        <v>3.9038455710332233E-3</v>
      </c>
    </row>
    <row r="27" spans="2:32" ht="15.6" thickTop="1" thickBot="1" x14ac:dyDescent="0.35">
      <c r="B27" s="91">
        <v>23</v>
      </c>
      <c r="C27" s="14">
        <v>30</v>
      </c>
      <c r="D27" s="61" t="s">
        <v>110</v>
      </c>
      <c r="E27" s="61" t="s">
        <v>111</v>
      </c>
      <c r="F27" s="5">
        <v>2</v>
      </c>
      <c r="G27" s="5">
        <v>1</v>
      </c>
      <c r="H27" s="5">
        <v>5</v>
      </c>
      <c r="I27" s="5">
        <v>4</v>
      </c>
      <c r="J27" s="5">
        <v>5</v>
      </c>
      <c r="K27" s="5">
        <v>9</v>
      </c>
      <c r="L27" s="5">
        <v>5</v>
      </c>
      <c r="M27" s="5">
        <v>5</v>
      </c>
      <c r="N27" s="5">
        <v>0</v>
      </c>
      <c r="O27" s="5">
        <v>0</v>
      </c>
      <c r="P27" s="5">
        <v>1</v>
      </c>
      <c r="Q27" s="5">
        <v>1</v>
      </c>
      <c r="R27" s="5">
        <v>5</v>
      </c>
      <c r="S27" s="5">
        <v>2</v>
      </c>
      <c r="T27" s="8">
        <f>SUM(Tablo314[[#This Row],[LW1]:[LW14]])</f>
        <v>45</v>
      </c>
      <c r="U27" s="8" cm="1">
        <f t="array" ref="U27">F27/Tablo27[LW1]*$C$40+Tablo314[[#This Row],[LW2]]/Tablo27[LW2]*$D$40+Tablo314[[#This Row],[LW3]]/Tablo27[LW3]*$E$40+Tablo314[[#This Row],[LW4]]/Tablo27[LW4]*$F$40+Tablo314[[#This Row],[LW5]]/Tablo27[LW5]*$G$40+Tablo314[[#This Row],[LW6]]/Tablo27[LW6]*$H$40+Tablo314[[#This Row],[LW7]]/Tablo27[LW7]*$I$40+Tablo314[[#This Row],[LW8]]/Tablo27[LW8]*$J$40+Tablo314[[#This Row],[LW9]]/Tablo27[LW9]*$K$40+Tablo314[[#This Row],[LW10]]/Tablo27[LW10]*$L$40+Tablo314[[#This Row],[LW11]]/Tablo27[LW11]*$M$40+Tablo314[[#This Row],[LW12]]/Tablo27[LW12]*$N$40+Tablo314[[#This Row],[LW13]]/Tablo27[LW13]*$O$40+Tablo314[[#This Row],[LW14]]/Tablo27[LW14]*$P$40</f>
        <v>17</v>
      </c>
      <c r="V27" s="8" cm="1">
        <f t="array" ref="V27">F27/Tablo27[LW1]*$C$41+Tablo314[[#This Row],[LW2]]/Tablo27[LW2]*$D$41+Tablo314[[#This Row],[LW3]]/Tablo27[LW3]*$E$41+Tablo314[[#This Row],[LW4]]/Tablo27[LW4]*$F$41+Tablo314[[#This Row],[LW5]]/Tablo27[LW5]*$G$41+Tablo314[[#This Row],[LW6]]/Tablo27[LW6]*$H$41+Tablo314[[#This Row],[LW7]]/Tablo27[LW7]*$I$41+Tablo314[[#This Row],[LW8]]/Tablo27[LW8]*$J$41+Tablo314[[#This Row],[LW9]]/Tablo27[LW9]*$K$41+Tablo314[[#This Row],[LW10]]/Tablo27[LW10]*$L$41+Tablo314[[#This Row],[LW11]]/Tablo27[LW11]*$M$41+Tablo314[[#This Row],[LW12]]/Tablo27[LW12]*$N$41+Tablo314[[#This Row],[LW13]]/Tablo27[LW13]*$O$41+Tablo314[[#This Row],[LW14]]/Tablo27[LW14]*$P$41</f>
        <v>21</v>
      </c>
      <c r="W27" s="8" cm="1">
        <f t="array" ref="W27">F27/Tablo27[LW1]*$C$42+Tablo314[[#This Row],[LW2]]/Tablo27[LW2]*$D$42+Tablo314[[#This Row],[LW3]]/Tablo27[LW3]*$E$42+Tablo314[[#This Row],[LW4]]/Tablo27[LW4]*$F$42+Tablo314[[#This Row],[LW5]]/Tablo27[LW5]*$G$42+Tablo314[[#This Row],[LW6]]/Tablo27[LW6]*$H$42+Tablo314[[#This Row],[LW7]]/Tablo27[LW7]*$I$42+Tablo314[[#This Row],[LW8]]/Tablo27[LW8]*$J$42+Tablo314[[#This Row],[LW9]]/Tablo27[LW9]*$K$42+Tablo314[[#This Row],[LW10]]/Tablo27[LW10]*$L$42+Tablo314[[#This Row],[LW11]]/Tablo27[LW11]*$M$42+Tablo314[[#This Row],[LW12]]/Tablo27[LW12]*$N$42+Tablo314[[#This Row],[LW13]]/Tablo27[LW13]*$O$42+Tablo314[[#This Row],[LW14]]/Tablo27[LW14]*$P$42</f>
        <v>26.5</v>
      </c>
      <c r="X27" s="8" cm="1">
        <f t="array" ref="X27">F27/Tablo27[LW1]*$C$43+Tablo314[[#This Row],[LW2]]/Tablo27[LW2]*$D$43+Tablo314[[#This Row],[LW3]]/Tablo27[LW3]*$E$43+Tablo314[[#This Row],[LW4]]/Tablo27[LW4]*$F$43+Tablo314[[#This Row],[LW5]]/Tablo27[LW5]*$G$43+Tablo314[[#This Row],[LW6]]/Tablo27[LW6]*$H$43+Tablo314[[#This Row],[LW7]]/Tablo27[LW7]*$I$43+Tablo314[[#This Row],[LW8]]/Tablo27[LW8]*$J$43+Tablo314[[#This Row],[LW9]]/Tablo27[LW9]*$K$43+Tablo314[[#This Row],[LW10]]/Tablo27[LW10]*$L$43+Tablo314[[#This Row],[LW11]]/Tablo27[LW11]*$M$43+Tablo314[[#This Row],[LW12]]/Tablo27[LW12]*$N$43+Tablo314[[#This Row],[LW13]]/Tablo27[LW13]*$O$43+Tablo314[[#This Row],[LW14]]/Tablo27[LW14]*$P$43</f>
        <v>28</v>
      </c>
      <c r="Y27" s="92" cm="1">
        <f t="array" ref="Y27">F27/Tablo27[LW1]*$C$44+Tablo314[[#This Row],[LW2]]/Tablo27[LW2]*$D$44+Tablo314[[#This Row],[LW3]]/Tablo27[LW3]*$E$44+Tablo314[[#This Row],[LW4]]/Tablo27[LW4]*$F$44+Tablo314[[#This Row],[LW5]]/Tablo27[LW5]*$G$44+Tablo314[[#This Row],[LW6]]/Tablo27[LW6]*$H$44+Tablo314[[#This Row],[LW7]]/Tablo27[LW7]*$I$44+Tablo314[[#This Row],[LW8]]/Tablo27[LW8]*$J$44+Tablo314[[#This Row],[LW9]]/Tablo27[LW9]*$K$44+Tablo314[[#This Row],[LW10]]/Tablo27[LW10]*$L$44+Tablo314[[#This Row],[LW11]]/Tablo27[LW11]*$M$44+Tablo314[[#This Row],[LW12]]/Tablo27[LW12]*$N$44+Tablo314[[#This Row],[LW13]]/Tablo27[LW13]*$O$44+Tablo314[[#This Row],[LW14]]/Tablo27[LW14]*$P$44</f>
        <v>0</v>
      </c>
      <c r="Z27" s="92" cm="1">
        <f t="array" ref="Z27">F27/Tablo27[LW1]*$C$45+Tablo314[[#This Row],[LW2]]/Tablo27[LW2]*$D$45+Tablo314[[#This Row],[LW3]]/Tablo27[LW3]*$E$45+Tablo314[[#This Row],[LW4]]/Tablo27[LW4]*$F$45+Tablo314[[#This Row],[LW5]]/Tablo27[LW5]*$G$45+Tablo314[[#This Row],[LW6]]/Tablo27[LW6]*$H$45+Tablo314[[#This Row],[LW7]]/Tablo27[LW7]*$I$45+Tablo314[[#This Row],[LW8]]/Tablo27[LW8]*$J$45+Tablo314[[#This Row],[LW9]]/Tablo27[LW9]*$K$45+Tablo314[[#This Row],[LW10]]/Tablo27[LW10]*$L$45+Tablo314[[#This Row],[LW11]]/Tablo27[LW11]*$M$45+Tablo314[[#This Row],[LW12]]/Tablo27[LW12]*$N$45+Tablo314[[#This Row],[LW13]]/Tablo27[LW13]*$O$45+Tablo314[[#This Row],[LW14]]/Tablo27[LW14]*$P$45</f>
        <v>0</v>
      </c>
      <c r="AA27" s="92" cm="1">
        <f t="array" ref="AA27">F27/Tablo27[LW1]*$C$46+Tablo314[[#This Row],[LW2]]/Tablo27[LW2]*$D$46+Tablo314[[#This Row],[LW3]]/Tablo27[LW3]*$E$46+Tablo314[[#This Row],[LW4]]/Tablo27[LW4]*$F$46+Tablo314[[#This Row],[LW5]]/Tablo27[LW5]*$G$46+Tablo314[[#This Row],[LW6]]/Tablo27[LW6]*$H$46+Tablo314[[#This Row],[LW7]]/Tablo27[LW7]*$I$46+Tablo314[[#This Row],[LW8]]/Tablo27[LW8]*$J$46+Tablo314[[#This Row],[LW9]]/Tablo27[LW9]*$K$46+Tablo314[[#This Row],[LW10]]/Tablo27[LW10]*$L$46+Tablo314[[#This Row],[LW11]]/Tablo27[LW11]*$M$46+Tablo314[[#This Row],[LW12]]/Tablo27[LW12]*$N$46+Tablo314[[#This Row],[LW13]]/Tablo27[LW13]*$O$46+Tablo314[[#This Row],[LW14]]/Tablo27[LW14]*$P$46</f>
        <v>0</v>
      </c>
      <c r="AB27" s="92" cm="1">
        <f t="array" ref="AB27">F27/Tablo27[LW1]*$C$47+Tablo314[[#This Row],[LW2]]/Tablo27[LW2]*$D$47+Tablo314[[#This Row],[LW3]]/Tablo27[LW3]*$E$47+Tablo314[[#This Row],[LW4]]/Tablo27[LW4]*$F$47+Tablo314[[#This Row],[LW5]]/Tablo27[LW5]*$G$47+Tablo314[[#This Row],[LW6]]/Tablo27[LW6]*$H$47+Tablo314[[#This Row],[LW7]]/Tablo27[LW7]*$I$47+Tablo314[[#This Row],[LW8]]/Tablo27[LW8]*$J$47+Tablo314[[#This Row],[LW9]]/Tablo27[LW9]*$K$47+Tablo314[[#This Row],[LW10]]/Tablo27[LW10]*$L$47+Tablo314[[#This Row],[LW11]]/Tablo27[LW11]*$M$47+Tablo314[[#This Row],[LW12]]/Tablo27[LW12]*$N$47+Tablo314[[#This Row],[LW13]]/Tablo27[LW13]*$O$47+Tablo314[[#This Row],[LW14]]/Tablo27[LW14]*$P$47</f>
        <v>0</v>
      </c>
      <c r="AC27" s="92" cm="1">
        <f t="array" ref="AC27">F27/Tablo27[LW1]*$C$48+Tablo314[[#This Row],[LW2]]/Tablo27[LW2]*$D$48+Tablo314[[#This Row],[LW3]]/Tablo27[LW3]*$E$48+Tablo314[[#This Row],[LW4]]/Tablo27[LW4]*$F$48+Tablo314[[#This Row],[LW5]]/Tablo27[LW5]*$G$48+Tablo314[[#This Row],[LW6]]/Tablo27[LW6]*$H$48+Tablo314[[#This Row],[LW7]]/Tablo27[LW7]*$I$48+Tablo314[[#This Row],[LW8]]/Tablo27[LW8]*$J$48+Tablo314[[#This Row],[LW9]]/Tablo27[LW9]*$K$48+Tablo314[[#This Row],[LW10]]/Tablo27[LW10]*$L$48+Tablo314[[#This Row],[LW11]]/Tablo27[LW11]*$M$48+Tablo314[[#This Row],[LW12]]/Tablo27[LW12]*$N$48+Tablo314[[#This Row],[LW13]]/Tablo27[LW13]*$O$48+Tablo314[[#This Row],[LW14]]/Tablo27[LW14]*$P$48</f>
        <v>0</v>
      </c>
      <c r="AD27" s="92" cm="1">
        <f t="array" ref="AD27">F27/Tablo27[LW1]*$C$49+Tablo314[[#This Row],[LW2]]/Tablo27[LW2]*$D$49+Tablo314[[#This Row],[LW3]]/Tablo27[LW3]*$E$49+Tablo314[[#This Row],[LW4]]/Tablo27[LW4]*$F$49+Tablo314[[#This Row],[LW5]]/Tablo27[LW5]*$G$49+Tablo314[[#This Row],[LW6]]/Tablo27[LW6]*$H$49+Tablo314[[#This Row],[LW7]]/Tablo27[LW7]*$I$49+Tablo314[[#This Row],[LW8]]/Tablo27[LW8]*$J$49+Tablo314[[#This Row],[LW9]]/Tablo27[LW9]*$K$49+Tablo314[[#This Row],[LW10]]/Tablo27[LW10]*$L$49+Tablo314[[#This Row],[LW11]]/Tablo27[LW11]*$M$49+Tablo314[[#This Row],[LW12]]/Tablo27[LW12]*$N$49+Tablo314[[#This Row],[LW13]]/Tablo27[LW13]*$O$49+Tablo314[[#This Row],[LW14]]/Tablo27[LW14]*$P$49</f>
        <v>0</v>
      </c>
      <c r="AE27" s="8">
        <f>SUM(Tablo314[[#This Row],[DÇ1]],Tablo314[[#This Row],[DÇ2]],Tablo314[[#This Row],[DÇ3]],Tablo314[[#This Row],[DÇ4]])</f>
        <v>92.5</v>
      </c>
      <c r="AF27" s="9" cm="1">
        <f t="array" ref="AF27">_xlfn.NORM.DIST(Tablo314[[#This Row],[TOTAL]],Tablo29[Mean],Tablo29[Variance],FALSE)</f>
        <v>3.8984716276351796E-3</v>
      </c>
    </row>
    <row r="28" spans="2:32" ht="15.6" thickTop="1" thickBot="1" x14ac:dyDescent="0.35">
      <c r="B28" s="93">
        <v>24</v>
      </c>
      <c r="C28" s="14">
        <v>11</v>
      </c>
      <c r="D28" s="61" t="s">
        <v>110</v>
      </c>
      <c r="E28" s="61" t="s">
        <v>111</v>
      </c>
      <c r="F28" s="5">
        <v>5</v>
      </c>
      <c r="G28" s="5">
        <v>5</v>
      </c>
      <c r="H28" s="5">
        <v>1</v>
      </c>
      <c r="I28" s="5">
        <v>2</v>
      </c>
      <c r="J28" s="5">
        <v>1</v>
      </c>
      <c r="K28" s="5">
        <v>1</v>
      </c>
      <c r="L28" s="5">
        <v>3</v>
      </c>
      <c r="M28" s="5">
        <v>5</v>
      </c>
      <c r="N28" s="5">
        <v>0</v>
      </c>
      <c r="O28" s="5">
        <v>8</v>
      </c>
      <c r="P28" s="5">
        <v>7</v>
      </c>
      <c r="Q28" s="5">
        <v>2</v>
      </c>
      <c r="R28" s="5">
        <v>1</v>
      </c>
      <c r="S28" s="5">
        <v>2</v>
      </c>
      <c r="T28" s="8">
        <f>SUM(Tablo314[[#This Row],[LW1]:[LW14]])</f>
        <v>43</v>
      </c>
      <c r="U28" s="8" cm="1">
        <f t="array" ref="U28">F28/Tablo27[LW1]*$C$40+Tablo314[[#This Row],[LW2]]/Tablo27[LW2]*$D$40+Tablo314[[#This Row],[LW3]]/Tablo27[LW3]*$E$40+Tablo314[[#This Row],[LW4]]/Tablo27[LW4]*$F$40+Tablo314[[#This Row],[LW5]]/Tablo27[LW5]*$G$40+Tablo314[[#This Row],[LW6]]/Tablo27[LW6]*$H$40+Tablo314[[#This Row],[LW7]]/Tablo27[LW7]*$I$40+Tablo314[[#This Row],[LW8]]/Tablo27[LW8]*$J$40+Tablo314[[#This Row],[LW9]]/Tablo27[LW9]*$K$40+Tablo314[[#This Row],[LW10]]/Tablo27[LW10]*$L$40+Tablo314[[#This Row],[LW11]]/Tablo27[LW11]*$M$40+Tablo314[[#This Row],[LW12]]/Tablo27[LW12]*$N$40+Tablo314[[#This Row],[LW13]]/Tablo27[LW13]*$O$40+Tablo314[[#This Row],[LW14]]/Tablo27[LW14]*$P$40</f>
        <v>15</v>
      </c>
      <c r="V28" s="8" cm="1">
        <f t="array" ref="V28">F28/Tablo27[LW1]*$C$41+Tablo314[[#This Row],[LW2]]/Tablo27[LW2]*$D$41+Tablo314[[#This Row],[LW3]]/Tablo27[LW3]*$E$41+Tablo314[[#This Row],[LW4]]/Tablo27[LW4]*$F$41+Tablo314[[#This Row],[LW5]]/Tablo27[LW5]*$G$41+Tablo314[[#This Row],[LW6]]/Tablo27[LW6]*$H$41+Tablo314[[#This Row],[LW7]]/Tablo27[LW7]*$I$41+Tablo314[[#This Row],[LW8]]/Tablo27[LW8]*$J$41+Tablo314[[#This Row],[LW9]]/Tablo27[LW9]*$K$41+Tablo314[[#This Row],[LW10]]/Tablo27[LW10]*$L$41+Tablo314[[#This Row],[LW11]]/Tablo27[LW11]*$M$41+Tablo314[[#This Row],[LW12]]/Tablo27[LW12]*$N$41+Tablo314[[#This Row],[LW13]]/Tablo27[LW13]*$O$41+Tablo314[[#This Row],[LW14]]/Tablo27[LW14]*$P$41</f>
        <v>18</v>
      </c>
      <c r="W28" s="8" cm="1">
        <f t="array" ref="W28">F28/Tablo27[LW1]*$C$42+Tablo314[[#This Row],[LW2]]/Tablo27[LW2]*$D$42+Tablo314[[#This Row],[LW3]]/Tablo27[LW3]*$E$42+Tablo314[[#This Row],[LW4]]/Tablo27[LW4]*$F$42+Tablo314[[#This Row],[LW5]]/Tablo27[LW5]*$G$42+Tablo314[[#This Row],[LW6]]/Tablo27[LW6]*$H$42+Tablo314[[#This Row],[LW7]]/Tablo27[LW7]*$I$42+Tablo314[[#This Row],[LW8]]/Tablo27[LW8]*$J$42+Tablo314[[#This Row],[LW9]]/Tablo27[LW9]*$K$42+Tablo314[[#This Row],[LW10]]/Tablo27[LW10]*$L$42+Tablo314[[#This Row],[LW11]]/Tablo27[LW11]*$M$42+Tablo314[[#This Row],[LW12]]/Tablo27[LW12]*$N$42+Tablo314[[#This Row],[LW13]]/Tablo27[LW13]*$O$42+Tablo314[[#This Row],[LW14]]/Tablo27[LW14]*$P$42</f>
        <v>20</v>
      </c>
      <c r="X28" s="8" cm="1">
        <f t="array" ref="X28">F28/Tablo27[LW1]*$C$43+Tablo314[[#This Row],[LW2]]/Tablo27[LW2]*$D$43+Tablo314[[#This Row],[LW3]]/Tablo27[LW3]*$E$43+Tablo314[[#This Row],[LW4]]/Tablo27[LW4]*$F$43+Tablo314[[#This Row],[LW5]]/Tablo27[LW5]*$G$43+Tablo314[[#This Row],[LW6]]/Tablo27[LW6]*$H$43+Tablo314[[#This Row],[LW7]]/Tablo27[LW7]*$I$43+Tablo314[[#This Row],[LW8]]/Tablo27[LW8]*$J$43+Tablo314[[#This Row],[LW9]]/Tablo27[LW9]*$K$43+Tablo314[[#This Row],[LW10]]/Tablo27[LW10]*$L$43+Tablo314[[#This Row],[LW11]]/Tablo27[LW11]*$M$43+Tablo314[[#This Row],[LW12]]/Tablo27[LW12]*$N$43+Tablo314[[#This Row],[LW13]]/Tablo27[LW13]*$O$43+Tablo314[[#This Row],[LW14]]/Tablo27[LW14]*$P$43</f>
        <v>21.5</v>
      </c>
      <c r="Y28" s="92" cm="1">
        <f t="array" ref="Y28">F28/Tablo27[LW1]*$C$44+Tablo314[[#This Row],[LW2]]/Tablo27[LW2]*$D$44+Tablo314[[#This Row],[LW3]]/Tablo27[LW3]*$E$44+Tablo314[[#This Row],[LW4]]/Tablo27[LW4]*$F$44+Tablo314[[#This Row],[LW5]]/Tablo27[LW5]*$G$44+Tablo314[[#This Row],[LW6]]/Tablo27[LW6]*$H$44+Tablo314[[#This Row],[LW7]]/Tablo27[LW7]*$I$44+Tablo314[[#This Row],[LW8]]/Tablo27[LW8]*$J$44+Tablo314[[#This Row],[LW9]]/Tablo27[LW9]*$K$44+Tablo314[[#This Row],[LW10]]/Tablo27[LW10]*$L$44+Tablo314[[#This Row],[LW11]]/Tablo27[LW11]*$M$44+Tablo314[[#This Row],[LW12]]/Tablo27[LW12]*$N$44+Tablo314[[#This Row],[LW13]]/Tablo27[LW13]*$O$44+Tablo314[[#This Row],[LW14]]/Tablo27[LW14]*$P$44</f>
        <v>0</v>
      </c>
      <c r="Z28" s="92" cm="1">
        <f t="array" ref="Z28">F28/Tablo27[LW1]*$C$45+Tablo314[[#This Row],[LW2]]/Tablo27[LW2]*$D$45+Tablo314[[#This Row],[LW3]]/Tablo27[LW3]*$E$45+Tablo314[[#This Row],[LW4]]/Tablo27[LW4]*$F$45+Tablo314[[#This Row],[LW5]]/Tablo27[LW5]*$G$45+Tablo314[[#This Row],[LW6]]/Tablo27[LW6]*$H$45+Tablo314[[#This Row],[LW7]]/Tablo27[LW7]*$I$45+Tablo314[[#This Row],[LW8]]/Tablo27[LW8]*$J$45+Tablo314[[#This Row],[LW9]]/Tablo27[LW9]*$K$45+Tablo314[[#This Row],[LW10]]/Tablo27[LW10]*$L$45+Tablo314[[#This Row],[LW11]]/Tablo27[LW11]*$M$45+Tablo314[[#This Row],[LW12]]/Tablo27[LW12]*$N$45+Tablo314[[#This Row],[LW13]]/Tablo27[LW13]*$O$45+Tablo314[[#This Row],[LW14]]/Tablo27[LW14]*$P$45</f>
        <v>0</v>
      </c>
      <c r="AA28" s="92" cm="1">
        <f t="array" ref="AA28">F28/Tablo27[LW1]*$C$46+Tablo314[[#This Row],[LW2]]/Tablo27[LW2]*$D$46+Tablo314[[#This Row],[LW3]]/Tablo27[LW3]*$E$46+Tablo314[[#This Row],[LW4]]/Tablo27[LW4]*$F$46+Tablo314[[#This Row],[LW5]]/Tablo27[LW5]*$G$46+Tablo314[[#This Row],[LW6]]/Tablo27[LW6]*$H$46+Tablo314[[#This Row],[LW7]]/Tablo27[LW7]*$I$46+Tablo314[[#This Row],[LW8]]/Tablo27[LW8]*$J$46+Tablo314[[#This Row],[LW9]]/Tablo27[LW9]*$K$46+Tablo314[[#This Row],[LW10]]/Tablo27[LW10]*$L$46+Tablo314[[#This Row],[LW11]]/Tablo27[LW11]*$M$46+Tablo314[[#This Row],[LW12]]/Tablo27[LW12]*$N$46+Tablo314[[#This Row],[LW13]]/Tablo27[LW13]*$O$46+Tablo314[[#This Row],[LW14]]/Tablo27[LW14]*$P$46</f>
        <v>0</v>
      </c>
      <c r="AB28" s="92" cm="1">
        <f t="array" ref="AB28">F28/Tablo27[LW1]*$C$47+Tablo314[[#This Row],[LW2]]/Tablo27[LW2]*$D$47+Tablo314[[#This Row],[LW3]]/Tablo27[LW3]*$E$47+Tablo314[[#This Row],[LW4]]/Tablo27[LW4]*$F$47+Tablo314[[#This Row],[LW5]]/Tablo27[LW5]*$G$47+Tablo314[[#This Row],[LW6]]/Tablo27[LW6]*$H$47+Tablo314[[#This Row],[LW7]]/Tablo27[LW7]*$I$47+Tablo314[[#This Row],[LW8]]/Tablo27[LW8]*$J$47+Tablo314[[#This Row],[LW9]]/Tablo27[LW9]*$K$47+Tablo314[[#This Row],[LW10]]/Tablo27[LW10]*$L$47+Tablo314[[#This Row],[LW11]]/Tablo27[LW11]*$M$47+Tablo314[[#This Row],[LW12]]/Tablo27[LW12]*$N$47+Tablo314[[#This Row],[LW13]]/Tablo27[LW13]*$O$47+Tablo314[[#This Row],[LW14]]/Tablo27[LW14]*$P$47</f>
        <v>0</v>
      </c>
      <c r="AC28" s="92" cm="1">
        <f t="array" ref="AC28">F28/Tablo27[LW1]*$C$48+Tablo314[[#This Row],[LW2]]/Tablo27[LW2]*$D$48+Tablo314[[#This Row],[LW3]]/Tablo27[LW3]*$E$48+Tablo314[[#This Row],[LW4]]/Tablo27[LW4]*$F$48+Tablo314[[#This Row],[LW5]]/Tablo27[LW5]*$G$48+Tablo314[[#This Row],[LW6]]/Tablo27[LW6]*$H$48+Tablo314[[#This Row],[LW7]]/Tablo27[LW7]*$I$48+Tablo314[[#This Row],[LW8]]/Tablo27[LW8]*$J$48+Tablo314[[#This Row],[LW9]]/Tablo27[LW9]*$K$48+Tablo314[[#This Row],[LW10]]/Tablo27[LW10]*$L$48+Tablo314[[#This Row],[LW11]]/Tablo27[LW11]*$M$48+Tablo314[[#This Row],[LW12]]/Tablo27[LW12]*$N$48+Tablo314[[#This Row],[LW13]]/Tablo27[LW13]*$O$48+Tablo314[[#This Row],[LW14]]/Tablo27[LW14]*$P$48</f>
        <v>0</v>
      </c>
      <c r="AD28" s="92" cm="1">
        <f t="array" ref="AD28">F28/Tablo27[LW1]*$C$49+Tablo314[[#This Row],[LW2]]/Tablo27[LW2]*$D$49+Tablo314[[#This Row],[LW3]]/Tablo27[LW3]*$E$49+Tablo314[[#This Row],[LW4]]/Tablo27[LW4]*$F$49+Tablo314[[#This Row],[LW5]]/Tablo27[LW5]*$G$49+Tablo314[[#This Row],[LW6]]/Tablo27[LW6]*$H$49+Tablo314[[#This Row],[LW7]]/Tablo27[LW7]*$I$49+Tablo314[[#This Row],[LW8]]/Tablo27[LW8]*$J$49+Tablo314[[#This Row],[LW9]]/Tablo27[LW9]*$K$49+Tablo314[[#This Row],[LW10]]/Tablo27[LW10]*$L$49+Tablo314[[#This Row],[LW11]]/Tablo27[LW11]*$M$49+Tablo314[[#This Row],[LW12]]/Tablo27[LW12]*$N$49+Tablo314[[#This Row],[LW13]]/Tablo27[LW13]*$O$49+Tablo314[[#This Row],[LW14]]/Tablo27[LW14]*$P$49</f>
        <v>0</v>
      </c>
      <c r="AE28" s="8">
        <f>SUM(Tablo314[[#This Row],[DÇ1]],Tablo314[[#This Row],[DÇ2]],Tablo314[[#This Row],[DÇ3]],Tablo314[[#This Row],[DÇ4]])</f>
        <v>74.5</v>
      </c>
      <c r="AF28" s="9" cm="1">
        <f t="array" ref="AF28">_xlfn.NORM.DIST(Tablo314[[#This Row],[TOTAL]],Tablo29[Mean],Tablo29[Variance],FALSE)</f>
        <v>3.8916087601208751E-3</v>
      </c>
    </row>
    <row r="29" spans="2:32" ht="15.6" thickTop="1" thickBot="1" x14ac:dyDescent="0.35">
      <c r="B29" s="91">
        <v>25</v>
      </c>
      <c r="C29" s="14">
        <v>22</v>
      </c>
      <c r="D29" s="61" t="s">
        <v>110</v>
      </c>
      <c r="E29" s="61" t="s">
        <v>111</v>
      </c>
      <c r="F29" s="5">
        <v>5</v>
      </c>
      <c r="G29" s="5">
        <v>5</v>
      </c>
      <c r="H29" s="5">
        <v>2</v>
      </c>
      <c r="I29" s="5">
        <v>0</v>
      </c>
      <c r="J29" s="5">
        <v>0</v>
      </c>
      <c r="K29" s="5">
        <v>8</v>
      </c>
      <c r="L29" s="5">
        <v>5</v>
      </c>
      <c r="M29" s="5">
        <v>5</v>
      </c>
      <c r="N29" s="5">
        <v>5</v>
      </c>
      <c r="O29" s="5">
        <v>2</v>
      </c>
      <c r="P29" s="5">
        <v>2</v>
      </c>
      <c r="Q29" s="5">
        <v>0</v>
      </c>
      <c r="R29" s="5">
        <v>3</v>
      </c>
      <c r="S29" s="5">
        <v>0</v>
      </c>
      <c r="T29" s="8">
        <f>SUM(Tablo314[[#This Row],[LW1]:[LW14]])</f>
        <v>42</v>
      </c>
      <c r="U29" s="8" cm="1">
        <f t="array" ref="U29">F29/Tablo27[LW1]*$C$40+Tablo314[[#This Row],[LW2]]/Tablo27[LW2]*$D$40+Tablo314[[#This Row],[LW3]]/Tablo27[LW3]*$E$40+Tablo314[[#This Row],[LW4]]/Tablo27[LW4]*$F$40+Tablo314[[#This Row],[LW5]]/Tablo27[LW5]*$G$40+Tablo314[[#This Row],[LW6]]/Tablo27[LW6]*$H$40+Tablo314[[#This Row],[LW7]]/Tablo27[LW7]*$I$40+Tablo314[[#This Row],[LW8]]/Tablo27[LW8]*$J$40+Tablo314[[#This Row],[LW9]]/Tablo27[LW9]*$K$40+Tablo314[[#This Row],[LW10]]/Tablo27[LW10]*$L$40+Tablo314[[#This Row],[LW11]]/Tablo27[LW11]*$M$40+Tablo314[[#This Row],[LW12]]/Tablo27[LW12]*$N$40+Tablo314[[#This Row],[LW13]]/Tablo27[LW13]*$O$40+Tablo314[[#This Row],[LW14]]/Tablo27[LW14]*$P$40</f>
        <v>17</v>
      </c>
      <c r="V29" s="8" cm="1">
        <f t="array" ref="V29">F29/Tablo27[LW1]*$C$41+Tablo314[[#This Row],[LW2]]/Tablo27[LW2]*$D$41+Tablo314[[#This Row],[LW3]]/Tablo27[LW3]*$E$41+Tablo314[[#This Row],[LW4]]/Tablo27[LW4]*$F$41+Tablo314[[#This Row],[LW5]]/Tablo27[LW5]*$G$41+Tablo314[[#This Row],[LW6]]/Tablo27[LW6]*$H$41+Tablo314[[#This Row],[LW7]]/Tablo27[LW7]*$I$41+Tablo314[[#This Row],[LW8]]/Tablo27[LW8]*$J$41+Tablo314[[#This Row],[LW9]]/Tablo27[LW9]*$K$41+Tablo314[[#This Row],[LW10]]/Tablo27[LW10]*$L$41+Tablo314[[#This Row],[LW11]]/Tablo27[LW11]*$M$41+Tablo314[[#This Row],[LW12]]/Tablo27[LW12]*$N$41+Tablo314[[#This Row],[LW13]]/Tablo27[LW13]*$O$41+Tablo314[[#This Row],[LW14]]/Tablo27[LW14]*$P$41</f>
        <v>23</v>
      </c>
      <c r="W29" s="8" cm="1">
        <f t="array" ref="W29">F29/Tablo27[LW1]*$C$42+Tablo314[[#This Row],[LW2]]/Tablo27[LW2]*$D$42+Tablo314[[#This Row],[LW3]]/Tablo27[LW3]*$E$42+Tablo314[[#This Row],[LW4]]/Tablo27[LW4]*$F$42+Tablo314[[#This Row],[LW5]]/Tablo27[LW5]*$G$42+Tablo314[[#This Row],[LW6]]/Tablo27[LW6]*$H$42+Tablo314[[#This Row],[LW7]]/Tablo27[LW7]*$I$42+Tablo314[[#This Row],[LW8]]/Tablo27[LW8]*$J$42+Tablo314[[#This Row],[LW9]]/Tablo27[LW9]*$K$42+Tablo314[[#This Row],[LW10]]/Tablo27[LW10]*$L$42+Tablo314[[#This Row],[LW11]]/Tablo27[LW11]*$M$42+Tablo314[[#This Row],[LW12]]/Tablo27[LW12]*$N$42+Tablo314[[#This Row],[LW13]]/Tablo27[LW13]*$O$42+Tablo314[[#This Row],[LW14]]/Tablo27[LW14]*$P$42</f>
        <v>24</v>
      </c>
      <c r="X29" s="8" cm="1">
        <f t="array" ref="X29">F29/Tablo27[LW1]*$C$43+Tablo314[[#This Row],[LW2]]/Tablo27[LW2]*$D$43+Tablo314[[#This Row],[LW3]]/Tablo27[LW3]*$E$43+Tablo314[[#This Row],[LW4]]/Tablo27[LW4]*$F$43+Tablo314[[#This Row],[LW5]]/Tablo27[LW5]*$G$43+Tablo314[[#This Row],[LW6]]/Tablo27[LW6]*$H$43+Tablo314[[#This Row],[LW7]]/Tablo27[LW7]*$I$43+Tablo314[[#This Row],[LW8]]/Tablo27[LW8]*$J$43+Tablo314[[#This Row],[LW9]]/Tablo27[LW9]*$K$43+Tablo314[[#This Row],[LW10]]/Tablo27[LW10]*$L$43+Tablo314[[#This Row],[LW11]]/Tablo27[LW11]*$M$43+Tablo314[[#This Row],[LW12]]/Tablo27[LW12]*$N$43+Tablo314[[#This Row],[LW13]]/Tablo27[LW13]*$O$43+Tablo314[[#This Row],[LW14]]/Tablo27[LW14]*$P$43</f>
        <v>22.5</v>
      </c>
      <c r="Y29" s="92" cm="1">
        <f t="array" ref="Y29">F29/Tablo27[LW1]*$C$44+Tablo314[[#This Row],[LW2]]/Tablo27[LW2]*$D$44+Tablo314[[#This Row],[LW3]]/Tablo27[LW3]*$E$44+Tablo314[[#This Row],[LW4]]/Tablo27[LW4]*$F$44+Tablo314[[#This Row],[LW5]]/Tablo27[LW5]*$G$44+Tablo314[[#This Row],[LW6]]/Tablo27[LW6]*$H$44+Tablo314[[#This Row],[LW7]]/Tablo27[LW7]*$I$44+Tablo314[[#This Row],[LW8]]/Tablo27[LW8]*$J$44+Tablo314[[#This Row],[LW9]]/Tablo27[LW9]*$K$44+Tablo314[[#This Row],[LW10]]/Tablo27[LW10]*$L$44+Tablo314[[#This Row],[LW11]]/Tablo27[LW11]*$M$44+Tablo314[[#This Row],[LW12]]/Tablo27[LW12]*$N$44+Tablo314[[#This Row],[LW13]]/Tablo27[LW13]*$O$44+Tablo314[[#This Row],[LW14]]/Tablo27[LW14]*$P$44</f>
        <v>0</v>
      </c>
      <c r="Z29" s="92" cm="1">
        <f t="array" ref="Z29">F29/Tablo27[LW1]*$C$45+Tablo314[[#This Row],[LW2]]/Tablo27[LW2]*$D$45+Tablo314[[#This Row],[LW3]]/Tablo27[LW3]*$E$45+Tablo314[[#This Row],[LW4]]/Tablo27[LW4]*$F$45+Tablo314[[#This Row],[LW5]]/Tablo27[LW5]*$G$45+Tablo314[[#This Row],[LW6]]/Tablo27[LW6]*$H$45+Tablo314[[#This Row],[LW7]]/Tablo27[LW7]*$I$45+Tablo314[[#This Row],[LW8]]/Tablo27[LW8]*$J$45+Tablo314[[#This Row],[LW9]]/Tablo27[LW9]*$K$45+Tablo314[[#This Row],[LW10]]/Tablo27[LW10]*$L$45+Tablo314[[#This Row],[LW11]]/Tablo27[LW11]*$M$45+Tablo314[[#This Row],[LW12]]/Tablo27[LW12]*$N$45+Tablo314[[#This Row],[LW13]]/Tablo27[LW13]*$O$45+Tablo314[[#This Row],[LW14]]/Tablo27[LW14]*$P$45</f>
        <v>0</v>
      </c>
      <c r="AA29" s="92" cm="1">
        <f t="array" ref="AA29">F29/Tablo27[LW1]*$C$46+Tablo314[[#This Row],[LW2]]/Tablo27[LW2]*$D$46+Tablo314[[#This Row],[LW3]]/Tablo27[LW3]*$E$46+Tablo314[[#This Row],[LW4]]/Tablo27[LW4]*$F$46+Tablo314[[#This Row],[LW5]]/Tablo27[LW5]*$G$46+Tablo314[[#This Row],[LW6]]/Tablo27[LW6]*$H$46+Tablo314[[#This Row],[LW7]]/Tablo27[LW7]*$I$46+Tablo314[[#This Row],[LW8]]/Tablo27[LW8]*$J$46+Tablo314[[#This Row],[LW9]]/Tablo27[LW9]*$K$46+Tablo314[[#This Row],[LW10]]/Tablo27[LW10]*$L$46+Tablo314[[#This Row],[LW11]]/Tablo27[LW11]*$M$46+Tablo314[[#This Row],[LW12]]/Tablo27[LW12]*$N$46+Tablo314[[#This Row],[LW13]]/Tablo27[LW13]*$O$46+Tablo314[[#This Row],[LW14]]/Tablo27[LW14]*$P$46</f>
        <v>0</v>
      </c>
      <c r="AB29" s="92" cm="1">
        <f t="array" ref="AB29">F29/Tablo27[LW1]*$C$47+Tablo314[[#This Row],[LW2]]/Tablo27[LW2]*$D$47+Tablo314[[#This Row],[LW3]]/Tablo27[LW3]*$E$47+Tablo314[[#This Row],[LW4]]/Tablo27[LW4]*$F$47+Tablo314[[#This Row],[LW5]]/Tablo27[LW5]*$G$47+Tablo314[[#This Row],[LW6]]/Tablo27[LW6]*$H$47+Tablo314[[#This Row],[LW7]]/Tablo27[LW7]*$I$47+Tablo314[[#This Row],[LW8]]/Tablo27[LW8]*$J$47+Tablo314[[#This Row],[LW9]]/Tablo27[LW9]*$K$47+Tablo314[[#This Row],[LW10]]/Tablo27[LW10]*$L$47+Tablo314[[#This Row],[LW11]]/Tablo27[LW11]*$M$47+Tablo314[[#This Row],[LW12]]/Tablo27[LW12]*$N$47+Tablo314[[#This Row],[LW13]]/Tablo27[LW13]*$O$47+Tablo314[[#This Row],[LW14]]/Tablo27[LW14]*$P$47</f>
        <v>0</v>
      </c>
      <c r="AC29" s="92" cm="1">
        <f t="array" ref="AC29">F29/Tablo27[LW1]*$C$48+Tablo314[[#This Row],[LW2]]/Tablo27[LW2]*$D$48+Tablo314[[#This Row],[LW3]]/Tablo27[LW3]*$E$48+Tablo314[[#This Row],[LW4]]/Tablo27[LW4]*$F$48+Tablo314[[#This Row],[LW5]]/Tablo27[LW5]*$G$48+Tablo314[[#This Row],[LW6]]/Tablo27[LW6]*$H$48+Tablo314[[#This Row],[LW7]]/Tablo27[LW7]*$I$48+Tablo314[[#This Row],[LW8]]/Tablo27[LW8]*$J$48+Tablo314[[#This Row],[LW9]]/Tablo27[LW9]*$K$48+Tablo314[[#This Row],[LW10]]/Tablo27[LW10]*$L$48+Tablo314[[#This Row],[LW11]]/Tablo27[LW11]*$M$48+Tablo314[[#This Row],[LW12]]/Tablo27[LW12]*$N$48+Tablo314[[#This Row],[LW13]]/Tablo27[LW13]*$O$48+Tablo314[[#This Row],[LW14]]/Tablo27[LW14]*$P$48</f>
        <v>0</v>
      </c>
      <c r="AD29" s="92" cm="1">
        <f t="array" ref="AD29">F29/Tablo27[LW1]*$C$49+Tablo314[[#This Row],[LW2]]/Tablo27[LW2]*$D$49+Tablo314[[#This Row],[LW3]]/Tablo27[LW3]*$E$49+Tablo314[[#This Row],[LW4]]/Tablo27[LW4]*$F$49+Tablo314[[#This Row],[LW5]]/Tablo27[LW5]*$G$49+Tablo314[[#This Row],[LW6]]/Tablo27[LW6]*$H$49+Tablo314[[#This Row],[LW7]]/Tablo27[LW7]*$I$49+Tablo314[[#This Row],[LW8]]/Tablo27[LW8]*$J$49+Tablo314[[#This Row],[LW9]]/Tablo27[LW9]*$K$49+Tablo314[[#This Row],[LW10]]/Tablo27[LW10]*$L$49+Tablo314[[#This Row],[LW11]]/Tablo27[LW11]*$M$49+Tablo314[[#This Row],[LW12]]/Tablo27[LW12]*$N$49+Tablo314[[#This Row],[LW13]]/Tablo27[LW13]*$O$49+Tablo314[[#This Row],[LW14]]/Tablo27[LW14]*$P$49</f>
        <v>0</v>
      </c>
      <c r="AE29" s="8">
        <f>SUM(Tablo314[[#This Row],[DÇ1]],Tablo314[[#This Row],[DÇ2]],Tablo314[[#This Row],[DÇ3]],Tablo314[[#This Row],[DÇ4]])</f>
        <v>86.5</v>
      </c>
      <c r="AF29" s="9" cm="1">
        <f t="array" ref="AF29">_xlfn.NORM.DIST(Tablo314[[#This Row],[TOTAL]],Tablo29[Mean],Tablo29[Variance],FALSE)</f>
        <v>3.8876213798223814E-3</v>
      </c>
    </row>
    <row r="30" spans="2:32" ht="15.6" thickTop="1" thickBot="1" x14ac:dyDescent="0.35">
      <c r="B30" s="93">
        <v>26</v>
      </c>
      <c r="C30" s="14">
        <v>12</v>
      </c>
      <c r="D30" s="61" t="s">
        <v>110</v>
      </c>
      <c r="E30" s="61" t="s">
        <v>111</v>
      </c>
      <c r="F30" s="5">
        <v>5</v>
      </c>
      <c r="G30" s="5">
        <v>2</v>
      </c>
      <c r="H30" s="5">
        <v>5</v>
      </c>
      <c r="I30" s="5">
        <v>3</v>
      </c>
      <c r="J30" s="5">
        <v>0</v>
      </c>
      <c r="K30" s="5">
        <v>0</v>
      </c>
      <c r="L30" s="5">
        <v>0</v>
      </c>
      <c r="M30" s="5">
        <v>3</v>
      </c>
      <c r="N30" s="5">
        <v>3</v>
      </c>
      <c r="O30" s="5">
        <v>0</v>
      </c>
      <c r="P30" s="5">
        <v>6</v>
      </c>
      <c r="Q30" s="5">
        <v>0</v>
      </c>
      <c r="R30" s="5">
        <v>6</v>
      </c>
      <c r="S30" s="5">
        <v>8</v>
      </c>
      <c r="T30" s="8">
        <f>SUM(Tablo314[[#This Row],[LW1]:[LW14]])</f>
        <v>41</v>
      </c>
      <c r="U30" s="8" cm="1">
        <f t="array" ref="U30">F30/Tablo27[LW1]*$C$40+Tablo314[[#This Row],[LW2]]/Tablo27[LW2]*$D$40+Tablo314[[#This Row],[LW3]]/Tablo27[LW3]*$E$40+Tablo314[[#This Row],[LW4]]/Tablo27[LW4]*$F$40+Tablo314[[#This Row],[LW5]]/Tablo27[LW5]*$G$40+Tablo314[[#This Row],[LW6]]/Tablo27[LW6]*$H$40+Tablo314[[#This Row],[LW7]]/Tablo27[LW7]*$I$40+Tablo314[[#This Row],[LW8]]/Tablo27[LW8]*$J$40+Tablo314[[#This Row],[LW9]]/Tablo27[LW9]*$K$40+Tablo314[[#This Row],[LW10]]/Tablo27[LW10]*$L$40+Tablo314[[#This Row],[LW11]]/Tablo27[LW11]*$M$40+Tablo314[[#This Row],[LW12]]/Tablo27[LW12]*$N$40+Tablo314[[#This Row],[LW13]]/Tablo27[LW13]*$O$40+Tablo314[[#This Row],[LW14]]/Tablo27[LW14]*$P$40</f>
        <v>16</v>
      </c>
      <c r="V30" s="8" cm="1">
        <f t="array" ref="V30">F30/Tablo27[LW1]*$C$41+Tablo314[[#This Row],[LW2]]/Tablo27[LW2]*$D$41+Tablo314[[#This Row],[LW3]]/Tablo27[LW3]*$E$41+Tablo314[[#This Row],[LW4]]/Tablo27[LW4]*$F$41+Tablo314[[#This Row],[LW5]]/Tablo27[LW5]*$G$41+Tablo314[[#This Row],[LW6]]/Tablo27[LW6]*$H$41+Tablo314[[#This Row],[LW7]]/Tablo27[LW7]*$I$41+Tablo314[[#This Row],[LW8]]/Tablo27[LW8]*$J$41+Tablo314[[#This Row],[LW9]]/Tablo27[LW9]*$K$41+Tablo314[[#This Row],[LW10]]/Tablo27[LW10]*$L$41+Tablo314[[#This Row],[LW11]]/Tablo27[LW11]*$M$41+Tablo314[[#This Row],[LW12]]/Tablo27[LW12]*$N$41+Tablo314[[#This Row],[LW13]]/Tablo27[LW13]*$O$41+Tablo314[[#This Row],[LW14]]/Tablo27[LW14]*$P$41</f>
        <v>13</v>
      </c>
      <c r="W30" s="8" cm="1">
        <f t="array" ref="W30">F30/Tablo27[LW1]*$C$42+Tablo314[[#This Row],[LW2]]/Tablo27[LW2]*$D$42+Tablo314[[#This Row],[LW3]]/Tablo27[LW3]*$E$42+Tablo314[[#This Row],[LW4]]/Tablo27[LW4]*$F$42+Tablo314[[#This Row],[LW5]]/Tablo27[LW5]*$G$42+Tablo314[[#This Row],[LW6]]/Tablo27[LW6]*$H$42+Tablo314[[#This Row],[LW7]]/Tablo27[LW7]*$I$42+Tablo314[[#This Row],[LW8]]/Tablo27[LW8]*$J$42+Tablo314[[#This Row],[LW9]]/Tablo27[LW9]*$K$42+Tablo314[[#This Row],[LW10]]/Tablo27[LW10]*$L$42+Tablo314[[#This Row],[LW11]]/Tablo27[LW11]*$M$42+Tablo314[[#This Row],[LW12]]/Tablo27[LW12]*$N$42+Tablo314[[#This Row],[LW13]]/Tablo27[LW13]*$O$42+Tablo314[[#This Row],[LW14]]/Tablo27[LW14]*$P$42</f>
        <v>19</v>
      </c>
      <c r="X30" s="8" cm="1">
        <f t="array" ref="X30">F30/Tablo27[LW1]*$C$43+Tablo314[[#This Row],[LW2]]/Tablo27[LW2]*$D$43+Tablo314[[#This Row],[LW3]]/Tablo27[LW3]*$E$43+Tablo314[[#This Row],[LW4]]/Tablo27[LW4]*$F$43+Tablo314[[#This Row],[LW5]]/Tablo27[LW5]*$G$43+Tablo314[[#This Row],[LW6]]/Tablo27[LW6]*$H$43+Tablo314[[#This Row],[LW7]]/Tablo27[LW7]*$I$43+Tablo314[[#This Row],[LW8]]/Tablo27[LW8]*$J$43+Tablo314[[#This Row],[LW9]]/Tablo27[LW9]*$K$43+Tablo314[[#This Row],[LW10]]/Tablo27[LW10]*$L$43+Tablo314[[#This Row],[LW11]]/Tablo27[LW11]*$M$43+Tablo314[[#This Row],[LW12]]/Tablo27[LW12]*$N$43+Tablo314[[#This Row],[LW13]]/Tablo27[LW13]*$O$43+Tablo314[[#This Row],[LW14]]/Tablo27[LW14]*$P$43</f>
        <v>19</v>
      </c>
      <c r="Y30" s="92" cm="1">
        <f t="array" ref="Y30">F30/Tablo27[LW1]*$C$44+Tablo314[[#This Row],[LW2]]/Tablo27[LW2]*$D$44+Tablo314[[#This Row],[LW3]]/Tablo27[LW3]*$E$44+Tablo314[[#This Row],[LW4]]/Tablo27[LW4]*$F$44+Tablo314[[#This Row],[LW5]]/Tablo27[LW5]*$G$44+Tablo314[[#This Row],[LW6]]/Tablo27[LW6]*$H$44+Tablo314[[#This Row],[LW7]]/Tablo27[LW7]*$I$44+Tablo314[[#This Row],[LW8]]/Tablo27[LW8]*$J$44+Tablo314[[#This Row],[LW9]]/Tablo27[LW9]*$K$44+Tablo314[[#This Row],[LW10]]/Tablo27[LW10]*$L$44+Tablo314[[#This Row],[LW11]]/Tablo27[LW11]*$M$44+Tablo314[[#This Row],[LW12]]/Tablo27[LW12]*$N$44+Tablo314[[#This Row],[LW13]]/Tablo27[LW13]*$O$44+Tablo314[[#This Row],[LW14]]/Tablo27[LW14]*$P$44</f>
        <v>0</v>
      </c>
      <c r="Z30" s="92" cm="1">
        <f t="array" ref="Z30">F30/Tablo27[LW1]*$C$45+Tablo314[[#This Row],[LW2]]/Tablo27[LW2]*$D$45+Tablo314[[#This Row],[LW3]]/Tablo27[LW3]*$E$45+Tablo314[[#This Row],[LW4]]/Tablo27[LW4]*$F$45+Tablo314[[#This Row],[LW5]]/Tablo27[LW5]*$G$45+Tablo314[[#This Row],[LW6]]/Tablo27[LW6]*$H$45+Tablo314[[#This Row],[LW7]]/Tablo27[LW7]*$I$45+Tablo314[[#This Row],[LW8]]/Tablo27[LW8]*$J$45+Tablo314[[#This Row],[LW9]]/Tablo27[LW9]*$K$45+Tablo314[[#This Row],[LW10]]/Tablo27[LW10]*$L$45+Tablo314[[#This Row],[LW11]]/Tablo27[LW11]*$M$45+Tablo314[[#This Row],[LW12]]/Tablo27[LW12]*$N$45+Tablo314[[#This Row],[LW13]]/Tablo27[LW13]*$O$45+Tablo314[[#This Row],[LW14]]/Tablo27[LW14]*$P$45</f>
        <v>0</v>
      </c>
      <c r="AA30" s="92" cm="1">
        <f t="array" ref="AA30">F30/Tablo27[LW1]*$C$46+Tablo314[[#This Row],[LW2]]/Tablo27[LW2]*$D$46+Tablo314[[#This Row],[LW3]]/Tablo27[LW3]*$E$46+Tablo314[[#This Row],[LW4]]/Tablo27[LW4]*$F$46+Tablo314[[#This Row],[LW5]]/Tablo27[LW5]*$G$46+Tablo314[[#This Row],[LW6]]/Tablo27[LW6]*$H$46+Tablo314[[#This Row],[LW7]]/Tablo27[LW7]*$I$46+Tablo314[[#This Row],[LW8]]/Tablo27[LW8]*$J$46+Tablo314[[#This Row],[LW9]]/Tablo27[LW9]*$K$46+Tablo314[[#This Row],[LW10]]/Tablo27[LW10]*$L$46+Tablo314[[#This Row],[LW11]]/Tablo27[LW11]*$M$46+Tablo314[[#This Row],[LW12]]/Tablo27[LW12]*$N$46+Tablo314[[#This Row],[LW13]]/Tablo27[LW13]*$O$46+Tablo314[[#This Row],[LW14]]/Tablo27[LW14]*$P$46</f>
        <v>0</v>
      </c>
      <c r="AB30" s="92" cm="1">
        <f t="array" ref="AB30">F30/Tablo27[LW1]*$C$47+Tablo314[[#This Row],[LW2]]/Tablo27[LW2]*$D$47+Tablo314[[#This Row],[LW3]]/Tablo27[LW3]*$E$47+Tablo314[[#This Row],[LW4]]/Tablo27[LW4]*$F$47+Tablo314[[#This Row],[LW5]]/Tablo27[LW5]*$G$47+Tablo314[[#This Row],[LW6]]/Tablo27[LW6]*$H$47+Tablo314[[#This Row],[LW7]]/Tablo27[LW7]*$I$47+Tablo314[[#This Row],[LW8]]/Tablo27[LW8]*$J$47+Tablo314[[#This Row],[LW9]]/Tablo27[LW9]*$K$47+Tablo314[[#This Row],[LW10]]/Tablo27[LW10]*$L$47+Tablo314[[#This Row],[LW11]]/Tablo27[LW11]*$M$47+Tablo314[[#This Row],[LW12]]/Tablo27[LW12]*$N$47+Tablo314[[#This Row],[LW13]]/Tablo27[LW13]*$O$47+Tablo314[[#This Row],[LW14]]/Tablo27[LW14]*$P$47</f>
        <v>0</v>
      </c>
      <c r="AC30" s="92" cm="1">
        <f t="array" ref="AC30">F30/Tablo27[LW1]*$C$48+Tablo314[[#This Row],[LW2]]/Tablo27[LW2]*$D$48+Tablo314[[#This Row],[LW3]]/Tablo27[LW3]*$E$48+Tablo314[[#This Row],[LW4]]/Tablo27[LW4]*$F$48+Tablo314[[#This Row],[LW5]]/Tablo27[LW5]*$G$48+Tablo314[[#This Row],[LW6]]/Tablo27[LW6]*$H$48+Tablo314[[#This Row],[LW7]]/Tablo27[LW7]*$I$48+Tablo314[[#This Row],[LW8]]/Tablo27[LW8]*$J$48+Tablo314[[#This Row],[LW9]]/Tablo27[LW9]*$K$48+Tablo314[[#This Row],[LW10]]/Tablo27[LW10]*$L$48+Tablo314[[#This Row],[LW11]]/Tablo27[LW11]*$M$48+Tablo314[[#This Row],[LW12]]/Tablo27[LW12]*$N$48+Tablo314[[#This Row],[LW13]]/Tablo27[LW13]*$O$48+Tablo314[[#This Row],[LW14]]/Tablo27[LW14]*$P$48</f>
        <v>0</v>
      </c>
      <c r="AD30" s="92" cm="1">
        <f t="array" ref="AD30">F30/Tablo27[LW1]*$C$49+Tablo314[[#This Row],[LW2]]/Tablo27[LW2]*$D$49+Tablo314[[#This Row],[LW3]]/Tablo27[LW3]*$E$49+Tablo314[[#This Row],[LW4]]/Tablo27[LW4]*$F$49+Tablo314[[#This Row],[LW5]]/Tablo27[LW5]*$G$49+Tablo314[[#This Row],[LW6]]/Tablo27[LW6]*$H$49+Tablo314[[#This Row],[LW7]]/Tablo27[LW7]*$I$49+Tablo314[[#This Row],[LW8]]/Tablo27[LW8]*$J$49+Tablo314[[#This Row],[LW9]]/Tablo27[LW9]*$K$49+Tablo314[[#This Row],[LW10]]/Tablo27[LW10]*$L$49+Tablo314[[#This Row],[LW11]]/Tablo27[LW11]*$M$49+Tablo314[[#This Row],[LW12]]/Tablo27[LW12]*$N$49+Tablo314[[#This Row],[LW13]]/Tablo27[LW13]*$O$49+Tablo314[[#This Row],[LW14]]/Tablo27[LW14]*$P$49</f>
        <v>0</v>
      </c>
      <c r="AE30" s="8">
        <f>SUM(Tablo314[[#This Row],[DÇ1]],Tablo314[[#This Row],[DÇ2]],Tablo314[[#This Row],[DÇ3]],Tablo314[[#This Row],[DÇ4]])</f>
        <v>67</v>
      </c>
      <c r="AF30" s="9" cm="1">
        <f t="array" ref="AF30">_xlfn.NORM.DIST(Tablo314[[#This Row],[TOTAL]],Tablo29[Mean],Tablo29[Variance],FALSE)</f>
        <v>3.8832648604583985E-3</v>
      </c>
    </row>
    <row r="31" spans="2:32" ht="15.6" thickTop="1" thickBot="1" x14ac:dyDescent="0.35">
      <c r="B31" s="91">
        <v>27</v>
      </c>
      <c r="C31" s="14">
        <v>3</v>
      </c>
      <c r="D31" s="66" t="s">
        <v>110</v>
      </c>
      <c r="E31" s="61" t="s">
        <v>111</v>
      </c>
      <c r="F31" s="5">
        <v>5</v>
      </c>
      <c r="G31" s="5">
        <v>2</v>
      </c>
      <c r="H31" s="5">
        <v>5</v>
      </c>
      <c r="I31" s="5">
        <v>5</v>
      </c>
      <c r="J31" s="5">
        <v>1</v>
      </c>
      <c r="K31" s="5">
        <v>7</v>
      </c>
      <c r="L31" s="5">
        <v>5</v>
      </c>
      <c r="M31" s="5">
        <v>1</v>
      </c>
      <c r="N31" s="5">
        <v>3</v>
      </c>
      <c r="O31" s="5">
        <v>2</v>
      </c>
      <c r="P31" s="5">
        <v>1</v>
      </c>
      <c r="Q31" s="5">
        <v>1</v>
      </c>
      <c r="R31" s="5">
        <v>2</v>
      </c>
      <c r="S31" s="5">
        <v>0</v>
      </c>
      <c r="T31" s="8">
        <f>SUM(Tablo314[[#This Row],[LW1]:[LW14]])</f>
        <v>40</v>
      </c>
      <c r="U31" s="8" cm="1">
        <f t="array" ref="U31">F31/Tablo27[LW1]*$C$40+Tablo314[[#This Row],[LW2]]/Tablo27[LW2]*$D$40+Tablo314[[#This Row],[LW3]]/Tablo27[LW3]*$E$40+Tablo314[[#This Row],[LW4]]/Tablo27[LW4]*$F$40+Tablo314[[#This Row],[LW5]]/Tablo27[LW5]*$G$40+Tablo314[[#This Row],[LW6]]/Tablo27[LW6]*$H$40+Tablo314[[#This Row],[LW7]]/Tablo27[LW7]*$I$40+Tablo314[[#This Row],[LW8]]/Tablo27[LW8]*$J$40+Tablo314[[#This Row],[LW9]]/Tablo27[LW9]*$K$40+Tablo314[[#This Row],[LW10]]/Tablo27[LW10]*$L$40+Tablo314[[#This Row],[LW11]]/Tablo27[LW11]*$M$40+Tablo314[[#This Row],[LW12]]/Tablo27[LW12]*$N$40+Tablo314[[#This Row],[LW13]]/Tablo27[LW13]*$O$40+Tablo314[[#This Row],[LW14]]/Tablo27[LW14]*$P$40</f>
        <v>15</v>
      </c>
      <c r="V31" s="8" cm="1">
        <f t="array" ref="V31">F31/Tablo27[LW1]*$C$41+Tablo314[[#This Row],[LW2]]/Tablo27[LW2]*$D$41+Tablo314[[#This Row],[LW3]]/Tablo27[LW3]*$E$41+Tablo314[[#This Row],[LW4]]/Tablo27[LW4]*$F$41+Tablo314[[#This Row],[LW5]]/Tablo27[LW5]*$G$41+Tablo314[[#This Row],[LW6]]/Tablo27[LW6]*$H$41+Tablo314[[#This Row],[LW7]]/Tablo27[LW7]*$I$41+Tablo314[[#This Row],[LW8]]/Tablo27[LW8]*$J$41+Tablo314[[#This Row],[LW9]]/Tablo27[LW9]*$K$41+Tablo314[[#This Row],[LW10]]/Tablo27[LW10]*$L$41+Tablo314[[#This Row],[LW11]]/Tablo27[LW11]*$M$41+Tablo314[[#This Row],[LW12]]/Tablo27[LW12]*$N$41+Tablo314[[#This Row],[LW13]]/Tablo27[LW13]*$O$41+Tablo314[[#This Row],[LW14]]/Tablo27[LW14]*$P$41</f>
        <v>21</v>
      </c>
      <c r="W31" s="8" cm="1">
        <f t="array" ref="W31">F31/Tablo27[LW1]*$C$42+Tablo314[[#This Row],[LW2]]/Tablo27[LW2]*$D$42+Tablo314[[#This Row],[LW3]]/Tablo27[LW3]*$E$42+Tablo314[[#This Row],[LW4]]/Tablo27[LW4]*$F$42+Tablo314[[#This Row],[LW5]]/Tablo27[LW5]*$G$42+Tablo314[[#This Row],[LW6]]/Tablo27[LW6]*$H$42+Tablo314[[#This Row],[LW7]]/Tablo27[LW7]*$I$42+Tablo314[[#This Row],[LW8]]/Tablo27[LW8]*$J$42+Tablo314[[#This Row],[LW9]]/Tablo27[LW9]*$K$42+Tablo314[[#This Row],[LW10]]/Tablo27[LW10]*$L$42+Tablo314[[#This Row],[LW11]]/Tablo27[LW11]*$M$42+Tablo314[[#This Row],[LW12]]/Tablo27[LW12]*$N$42+Tablo314[[#This Row],[LW13]]/Tablo27[LW13]*$O$42+Tablo314[[#This Row],[LW14]]/Tablo27[LW14]*$P$42</f>
        <v>17.5</v>
      </c>
      <c r="X31" s="8" cm="1">
        <f t="array" ref="X31">F31/Tablo27[LW1]*$C$43+Tablo314[[#This Row],[LW2]]/Tablo27[LW2]*$D$43+Tablo314[[#This Row],[LW3]]/Tablo27[LW3]*$E$43+Tablo314[[#This Row],[LW4]]/Tablo27[LW4]*$F$43+Tablo314[[#This Row],[LW5]]/Tablo27[LW5]*$G$43+Tablo314[[#This Row],[LW6]]/Tablo27[LW6]*$H$43+Tablo314[[#This Row],[LW7]]/Tablo27[LW7]*$I$43+Tablo314[[#This Row],[LW8]]/Tablo27[LW8]*$J$43+Tablo314[[#This Row],[LW9]]/Tablo27[LW9]*$K$43+Tablo314[[#This Row],[LW10]]/Tablo27[LW10]*$L$43+Tablo314[[#This Row],[LW11]]/Tablo27[LW11]*$M$43+Tablo314[[#This Row],[LW12]]/Tablo27[LW12]*$N$43+Tablo314[[#This Row],[LW13]]/Tablo27[LW13]*$O$43+Tablo314[[#This Row],[LW14]]/Tablo27[LW14]*$P$43</f>
        <v>21.5</v>
      </c>
      <c r="Y31" s="92" cm="1">
        <f t="array" ref="Y31">F31/Tablo27[LW1]*$C$44+Tablo314[[#This Row],[LW2]]/Tablo27[LW2]*$D$44+Tablo314[[#This Row],[LW3]]/Tablo27[LW3]*$E$44+Tablo314[[#This Row],[LW4]]/Tablo27[LW4]*$F$44+Tablo314[[#This Row],[LW5]]/Tablo27[LW5]*$G$44+Tablo314[[#This Row],[LW6]]/Tablo27[LW6]*$H$44+Tablo314[[#This Row],[LW7]]/Tablo27[LW7]*$I$44+Tablo314[[#This Row],[LW8]]/Tablo27[LW8]*$J$44+Tablo314[[#This Row],[LW9]]/Tablo27[LW9]*$K$44+Tablo314[[#This Row],[LW10]]/Tablo27[LW10]*$L$44+Tablo314[[#This Row],[LW11]]/Tablo27[LW11]*$M$44+Tablo314[[#This Row],[LW12]]/Tablo27[LW12]*$N$44+Tablo314[[#This Row],[LW13]]/Tablo27[LW13]*$O$44+Tablo314[[#This Row],[LW14]]/Tablo27[LW14]*$P$44</f>
        <v>0</v>
      </c>
      <c r="Z31" s="92" cm="1">
        <f t="array" ref="Z31">F31/Tablo27[LW1]*$C$45+Tablo314[[#This Row],[LW2]]/Tablo27[LW2]*$D$45+Tablo314[[#This Row],[LW3]]/Tablo27[LW3]*$E$45+Tablo314[[#This Row],[LW4]]/Tablo27[LW4]*$F$45+Tablo314[[#This Row],[LW5]]/Tablo27[LW5]*$G$45+Tablo314[[#This Row],[LW6]]/Tablo27[LW6]*$H$45+Tablo314[[#This Row],[LW7]]/Tablo27[LW7]*$I$45+Tablo314[[#This Row],[LW8]]/Tablo27[LW8]*$J$45+Tablo314[[#This Row],[LW9]]/Tablo27[LW9]*$K$45+Tablo314[[#This Row],[LW10]]/Tablo27[LW10]*$L$45+Tablo314[[#This Row],[LW11]]/Tablo27[LW11]*$M$45+Tablo314[[#This Row],[LW12]]/Tablo27[LW12]*$N$45+Tablo314[[#This Row],[LW13]]/Tablo27[LW13]*$O$45+Tablo314[[#This Row],[LW14]]/Tablo27[LW14]*$P$45</f>
        <v>0</v>
      </c>
      <c r="AA31" s="92" cm="1">
        <f t="array" ref="AA31">F31/Tablo27[LW1]*$C$46+Tablo314[[#This Row],[LW2]]/Tablo27[LW2]*$D$46+Tablo314[[#This Row],[LW3]]/Tablo27[LW3]*$E$46+Tablo314[[#This Row],[LW4]]/Tablo27[LW4]*$F$46+Tablo314[[#This Row],[LW5]]/Tablo27[LW5]*$G$46+Tablo314[[#This Row],[LW6]]/Tablo27[LW6]*$H$46+Tablo314[[#This Row],[LW7]]/Tablo27[LW7]*$I$46+Tablo314[[#This Row],[LW8]]/Tablo27[LW8]*$J$46+Tablo314[[#This Row],[LW9]]/Tablo27[LW9]*$K$46+Tablo314[[#This Row],[LW10]]/Tablo27[LW10]*$L$46+Tablo314[[#This Row],[LW11]]/Tablo27[LW11]*$M$46+Tablo314[[#This Row],[LW12]]/Tablo27[LW12]*$N$46+Tablo314[[#This Row],[LW13]]/Tablo27[LW13]*$O$46+Tablo314[[#This Row],[LW14]]/Tablo27[LW14]*$P$46</f>
        <v>0</v>
      </c>
      <c r="AB31" s="92" cm="1">
        <f t="array" ref="AB31">F31/Tablo27[LW1]*$C$47+Tablo314[[#This Row],[LW2]]/Tablo27[LW2]*$D$47+Tablo314[[#This Row],[LW3]]/Tablo27[LW3]*$E$47+Tablo314[[#This Row],[LW4]]/Tablo27[LW4]*$F$47+Tablo314[[#This Row],[LW5]]/Tablo27[LW5]*$G$47+Tablo314[[#This Row],[LW6]]/Tablo27[LW6]*$H$47+Tablo314[[#This Row],[LW7]]/Tablo27[LW7]*$I$47+Tablo314[[#This Row],[LW8]]/Tablo27[LW8]*$J$47+Tablo314[[#This Row],[LW9]]/Tablo27[LW9]*$K$47+Tablo314[[#This Row],[LW10]]/Tablo27[LW10]*$L$47+Tablo314[[#This Row],[LW11]]/Tablo27[LW11]*$M$47+Tablo314[[#This Row],[LW12]]/Tablo27[LW12]*$N$47+Tablo314[[#This Row],[LW13]]/Tablo27[LW13]*$O$47+Tablo314[[#This Row],[LW14]]/Tablo27[LW14]*$P$47</f>
        <v>0</v>
      </c>
      <c r="AC31" s="92" cm="1">
        <f t="array" ref="AC31">F31/Tablo27[LW1]*$C$48+Tablo314[[#This Row],[LW2]]/Tablo27[LW2]*$D$48+Tablo314[[#This Row],[LW3]]/Tablo27[LW3]*$E$48+Tablo314[[#This Row],[LW4]]/Tablo27[LW4]*$F$48+Tablo314[[#This Row],[LW5]]/Tablo27[LW5]*$G$48+Tablo314[[#This Row],[LW6]]/Tablo27[LW6]*$H$48+Tablo314[[#This Row],[LW7]]/Tablo27[LW7]*$I$48+Tablo314[[#This Row],[LW8]]/Tablo27[LW8]*$J$48+Tablo314[[#This Row],[LW9]]/Tablo27[LW9]*$K$48+Tablo314[[#This Row],[LW10]]/Tablo27[LW10]*$L$48+Tablo314[[#This Row],[LW11]]/Tablo27[LW11]*$M$48+Tablo314[[#This Row],[LW12]]/Tablo27[LW12]*$N$48+Tablo314[[#This Row],[LW13]]/Tablo27[LW13]*$O$48+Tablo314[[#This Row],[LW14]]/Tablo27[LW14]*$P$48</f>
        <v>0</v>
      </c>
      <c r="AD31" s="92" cm="1">
        <f t="array" ref="AD31">F31/Tablo27[LW1]*$C$49+Tablo314[[#This Row],[LW2]]/Tablo27[LW2]*$D$49+Tablo314[[#This Row],[LW3]]/Tablo27[LW3]*$E$49+Tablo314[[#This Row],[LW4]]/Tablo27[LW4]*$F$49+Tablo314[[#This Row],[LW5]]/Tablo27[LW5]*$G$49+Tablo314[[#This Row],[LW6]]/Tablo27[LW6]*$H$49+Tablo314[[#This Row],[LW7]]/Tablo27[LW7]*$I$49+Tablo314[[#This Row],[LW8]]/Tablo27[LW8]*$J$49+Tablo314[[#This Row],[LW9]]/Tablo27[LW9]*$K$49+Tablo314[[#This Row],[LW10]]/Tablo27[LW10]*$L$49+Tablo314[[#This Row],[LW11]]/Tablo27[LW11]*$M$49+Tablo314[[#This Row],[LW12]]/Tablo27[LW12]*$N$49+Tablo314[[#This Row],[LW13]]/Tablo27[LW13]*$O$49+Tablo314[[#This Row],[LW14]]/Tablo27[LW14]*$P$49</f>
        <v>0</v>
      </c>
      <c r="AE31" s="8">
        <f>SUM(Tablo314[[#This Row],[DÇ1]],Tablo314[[#This Row],[DÇ2]],Tablo314[[#This Row],[DÇ3]],Tablo314[[#This Row],[DÇ4]])</f>
        <v>75</v>
      </c>
      <c r="AF31" s="9" cm="1">
        <f t="array" ref="AF31">_xlfn.NORM.DIST(Tablo314[[#This Row],[TOTAL]],Tablo29[Mean],Tablo29[Variance],FALSE)</f>
        <v>3.8785404525604494E-3</v>
      </c>
    </row>
    <row r="32" spans="2:32" ht="15.6" thickTop="1" thickBot="1" x14ac:dyDescent="0.35">
      <c r="B32" s="93">
        <v>28</v>
      </c>
      <c r="C32" s="14">
        <v>1</v>
      </c>
      <c r="D32" s="61" t="s">
        <v>110</v>
      </c>
      <c r="E32" s="61" t="s">
        <v>111</v>
      </c>
      <c r="F32" s="5">
        <v>5</v>
      </c>
      <c r="G32" s="5">
        <v>4</v>
      </c>
      <c r="H32" s="5">
        <v>2</v>
      </c>
      <c r="I32" s="5">
        <v>3</v>
      </c>
      <c r="J32" s="5">
        <v>4</v>
      </c>
      <c r="K32" s="5">
        <v>2</v>
      </c>
      <c r="L32" s="5">
        <v>5</v>
      </c>
      <c r="M32" s="5">
        <v>5</v>
      </c>
      <c r="N32" s="5">
        <v>1</v>
      </c>
      <c r="O32" s="5">
        <v>3</v>
      </c>
      <c r="P32" s="5">
        <v>0</v>
      </c>
      <c r="Q32" s="5">
        <v>2</v>
      </c>
      <c r="R32" s="5">
        <v>2</v>
      </c>
      <c r="S32" s="5">
        <v>1</v>
      </c>
      <c r="T32" s="8">
        <f>SUM(Tablo314[[#This Row],[LW1]:[LW14]])</f>
        <v>39</v>
      </c>
      <c r="U32" s="8" cm="1">
        <f t="array" ref="U32">F32/Tablo27[LW1]*$C$40+Tablo314[[#This Row],[LW2]]/Tablo27[LW2]*$D$40+Tablo314[[#This Row],[LW3]]/Tablo27[LW3]*$E$40+Tablo314[[#This Row],[LW4]]/Tablo27[LW4]*$F$40+Tablo314[[#This Row],[LW5]]/Tablo27[LW5]*$G$40+Tablo314[[#This Row],[LW6]]/Tablo27[LW6]*$H$40+Tablo314[[#This Row],[LW7]]/Tablo27[LW7]*$I$40+Tablo314[[#This Row],[LW8]]/Tablo27[LW8]*$J$40+Tablo314[[#This Row],[LW9]]/Tablo27[LW9]*$K$40+Tablo314[[#This Row],[LW10]]/Tablo27[LW10]*$L$40+Tablo314[[#This Row],[LW11]]/Tablo27[LW11]*$M$40+Tablo314[[#This Row],[LW12]]/Tablo27[LW12]*$N$40+Tablo314[[#This Row],[LW13]]/Tablo27[LW13]*$O$40+Tablo314[[#This Row],[LW14]]/Tablo27[LW14]*$P$40</f>
        <v>13</v>
      </c>
      <c r="V32" s="8" cm="1">
        <f t="array" ref="V32">F32/Tablo27[LW1]*$C$41+Tablo314[[#This Row],[LW2]]/Tablo27[LW2]*$D$41+Tablo314[[#This Row],[LW3]]/Tablo27[LW3]*$E$41+Tablo314[[#This Row],[LW4]]/Tablo27[LW4]*$F$41+Tablo314[[#This Row],[LW5]]/Tablo27[LW5]*$G$41+Tablo314[[#This Row],[LW6]]/Tablo27[LW6]*$H$41+Tablo314[[#This Row],[LW7]]/Tablo27[LW7]*$I$41+Tablo314[[#This Row],[LW8]]/Tablo27[LW8]*$J$41+Tablo314[[#This Row],[LW9]]/Tablo27[LW9]*$K$41+Tablo314[[#This Row],[LW10]]/Tablo27[LW10]*$L$41+Tablo314[[#This Row],[LW11]]/Tablo27[LW11]*$M$41+Tablo314[[#This Row],[LW12]]/Tablo27[LW12]*$N$41+Tablo314[[#This Row],[LW13]]/Tablo27[LW13]*$O$41+Tablo314[[#This Row],[LW14]]/Tablo27[LW14]*$P$41</f>
        <v>18.5</v>
      </c>
      <c r="W32" s="8" cm="1">
        <f t="array" ref="W32">F32/Tablo27[LW1]*$C$42+Tablo314[[#This Row],[LW2]]/Tablo27[LW2]*$D$42+Tablo314[[#This Row],[LW3]]/Tablo27[LW3]*$E$42+Tablo314[[#This Row],[LW4]]/Tablo27[LW4]*$F$42+Tablo314[[#This Row],[LW5]]/Tablo27[LW5]*$G$42+Tablo314[[#This Row],[LW6]]/Tablo27[LW6]*$H$42+Tablo314[[#This Row],[LW7]]/Tablo27[LW7]*$I$42+Tablo314[[#This Row],[LW8]]/Tablo27[LW8]*$J$42+Tablo314[[#This Row],[LW9]]/Tablo27[LW9]*$K$42+Tablo314[[#This Row],[LW10]]/Tablo27[LW10]*$L$42+Tablo314[[#This Row],[LW11]]/Tablo27[LW11]*$M$42+Tablo314[[#This Row],[LW12]]/Tablo27[LW12]*$N$42+Tablo314[[#This Row],[LW13]]/Tablo27[LW13]*$O$42+Tablo314[[#This Row],[LW14]]/Tablo27[LW14]*$P$42</f>
        <v>21</v>
      </c>
      <c r="X32" s="8" cm="1">
        <f t="array" ref="X32">F32/Tablo27[LW1]*$C$43+Tablo314[[#This Row],[LW2]]/Tablo27[LW2]*$D$43+Tablo314[[#This Row],[LW3]]/Tablo27[LW3]*$E$43+Tablo314[[#This Row],[LW4]]/Tablo27[LW4]*$F$43+Tablo314[[#This Row],[LW5]]/Tablo27[LW5]*$G$43+Tablo314[[#This Row],[LW6]]/Tablo27[LW6]*$H$43+Tablo314[[#This Row],[LW7]]/Tablo27[LW7]*$I$43+Tablo314[[#This Row],[LW8]]/Tablo27[LW8]*$J$43+Tablo314[[#This Row],[LW9]]/Tablo27[LW9]*$K$43+Tablo314[[#This Row],[LW10]]/Tablo27[LW10]*$L$43+Tablo314[[#This Row],[LW11]]/Tablo27[LW11]*$M$43+Tablo314[[#This Row],[LW12]]/Tablo27[LW12]*$N$43+Tablo314[[#This Row],[LW13]]/Tablo27[LW13]*$O$43+Tablo314[[#This Row],[LW14]]/Tablo27[LW14]*$P$43</f>
        <v>23</v>
      </c>
      <c r="Y32" s="92" cm="1">
        <f t="array" ref="Y32">F32/Tablo27[LW1]*$C$44+Tablo314[[#This Row],[LW2]]/Tablo27[LW2]*$D$44+Tablo314[[#This Row],[LW3]]/Tablo27[LW3]*$E$44+Tablo314[[#This Row],[LW4]]/Tablo27[LW4]*$F$44+Tablo314[[#This Row],[LW5]]/Tablo27[LW5]*$G$44+Tablo314[[#This Row],[LW6]]/Tablo27[LW6]*$H$44+Tablo314[[#This Row],[LW7]]/Tablo27[LW7]*$I$44+Tablo314[[#This Row],[LW8]]/Tablo27[LW8]*$J$44+Tablo314[[#This Row],[LW9]]/Tablo27[LW9]*$K$44+Tablo314[[#This Row],[LW10]]/Tablo27[LW10]*$L$44+Tablo314[[#This Row],[LW11]]/Tablo27[LW11]*$M$44+Tablo314[[#This Row],[LW12]]/Tablo27[LW12]*$N$44+Tablo314[[#This Row],[LW13]]/Tablo27[LW13]*$O$44+Tablo314[[#This Row],[LW14]]/Tablo27[LW14]*$P$44</f>
        <v>0</v>
      </c>
      <c r="Z32" s="92" cm="1">
        <f t="array" ref="Z32">F32/Tablo27[LW1]*$C$45+Tablo314[[#This Row],[LW2]]/Tablo27[LW2]*$D$45+Tablo314[[#This Row],[LW3]]/Tablo27[LW3]*$E$45+Tablo314[[#This Row],[LW4]]/Tablo27[LW4]*$F$45+Tablo314[[#This Row],[LW5]]/Tablo27[LW5]*$G$45+Tablo314[[#This Row],[LW6]]/Tablo27[LW6]*$H$45+Tablo314[[#This Row],[LW7]]/Tablo27[LW7]*$I$45+Tablo314[[#This Row],[LW8]]/Tablo27[LW8]*$J$45+Tablo314[[#This Row],[LW9]]/Tablo27[LW9]*$K$45+Tablo314[[#This Row],[LW10]]/Tablo27[LW10]*$L$45+Tablo314[[#This Row],[LW11]]/Tablo27[LW11]*$M$45+Tablo314[[#This Row],[LW12]]/Tablo27[LW12]*$N$45+Tablo314[[#This Row],[LW13]]/Tablo27[LW13]*$O$45+Tablo314[[#This Row],[LW14]]/Tablo27[LW14]*$P$45</f>
        <v>0</v>
      </c>
      <c r="AA32" s="92" cm="1">
        <f t="array" ref="AA32">F32/Tablo27[LW1]*$C$46+Tablo314[[#This Row],[LW2]]/Tablo27[LW2]*$D$46+Tablo314[[#This Row],[LW3]]/Tablo27[LW3]*$E$46+Tablo314[[#This Row],[LW4]]/Tablo27[LW4]*$F$46+Tablo314[[#This Row],[LW5]]/Tablo27[LW5]*$G$46+Tablo314[[#This Row],[LW6]]/Tablo27[LW6]*$H$46+Tablo314[[#This Row],[LW7]]/Tablo27[LW7]*$I$46+Tablo314[[#This Row],[LW8]]/Tablo27[LW8]*$J$46+Tablo314[[#This Row],[LW9]]/Tablo27[LW9]*$K$46+Tablo314[[#This Row],[LW10]]/Tablo27[LW10]*$L$46+Tablo314[[#This Row],[LW11]]/Tablo27[LW11]*$M$46+Tablo314[[#This Row],[LW12]]/Tablo27[LW12]*$N$46+Tablo314[[#This Row],[LW13]]/Tablo27[LW13]*$O$46+Tablo314[[#This Row],[LW14]]/Tablo27[LW14]*$P$46</f>
        <v>0</v>
      </c>
      <c r="AB32" s="92" cm="1">
        <f t="array" ref="AB32">F32/Tablo27[LW1]*$C$47+Tablo314[[#This Row],[LW2]]/Tablo27[LW2]*$D$47+Tablo314[[#This Row],[LW3]]/Tablo27[LW3]*$E$47+Tablo314[[#This Row],[LW4]]/Tablo27[LW4]*$F$47+Tablo314[[#This Row],[LW5]]/Tablo27[LW5]*$G$47+Tablo314[[#This Row],[LW6]]/Tablo27[LW6]*$H$47+Tablo314[[#This Row],[LW7]]/Tablo27[LW7]*$I$47+Tablo314[[#This Row],[LW8]]/Tablo27[LW8]*$J$47+Tablo314[[#This Row],[LW9]]/Tablo27[LW9]*$K$47+Tablo314[[#This Row],[LW10]]/Tablo27[LW10]*$L$47+Tablo314[[#This Row],[LW11]]/Tablo27[LW11]*$M$47+Tablo314[[#This Row],[LW12]]/Tablo27[LW12]*$N$47+Tablo314[[#This Row],[LW13]]/Tablo27[LW13]*$O$47+Tablo314[[#This Row],[LW14]]/Tablo27[LW14]*$P$47</f>
        <v>0</v>
      </c>
      <c r="AC32" s="92" cm="1">
        <f t="array" ref="AC32">F32/Tablo27[LW1]*$C$48+Tablo314[[#This Row],[LW2]]/Tablo27[LW2]*$D$48+Tablo314[[#This Row],[LW3]]/Tablo27[LW3]*$E$48+Tablo314[[#This Row],[LW4]]/Tablo27[LW4]*$F$48+Tablo314[[#This Row],[LW5]]/Tablo27[LW5]*$G$48+Tablo314[[#This Row],[LW6]]/Tablo27[LW6]*$H$48+Tablo314[[#This Row],[LW7]]/Tablo27[LW7]*$I$48+Tablo314[[#This Row],[LW8]]/Tablo27[LW8]*$J$48+Tablo314[[#This Row],[LW9]]/Tablo27[LW9]*$K$48+Tablo314[[#This Row],[LW10]]/Tablo27[LW10]*$L$48+Tablo314[[#This Row],[LW11]]/Tablo27[LW11]*$M$48+Tablo314[[#This Row],[LW12]]/Tablo27[LW12]*$N$48+Tablo314[[#This Row],[LW13]]/Tablo27[LW13]*$O$48+Tablo314[[#This Row],[LW14]]/Tablo27[LW14]*$P$48</f>
        <v>0</v>
      </c>
      <c r="AD32" s="92" cm="1">
        <f t="array" ref="AD32">F32/Tablo27[LW1]*$C$49+Tablo314[[#This Row],[LW2]]/Tablo27[LW2]*$D$49+Tablo314[[#This Row],[LW3]]/Tablo27[LW3]*$E$49+Tablo314[[#This Row],[LW4]]/Tablo27[LW4]*$F$49+Tablo314[[#This Row],[LW5]]/Tablo27[LW5]*$G$49+Tablo314[[#This Row],[LW6]]/Tablo27[LW6]*$H$49+Tablo314[[#This Row],[LW7]]/Tablo27[LW7]*$I$49+Tablo314[[#This Row],[LW8]]/Tablo27[LW8]*$J$49+Tablo314[[#This Row],[LW9]]/Tablo27[LW9]*$K$49+Tablo314[[#This Row],[LW10]]/Tablo27[LW10]*$L$49+Tablo314[[#This Row],[LW11]]/Tablo27[LW11]*$M$49+Tablo314[[#This Row],[LW12]]/Tablo27[LW12]*$N$49+Tablo314[[#This Row],[LW13]]/Tablo27[LW13]*$O$49+Tablo314[[#This Row],[LW14]]/Tablo27[LW14]*$P$49</f>
        <v>0</v>
      </c>
      <c r="AE32" s="8">
        <f>SUM(Tablo314[[#This Row],[DÇ1]],Tablo314[[#This Row],[DÇ2]],Tablo314[[#This Row],[DÇ3]],Tablo314[[#This Row],[DÇ4]])</f>
        <v>75.5</v>
      </c>
      <c r="AF32" s="9" cm="1">
        <f t="array" ref="AF32">_xlfn.NORM.DIST(Tablo314[[#This Row],[TOTAL]],Tablo29[Mean],Tablo29[Variance],FALSE)</f>
        <v>3.8734495112001141E-3</v>
      </c>
    </row>
    <row r="33" spans="2:32" ht="15.6" thickTop="1" thickBot="1" x14ac:dyDescent="0.35">
      <c r="B33" s="91">
        <v>29</v>
      </c>
      <c r="C33" s="14">
        <v>2</v>
      </c>
      <c r="D33" s="66" t="s">
        <v>110</v>
      </c>
      <c r="E33" s="61" t="s">
        <v>111</v>
      </c>
      <c r="F33" s="5">
        <v>5</v>
      </c>
      <c r="G33" s="5">
        <v>1</v>
      </c>
      <c r="H33" s="5">
        <v>3</v>
      </c>
      <c r="I33" s="5">
        <v>0</v>
      </c>
      <c r="J33" s="5">
        <v>1</v>
      </c>
      <c r="K33" s="5">
        <v>6</v>
      </c>
      <c r="L33" s="5">
        <v>4</v>
      </c>
      <c r="M33" s="5">
        <v>5</v>
      </c>
      <c r="N33" s="5">
        <v>2</v>
      </c>
      <c r="O33" s="5">
        <v>3</v>
      </c>
      <c r="P33" s="5">
        <v>2</v>
      </c>
      <c r="Q33" s="5">
        <v>2</v>
      </c>
      <c r="R33" s="5">
        <v>0</v>
      </c>
      <c r="S33" s="5">
        <v>1</v>
      </c>
      <c r="T33" s="8">
        <f>SUM(Tablo314[[#This Row],[LW1]:[LW14]])</f>
        <v>35</v>
      </c>
      <c r="U33" s="8" cm="1">
        <f t="array" ref="U33">F33/Tablo27[LW1]*$C$40+Tablo314[[#This Row],[LW2]]/Tablo27[LW2]*$D$40+Tablo314[[#This Row],[LW3]]/Tablo27[LW3]*$E$40+Tablo314[[#This Row],[LW4]]/Tablo27[LW4]*$F$40+Tablo314[[#This Row],[LW5]]/Tablo27[LW5]*$G$40+Tablo314[[#This Row],[LW6]]/Tablo27[LW6]*$H$40+Tablo314[[#This Row],[LW7]]/Tablo27[LW7]*$I$40+Tablo314[[#This Row],[LW8]]/Tablo27[LW8]*$J$40+Tablo314[[#This Row],[LW9]]/Tablo27[LW9]*$K$40+Tablo314[[#This Row],[LW10]]/Tablo27[LW10]*$L$40+Tablo314[[#This Row],[LW11]]/Tablo27[LW11]*$M$40+Tablo314[[#This Row],[LW12]]/Tablo27[LW12]*$N$40+Tablo314[[#This Row],[LW13]]/Tablo27[LW13]*$O$40+Tablo314[[#This Row],[LW14]]/Tablo27[LW14]*$P$40</f>
        <v>17</v>
      </c>
      <c r="V33" s="8" cm="1">
        <f t="array" ref="V33">F33/Tablo27[LW1]*$C$41+Tablo314[[#This Row],[LW2]]/Tablo27[LW2]*$D$41+Tablo314[[#This Row],[LW3]]/Tablo27[LW3]*$E$41+Tablo314[[#This Row],[LW4]]/Tablo27[LW4]*$F$41+Tablo314[[#This Row],[LW5]]/Tablo27[LW5]*$G$41+Tablo314[[#This Row],[LW6]]/Tablo27[LW6]*$H$41+Tablo314[[#This Row],[LW7]]/Tablo27[LW7]*$I$41+Tablo314[[#This Row],[LW8]]/Tablo27[LW8]*$J$41+Tablo314[[#This Row],[LW9]]/Tablo27[LW9]*$K$41+Tablo314[[#This Row],[LW10]]/Tablo27[LW10]*$L$41+Tablo314[[#This Row],[LW11]]/Tablo27[LW11]*$M$41+Tablo314[[#This Row],[LW12]]/Tablo27[LW12]*$N$41+Tablo314[[#This Row],[LW13]]/Tablo27[LW13]*$O$41+Tablo314[[#This Row],[LW14]]/Tablo27[LW14]*$P$41</f>
        <v>16.5</v>
      </c>
      <c r="W33" s="8" cm="1">
        <f t="array" ref="W33">F33/Tablo27[LW1]*$C$42+Tablo314[[#This Row],[LW2]]/Tablo27[LW2]*$D$42+Tablo314[[#This Row],[LW3]]/Tablo27[LW3]*$E$42+Tablo314[[#This Row],[LW4]]/Tablo27[LW4]*$F$42+Tablo314[[#This Row],[LW5]]/Tablo27[LW5]*$G$42+Tablo314[[#This Row],[LW6]]/Tablo27[LW6]*$H$42+Tablo314[[#This Row],[LW7]]/Tablo27[LW7]*$I$42+Tablo314[[#This Row],[LW8]]/Tablo27[LW8]*$J$42+Tablo314[[#This Row],[LW9]]/Tablo27[LW9]*$K$42+Tablo314[[#This Row],[LW10]]/Tablo27[LW10]*$L$42+Tablo314[[#This Row],[LW11]]/Tablo27[LW11]*$M$42+Tablo314[[#This Row],[LW12]]/Tablo27[LW12]*$N$42+Tablo314[[#This Row],[LW13]]/Tablo27[LW13]*$O$42+Tablo314[[#This Row],[LW14]]/Tablo27[LW14]*$P$42</f>
        <v>19</v>
      </c>
      <c r="X33" s="8" cm="1">
        <f t="array" ref="X33">F33/Tablo27[LW1]*$C$43+Tablo314[[#This Row],[LW2]]/Tablo27[LW2]*$D$43+Tablo314[[#This Row],[LW3]]/Tablo27[LW3]*$E$43+Tablo314[[#This Row],[LW4]]/Tablo27[LW4]*$F$43+Tablo314[[#This Row],[LW5]]/Tablo27[LW5]*$G$43+Tablo314[[#This Row],[LW6]]/Tablo27[LW6]*$H$43+Tablo314[[#This Row],[LW7]]/Tablo27[LW7]*$I$43+Tablo314[[#This Row],[LW8]]/Tablo27[LW8]*$J$43+Tablo314[[#This Row],[LW9]]/Tablo27[LW9]*$K$43+Tablo314[[#This Row],[LW10]]/Tablo27[LW10]*$L$43+Tablo314[[#This Row],[LW11]]/Tablo27[LW11]*$M$43+Tablo314[[#This Row],[LW12]]/Tablo27[LW12]*$N$43+Tablo314[[#This Row],[LW13]]/Tablo27[LW13]*$O$43+Tablo314[[#This Row],[LW14]]/Tablo27[LW14]*$P$43</f>
        <v>19</v>
      </c>
      <c r="Y33" s="92" cm="1">
        <f t="array" ref="Y33">F33/Tablo27[LW1]*$C$44+Tablo314[[#This Row],[LW2]]/Tablo27[LW2]*$D$44+Tablo314[[#This Row],[LW3]]/Tablo27[LW3]*$E$44+Tablo314[[#This Row],[LW4]]/Tablo27[LW4]*$F$44+Tablo314[[#This Row],[LW5]]/Tablo27[LW5]*$G$44+Tablo314[[#This Row],[LW6]]/Tablo27[LW6]*$H$44+Tablo314[[#This Row],[LW7]]/Tablo27[LW7]*$I$44+Tablo314[[#This Row],[LW8]]/Tablo27[LW8]*$J$44+Tablo314[[#This Row],[LW9]]/Tablo27[LW9]*$K$44+Tablo314[[#This Row],[LW10]]/Tablo27[LW10]*$L$44+Tablo314[[#This Row],[LW11]]/Tablo27[LW11]*$M$44+Tablo314[[#This Row],[LW12]]/Tablo27[LW12]*$N$44+Tablo314[[#This Row],[LW13]]/Tablo27[LW13]*$O$44+Tablo314[[#This Row],[LW14]]/Tablo27[LW14]*$P$44</f>
        <v>0</v>
      </c>
      <c r="Z33" s="92" cm="1">
        <f t="array" ref="Z33">F33/Tablo27[LW1]*$C$45+Tablo314[[#This Row],[LW2]]/Tablo27[LW2]*$D$45+Tablo314[[#This Row],[LW3]]/Tablo27[LW3]*$E$45+Tablo314[[#This Row],[LW4]]/Tablo27[LW4]*$F$45+Tablo314[[#This Row],[LW5]]/Tablo27[LW5]*$G$45+Tablo314[[#This Row],[LW6]]/Tablo27[LW6]*$H$45+Tablo314[[#This Row],[LW7]]/Tablo27[LW7]*$I$45+Tablo314[[#This Row],[LW8]]/Tablo27[LW8]*$J$45+Tablo314[[#This Row],[LW9]]/Tablo27[LW9]*$K$45+Tablo314[[#This Row],[LW10]]/Tablo27[LW10]*$L$45+Tablo314[[#This Row],[LW11]]/Tablo27[LW11]*$M$45+Tablo314[[#This Row],[LW12]]/Tablo27[LW12]*$N$45+Tablo314[[#This Row],[LW13]]/Tablo27[LW13]*$O$45+Tablo314[[#This Row],[LW14]]/Tablo27[LW14]*$P$45</f>
        <v>0</v>
      </c>
      <c r="AA33" s="92" cm="1">
        <f t="array" ref="AA33">F33/Tablo27[LW1]*$C$46+Tablo314[[#This Row],[LW2]]/Tablo27[LW2]*$D$46+Tablo314[[#This Row],[LW3]]/Tablo27[LW3]*$E$46+Tablo314[[#This Row],[LW4]]/Tablo27[LW4]*$F$46+Tablo314[[#This Row],[LW5]]/Tablo27[LW5]*$G$46+Tablo314[[#This Row],[LW6]]/Tablo27[LW6]*$H$46+Tablo314[[#This Row],[LW7]]/Tablo27[LW7]*$I$46+Tablo314[[#This Row],[LW8]]/Tablo27[LW8]*$J$46+Tablo314[[#This Row],[LW9]]/Tablo27[LW9]*$K$46+Tablo314[[#This Row],[LW10]]/Tablo27[LW10]*$L$46+Tablo314[[#This Row],[LW11]]/Tablo27[LW11]*$M$46+Tablo314[[#This Row],[LW12]]/Tablo27[LW12]*$N$46+Tablo314[[#This Row],[LW13]]/Tablo27[LW13]*$O$46+Tablo314[[#This Row],[LW14]]/Tablo27[LW14]*$P$46</f>
        <v>0</v>
      </c>
      <c r="AB33" s="92" cm="1">
        <f t="array" ref="AB33">F33/Tablo27[LW1]*$C$47+Tablo314[[#This Row],[LW2]]/Tablo27[LW2]*$D$47+Tablo314[[#This Row],[LW3]]/Tablo27[LW3]*$E$47+Tablo314[[#This Row],[LW4]]/Tablo27[LW4]*$F$47+Tablo314[[#This Row],[LW5]]/Tablo27[LW5]*$G$47+Tablo314[[#This Row],[LW6]]/Tablo27[LW6]*$H$47+Tablo314[[#This Row],[LW7]]/Tablo27[LW7]*$I$47+Tablo314[[#This Row],[LW8]]/Tablo27[LW8]*$J$47+Tablo314[[#This Row],[LW9]]/Tablo27[LW9]*$K$47+Tablo314[[#This Row],[LW10]]/Tablo27[LW10]*$L$47+Tablo314[[#This Row],[LW11]]/Tablo27[LW11]*$M$47+Tablo314[[#This Row],[LW12]]/Tablo27[LW12]*$N$47+Tablo314[[#This Row],[LW13]]/Tablo27[LW13]*$O$47+Tablo314[[#This Row],[LW14]]/Tablo27[LW14]*$P$47</f>
        <v>0</v>
      </c>
      <c r="AC33" s="92" cm="1">
        <f t="array" ref="AC33">F33/Tablo27[LW1]*$C$48+Tablo314[[#This Row],[LW2]]/Tablo27[LW2]*$D$48+Tablo314[[#This Row],[LW3]]/Tablo27[LW3]*$E$48+Tablo314[[#This Row],[LW4]]/Tablo27[LW4]*$F$48+Tablo314[[#This Row],[LW5]]/Tablo27[LW5]*$G$48+Tablo314[[#This Row],[LW6]]/Tablo27[LW6]*$H$48+Tablo314[[#This Row],[LW7]]/Tablo27[LW7]*$I$48+Tablo314[[#This Row],[LW8]]/Tablo27[LW8]*$J$48+Tablo314[[#This Row],[LW9]]/Tablo27[LW9]*$K$48+Tablo314[[#This Row],[LW10]]/Tablo27[LW10]*$L$48+Tablo314[[#This Row],[LW11]]/Tablo27[LW11]*$M$48+Tablo314[[#This Row],[LW12]]/Tablo27[LW12]*$N$48+Tablo314[[#This Row],[LW13]]/Tablo27[LW13]*$O$48+Tablo314[[#This Row],[LW14]]/Tablo27[LW14]*$P$48</f>
        <v>0</v>
      </c>
      <c r="AD33" s="92" cm="1">
        <f t="array" ref="AD33">F33/Tablo27[LW1]*$C$49+Tablo314[[#This Row],[LW2]]/Tablo27[LW2]*$D$49+Tablo314[[#This Row],[LW3]]/Tablo27[LW3]*$E$49+Tablo314[[#This Row],[LW4]]/Tablo27[LW4]*$F$49+Tablo314[[#This Row],[LW5]]/Tablo27[LW5]*$G$49+Tablo314[[#This Row],[LW6]]/Tablo27[LW6]*$H$49+Tablo314[[#This Row],[LW7]]/Tablo27[LW7]*$I$49+Tablo314[[#This Row],[LW8]]/Tablo27[LW8]*$J$49+Tablo314[[#This Row],[LW9]]/Tablo27[LW9]*$K$49+Tablo314[[#This Row],[LW10]]/Tablo27[LW10]*$L$49+Tablo314[[#This Row],[LW11]]/Tablo27[LW11]*$M$49+Tablo314[[#This Row],[LW12]]/Tablo27[LW12]*$N$49+Tablo314[[#This Row],[LW13]]/Tablo27[LW13]*$O$49+Tablo314[[#This Row],[LW14]]/Tablo27[LW14]*$P$49</f>
        <v>0</v>
      </c>
      <c r="AE33" s="8">
        <f>SUM(Tablo314[[#This Row],[DÇ1]],Tablo314[[#This Row],[DÇ2]],Tablo314[[#This Row],[DÇ3]],Tablo314[[#This Row],[DÇ4]])</f>
        <v>71.5</v>
      </c>
      <c r="AF33" s="9" cm="1">
        <f t="array" ref="AF33">_xlfn.NORM.DIST(Tablo314[[#This Row],[TOTAL]],Tablo29[Mean],Tablo29[Variance],FALSE)</f>
        <v>3.8494511338243317E-3</v>
      </c>
    </row>
    <row r="34" spans="2:32" ht="15.6" thickTop="1" thickBot="1" x14ac:dyDescent="0.35">
      <c r="B34" s="93">
        <v>30</v>
      </c>
      <c r="C34" s="14">
        <v>17</v>
      </c>
      <c r="D34" s="61" t="s">
        <v>110</v>
      </c>
      <c r="E34" s="61" t="s">
        <v>111</v>
      </c>
      <c r="F34" s="5">
        <v>5</v>
      </c>
      <c r="G34" s="5">
        <v>0</v>
      </c>
      <c r="H34" s="5">
        <v>4</v>
      </c>
      <c r="I34" s="5">
        <v>4</v>
      </c>
      <c r="J34" s="5">
        <v>2</v>
      </c>
      <c r="K34" s="5">
        <v>2</v>
      </c>
      <c r="L34" s="5">
        <v>1</v>
      </c>
      <c r="M34" s="5">
        <v>4</v>
      </c>
      <c r="N34" s="5">
        <v>5</v>
      </c>
      <c r="O34" s="5">
        <v>0</v>
      </c>
      <c r="P34" s="5">
        <v>3</v>
      </c>
      <c r="Q34" s="5">
        <v>2</v>
      </c>
      <c r="R34" s="5">
        <v>0</v>
      </c>
      <c r="S34" s="5">
        <v>1</v>
      </c>
      <c r="T34" s="8">
        <f>SUM(Tablo314[[#This Row],[LW1]:[LW14]])</f>
        <v>33</v>
      </c>
      <c r="U34" s="8" cm="1">
        <f t="array" ref="U34">F34/Tablo27[LW1]*$C$40+Tablo314[[#This Row],[LW2]]/Tablo27[LW2]*$D$40+Tablo314[[#This Row],[LW3]]/Tablo27[LW3]*$E$40+Tablo314[[#This Row],[LW4]]/Tablo27[LW4]*$F$40+Tablo314[[#This Row],[LW5]]/Tablo27[LW5]*$G$40+Tablo314[[#This Row],[LW6]]/Tablo27[LW6]*$H$40+Tablo314[[#This Row],[LW7]]/Tablo27[LW7]*$I$40+Tablo314[[#This Row],[LW8]]/Tablo27[LW8]*$J$40+Tablo314[[#This Row],[LW9]]/Tablo27[LW9]*$K$40+Tablo314[[#This Row],[LW10]]/Tablo27[LW10]*$L$40+Tablo314[[#This Row],[LW11]]/Tablo27[LW11]*$M$40+Tablo314[[#This Row],[LW12]]/Tablo27[LW12]*$N$40+Tablo314[[#This Row],[LW13]]/Tablo27[LW13]*$O$40+Tablo314[[#This Row],[LW14]]/Tablo27[LW14]*$P$40</f>
        <v>15.5</v>
      </c>
      <c r="V34" s="8" cm="1">
        <f t="array" ref="V34">F34/Tablo27[LW1]*$C$41+Tablo314[[#This Row],[LW2]]/Tablo27[LW2]*$D$41+Tablo314[[#This Row],[LW3]]/Tablo27[LW3]*$E$41+Tablo314[[#This Row],[LW4]]/Tablo27[LW4]*$F$41+Tablo314[[#This Row],[LW5]]/Tablo27[LW5]*$G$41+Tablo314[[#This Row],[LW6]]/Tablo27[LW6]*$H$41+Tablo314[[#This Row],[LW7]]/Tablo27[LW7]*$I$41+Tablo314[[#This Row],[LW8]]/Tablo27[LW8]*$J$41+Tablo314[[#This Row],[LW9]]/Tablo27[LW9]*$K$41+Tablo314[[#This Row],[LW10]]/Tablo27[LW10]*$L$41+Tablo314[[#This Row],[LW11]]/Tablo27[LW11]*$M$41+Tablo314[[#This Row],[LW12]]/Tablo27[LW12]*$N$41+Tablo314[[#This Row],[LW13]]/Tablo27[LW13]*$O$41+Tablo314[[#This Row],[LW14]]/Tablo27[LW14]*$P$41</f>
        <v>14.5</v>
      </c>
      <c r="W34" s="8" cm="1">
        <f t="array" ref="W34">F34/Tablo27[LW1]*$C$42+Tablo314[[#This Row],[LW2]]/Tablo27[LW2]*$D$42+Tablo314[[#This Row],[LW3]]/Tablo27[LW3]*$E$42+Tablo314[[#This Row],[LW4]]/Tablo27[LW4]*$F$42+Tablo314[[#This Row],[LW5]]/Tablo27[LW5]*$G$42+Tablo314[[#This Row],[LW6]]/Tablo27[LW6]*$H$42+Tablo314[[#This Row],[LW7]]/Tablo27[LW7]*$I$42+Tablo314[[#This Row],[LW8]]/Tablo27[LW8]*$J$42+Tablo314[[#This Row],[LW9]]/Tablo27[LW9]*$K$42+Tablo314[[#This Row],[LW10]]/Tablo27[LW10]*$L$42+Tablo314[[#This Row],[LW11]]/Tablo27[LW11]*$M$42+Tablo314[[#This Row],[LW12]]/Tablo27[LW12]*$N$42+Tablo314[[#This Row],[LW13]]/Tablo27[LW13]*$O$42+Tablo314[[#This Row],[LW14]]/Tablo27[LW14]*$P$42</f>
        <v>16</v>
      </c>
      <c r="X34" s="8" cm="1">
        <f t="array" ref="X34">F34/Tablo27[LW1]*$C$43+Tablo314[[#This Row],[LW2]]/Tablo27[LW2]*$D$43+Tablo314[[#This Row],[LW3]]/Tablo27[LW3]*$E$43+Tablo314[[#This Row],[LW4]]/Tablo27[LW4]*$F$43+Tablo314[[#This Row],[LW5]]/Tablo27[LW5]*$G$43+Tablo314[[#This Row],[LW6]]/Tablo27[LW6]*$H$43+Tablo314[[#This Row],[LW7]]/Tablo27[LW7]*$I$43+Tablo314[[#This Row],[LW8]]/Tablo27[LW8]*$J$43+Tablo314[[#This Row],[LW9]]/Tablo27[LW9]*$K$43+Tablo314[[#This Row],[LW10]]/Tablo27[LW10]*$L$43+Tablo314[[#This Row],[LW11]]/Tablo27[LW11]*$M$43+Tablo314[[#This Row],[LW12]]/Tablo27[LW12]*$N$43+Tablo314[[#This Row],[LW13]]/Tablo27[LW13]*$O$43+Tablo314[[#This Row],[LW14]]/Tablo27[LW14]*$P$43</f>
        <v>20</v>
      </c>
      <c r="Y34" s="92" cm="1">
        <f t="array" ref="Y34">F34/Tablo27[LW1]*$C$44+Tablo314[[#This Row],[LW2]]/Tablo27[LW2]*$D$44+Tablo314[[#This Row],[LW3]]/Tablo27[LW3]*$E$44+Tablo314[[#This Row],[LW4]]/Tablo27[LW4]*$F$44+Tablo314[[#This Row],[LW5]]/Tablo27[LW5]*$G$44+Tablo314[[#This Row],[LW6]]/Tablo27[LW6]*$H$44+Tablo314[[#This Row],[LW7]]/Tablo27[LW7]*$I$44+Tablo314[[#This Row],[LW8]]/Tablo27[LW8]*$J$44+Tablo314[[#This Row],[LW9]]/Tablo27[LW9]*$K$44+Tablo314[[#This Row],[LW10]]/Tablo27[LW10]*$L$44+Tablo314[[#This Row],[LW11]]/Tablo27[LW11]*$M$44+Tablo314[[#This Row],[LW12]]/Tablo27[LW12]*$N$44+Tablo314[[#This Row],[LW13]]/Tablo27[LW13]*$O$44+Tablo314[[#This Row],[LW14]]/Tablo27[LW14]*$P$44</f>
        <v>0</v>
      </c>
      <c r="Z34" s="92" cm="1">
        <f t="array" ref="Z34">F34/Tablo27[LW1]*$C$45+Tablo314[[#This Row],[LW2]]/Tablo27[LW2]*$D$45+Tablo314[[#This Row],[LW3]]/Tablo27[LW3]*$E$45+Tablo314[[#This Row],[LW4]]/Tablo27[LW4]*$F$45+Tablo314[[#This Row],[LW5]]/Tablo27[LW5]*$G$45+Tablo314[[#This Row],[LW6]]/Tablo27[LW6]*$H$45+Tablo314[[#This Row],[LW7]]/Tablo27[LW7]*$I$45+Tablo314[[#This Row],[LW8]]/Tablo27[LW8]*$J$45+Tablo314[[#This Row],[LW9]]/Tablo27[LW9]*$K$45+Tablo314[[#This Row],[LW10]]/Tablo27[LW10]*$L$45+Tablo314[[#This Row],[LW11]]/Tablo27[LW11]*$M$45+Tablo314[[#This Row],[LW12]]/Tablo27[LW12]*$N$45+Tablo314[[#This Row],[LW13]]/Tablo27[LW13]*$O$45+Tablo314[[#This Row],[LW14]]/Tablo27[LW14]*$P$45</f>
        <v>0</v>
      </c>
      <c r="AA34" s="92" cm="1">
        <f t="array" ref="AA34">F34/Tablo27[LW1]*$C$46+Tablo314[[#This Row],[LW2]]/Tablo27[LW2]*$D$46+Tablo314[[#This Row],[LW3]]/Tablo27[LW3]*$E$46+Tablo314[[#This Row],[LW4]]/Tablo27[LW4]*$F$46+Tablo314[[#This Row],[LW5]]/Tablo27[LW5]*$G$46+Tablo314[[#This Row],[LW6]]/Tablo27[LW6]*$H$46+Tablo314[[#This Row],[LW7]]/Tablo27[LW7]*$I$46+Tablo314[[#This Row],[LW8]]/Tablo27[LW8]*$J$46+Tablo314[[#This Row],[LW9]]/Tablo27[LW9]*$K$46+Tablo314[[#This Row],[LW10]]/Tablo27[LW10]*$L$46+Tablo314[[#This Row],[LW11]]/Tablo27[LW11]*$M$46+Tablo314[[#This Row],[LW12]]/Tablo27[LW12]*$N$46+Tablo314[[#This Row],[LW13]]/Tablo27[LW13]*$O$46+Tablo314[[#This Row],[LW14]]/Tablo27[LW14]*$P$46</f>
        <v>0</v>
      </c>
      <c r="AB34" s="92" cm="1">
        <f t="array" ref="AB34">F34/Tablo27[LW1]*$C$47+Tablo314[[#This Row],[LW2]]/Tablo27[LW2]*$D$47+Tablo314[[#This Row],[LW3]]/Tablo27[LW3]*$E$47+Tablo314[[#This Row],[LW4]]/Tablo27[LW4]*$F$47+Tablo314[[#This Row],[LW5]]/Tablo27[LW5]*$G$47+Tablo314[[#This Row],[LW6]]/Tablo27[LW6]*$H$47+Tablo314[[#This Row],[LW7]]/Tablo27[LW7]*$I$47+Tablo314[[#This Row],[LW8]]/Tablo27[LW8]*$J$47+Tablo314[[#This Row],[LW9]]/Tablo27[LW9]*$K$47+Tablo314[[#This Row],[LW10]]/Tablo27[LW10]*$L$47+Tablo314[[#This Row],[LW11]]/Tablo27[LW11]*$M$47+Tablo314[[#This Row],[LW12]]/Tablo27[LW12]*$N$47+Tablo314[[#This Row],[LW13]]/Tablo27[LW13]*$O$47+Tablo314[[#This Row],[LW14]]/Tablo27[LW14]*$P$47</f>
        <v>0</v>
      </c>
      <c r="AC34" s="92" cm="1">
        <f t="array" ref="AC34">F34/Tablo27[LW1]*$C$48+Tablo314[[#This Row],[LW2]]/Tablo27[LW2]*$D$48+Tablo314[[#This Row],[LW3]]/Tablo27[LW3]*$E$48+Tablo314[[#This Row],[LW4]]/Tablo27[LW4]*$F$48+Tablo314[[#This Row],[LW5]]/Tablo27[LW5]*$G$48+Tablo314[[#This Row],[LW6]]/Tablo27[LW6]*$H$48+Tablo314[[#This Row],[LW7]]/Tablo27[LW7]*$I$48+Tablo314[[#This Row],[LW8]]/Tablo27[LW8]*$J$48+Tablo314[[#This Row],[LW9]]/Tablo27[LW9]*$K$48+Tablo314[[#This Row],[LW10]]/Tablo27[LW10]*$L$48+Tablo314[[#This Row],[LW11]]/Tablo27[LW11]*$M$48+Tablo314[[#This Row],[LW12]]/Tablo27[LW12]*$N$48+Tablo314[[#This Row],[LW13]]/Tablo27[LW13]*$O$48+Tablo314[[#This Row],[LW14]]/Tablo27[LW14]*$P$48</f>
        <v>0</v>
      </c>
      <c r="AD34" s="92" cm="1">
        <f t="array" ref="AD34">F34/Tablo27[LW1]*$C$49+Tablo314[[#This Row],[LW2]]/Tablo27[LW2]*$D$49+Tablo314[[#This Row],[LW3]]/Tablo27[LW3]*$E$49+Tablo314[[#This Row],[LW4]]/Tablo27[LW4]*$F$49+Tablo314[[#This Row],[LW5]]/Tablo27[LW5]*$G$49+Tablo314[[#This Row],[LW6]]/Tablo27[LW6]*$H$49+Tablo314[[#This Row],[LW7]]/Tablo27[LW7]*$I$49+Tablo314[[#This Row],[LW8]]/Tablo27[LW8]*$J$49+Tablo314[[#This Row],[LW9]]/Tablo27[LW9]*$K$49+Tablo314[[#This Row],[LW10]]/Tablo27[LW10]*$L$49+Tablo314[[#This Row],[LW11]]/Tablo27[LW11]*$M$49+Tablo314[[#This Row],[LW12]]/Tablo27[LW12]*$N$49+Tablo314[[#This Row],[LW13]]/Tablo27[LW13]*$O$49+Tablo314[[#This Row],[LW14]]/Tablo27[LW14]*$P$49</f>
        <v>0</v>
      </c>
      <c r="AE34" s="8">
        <f>SUM(Tablo314[[#This Row],[DÇ1]],Tablo314[[#This Row],[DÇ2]],Tablo314[[#This Row],[DÇ3]],Tablo314[[#This Row],[DÇ4]])</f>
        <v>66</v>
      </c>
      <c r="AF34" s="9" cm="1">
        <f t="array" ref="AF34">_xlfn.NORM.DIST(Tablo314[[#This Row],[TOTAL]],Tablo29[Mean],Tablo29[Variance],FALSE)</f>
        <v>3.8352955429035865E-3</v>
      </c>
    </row>
    <row r="35" spans="2:32" ht="15" thickTop="1" x14ac:dyDescent="0.3"/>
    <row r="36" spans="2:32" x14ac:dyDescent="0.3">
      <c r="B36" s="6" t="s">
        <v>0</v>
      </c>
      <c r="C36" s="99" t="s">
        <v>154</v>
      </c>
      <c r="D36" s="99" t="s">
        <v>155</v>
      </c>
      <c r="E36" s="99" t="s">
        <v>156</v>
      </c>
      <c r="F36" s="99" t="s">
        <v>157</v>
      </c>
      <c r="G36" s="99" t="s">
        <v>158</v>
      </c>
      <c r="H36" s="99" t="s">
        <v>159</v>
      </c>
      <c r="I36" s="99" t="s">
        <v>160</v>
      </c>
      <c r="J36" s="99" t="s">
        <v>161</v>
      </c>
      <c r="K36" s="99" t="s">
        <v>162</v>
      </c>
      <c r="L36" s="99" t="s">
        <v>163</v>
      </c>
      <c r="M36" s="99" t="s">
        <v>164</v>
      </c>
      <c r="N36" s="99" t="s">
        <v>165</v>
      </c>
      <c r="O36" s="99" t="s">
        <v>166</v>
      </c>
      <c r="P36" s="99" t="s">
        <v>167</v>
      </c>
      <c r="Q36" s="99" t="s">
        <v>86</v>
      </c>
    </row>
    <row r="37" spans="2:32" x14ac:dyDescent="0.3">
      <c r="B37" s="6" t="s">
        <v>169</v>
      </c>
      <c r="C37" s="5">
        <v>5</v>
      </c>
      <c r="D37" s="5">
        <v>5</v>
      </c>
      <c r="E37" s="5">
        <v>5</v>
      </c>
      <c r="F37" s="5">
        <v>5</v>
      </c>
      <c r="G37" s="5">
        <v>5</v>
      </c>
      <c r="H37" s="5">
        <v>10</v>
      </c>
      <c r="I37" s="5">
        <v>5</v>
      </c>
      <c r="J37" s="5">
        <v>5</v>
      </c>
      <c r="K37" s="5">
        <v>5</v>
      </c>
      <c r="L37" s="5">
        <v>10</v>
      </c>
      <c r="M37" s="5">
        <v>10</v>
      </c>
      <c r="N37" s="5">
        <v>10</v>
      </c>
      <c r="O37" s="5">
        <v>10</v>
      </c>
      <c r="P37" s="5">
        <v>10</v>
      </c>
      <c r="Q37" s="5">
        <f>SUM(Tablo27[[#This Row],[LW1]:[LW14]])</f>
        <v>100</v>
      </c>
    </row>
    <row r="39" spans="2:32" ht="15" thickBot="1" x14ac:dyDescent="0.35">
      <c r="B39" s="5" t="s">
        <v>85</v>
      </c>
      <c r="C39" s="5" t="s">
        <v>154</v>
      </c>
      <c r="D39" s="5" t="s">
        <v>155</v>
      </c>
      <c r="E39" s="5" t="s">
        <v>156</v>
      </c>
      <c r="F39" s="5" t="s">
        <v>157</v>
      </c>
      <c r="G39" s="5" t="s">
        <v>158</v>
      </c>
      <c r="H39" s="5" t="s">
        <v>159</v>
      </c>
      <c r="I39" s="5" t="s">
        <v>160</v>
      </c>
      <c r="J39" s="5" t="s">
        <v>161</v>
      </c>
      <c r="K39" s="5" t="s">
        <v>162</v>
      </c>
      <c r="L39" s="5" t="s">
        <v>163</v>
      </c>
      <c r="M39" s="5" t="s">
        <v>164</v>
      </c>
      <c r="N39" s="5" t="s">
        <v>165</v>
      </c>
      <c r="O39" s="5" t="s">
        <v>166</v>
      </c>
      <c r="P39" s="5" t="s">
        <v>167</v>
      </c>
      <c r="Q39" s="31" t="s">
        <v>86</v>
      </c>
      <c r="R39" s="6" t="s">
        <v>87</v>
      </c>
      <c r="S39" s="6" t="s">
        <v>88</v>
      </c>
      <c r="U39" s="27" t="s">
        <v>77</v>
      </c>
      <c r="V39" s="27" t="s">
        <v>78</v>
      </c>
      <c r="W39" s="6"/>
      <c r="X39" s="6"/>
    </row>
    <row r="40" spans="2:32" ht="15.6" thickTop="1" thickBot="1" x14ac:dyDescent="0.35">
      <c r="B40" s="5">
        <v>1</v>
      </c>
      <c r="C40" s="5">
        <v>5</v>
      </c>
      <c r="D40" s="5">
        <v>0</v>
      </c>
      <c r="E40" s="5">
        <v>5</v>
      </c>
      <c r="F40" s="5">
        <v>0</v>
      </c>
      <c r="G40" s="5">
        <v>0</v>
      </c>
      <c r="H40" s="5">
        <v>5</v>
      </c>
      <c r="I40" s="5">
        <v>0</v>
      </c>
      <c r="J40" s="5">
        <v>5</v>
      </c>
      <c r="K40" s="5">
        <v>0</v>
      </c>
      <c r="L40" s="5">
        <v>0</v>
      </c>
      <c r="M40" s="5">
        <v>5</v>
      </c>
      <c r="N40" s="5">
        <v>0</v>
      </c>
      <c r="O40" s="5">
        <v>0</v>
      </c>
      <c r="P40" s="5">
        <v>0</v>
      </c>
      <c r="Q40" s="33">
        <f>SUM(Tablo26[[#This Row],[LW1]:[LW14]])</f>
        <v>25</v>
      </c>
      <c r="R40" s="34">
        <f>IF(Q40=0,"0",SUM(Tablo314[DÇ1])/(30*Q40))</f>
        <v>0.6206666666666667</v>
      </c>
      <c r="S40" s="95">
        <f>Tablo26[[#This Row],[TOTAL DÇ]]*Q40</f>
        <v>15.516666666666667</v>
      </c>
      <c r="U40" s="30">
        <v>1</v>
      </c>
      <c r="V40" s="5" t="str">
        <f>MAIN!R51</f>
        <v>Çıktı-1</v>
      </c>
      <c r="W40" s="67"/>
      <c r="X40" s="67"/>
    </row>
    <row r="41" spans="2:32" ht="15.6" thickTop="1" thickBot="1" x14ac:dyDescent="0.35">
      <c r="B41" s="5">
        <v>2</v>
      </c>
      <c r="C41" s="5">
        <v>0</v>
      </c>
      <c r="D41" s="5">
        <v>5</v>
      </c>
      <c r="E41" s="5">
        <v>5</v>
      </c>
      <c r="F41" s="5">
        <v>0</v>
      </c>
      <c r="G41" s="5">
        <v>5</v>
      </c>
      <c r="H41" s="5">
        <v>5</v>
      </c>
      <c r="I41" s="5">
        <v>5</v>
      </c>
      <c r="J41" s="5">
        <v>0</v>
      </c>
      <c r="K41" s="5">
        <v>5</v>
      </c>
      <c r="L41" s="5">
        <v>5</v>
      </c>
      <c r="M41" s="5">
        <v>5</v>
      </c>
      <c r="N41" s="5">
        <v>0</v>
      </c>
      <c r="O41" s="5">
        <v>0</v>
      </c>
      <c r="P41" s="5">
        <v>0</v>
      </c>
      <c r="Q41" s="33">
        <f>SUM(Tablo26[[#This Row],[LW1]:[LW14]])</f>
        <v>40</v>
      </c>
      <c r="R41" s="34">
        <f>IF(Q41=0,"0",SUM(Tablo314[DÇ2])/(30*Q41))</f>
        <v>0.58166666666666667</v>
      </c>
      <c r="S41" s="95">
        <f>Tablo26[[#This Row],[TOTAL DÇ]]*Q41</f>
        <v>23.266666666666666</v>
      </c>
      <c r="U41" s="30">
        <v>2</v>
      </c>
      <c r="V41" s="5" t="str">
        <f>MAIN!R52</f>
        <v>Çıktı-2</v>
      </c>
      <c r="W41" s="67"/>
      <c r="X41" s="67"/>
    </row>
    <row r="42" spans="2:32" ht="15.6" thickTop="1" thickBot="1" x14ac:dyDescent="0.35">
      <c r="B42" s="5">
        <v>3</v>
      </c>
      <c r="C42" s="5">
        <v>0</v>
      </c>
      <c r="D42" s="5">
        <v>0</v>
      </c>
      <c r="E42" s="5">
        <v>0</v>
      </c>
      <c r="F42" s="5">
        <v>0</v>
      </c>
      <c r="G42" s="5">
        <v>5</v>
      </c>
      <c r="H42" s="5">
        <v>5</v>
      </c>
      <c r="I42" s="5">
        <v>5</v>
      </c>
      <c r="J42" s="5">
        <v>5</v>
      </c>
      <c r="K42" s="5">
        <v>5</v>
      </c>
      <c r="L42" s="5">
        <v>5</v>
      </c>
      <c r="M42" s="5">
        <v>5</v>
      </c>
      <c r="N42" s="5">
        <v>5</v>
      </c>
      <c r="O42" s="5">
        <v>10</v>
      </c>
      <c r="P42" s="5">
        <v>5</v>
      </c>
      <c r="Q42" s="33">
        <f>SUM(Tablo26[[#This Row],[LW1]:[LW14]])</f>
        <v>55</v>
      </c>
      <c r="R42" s="34">
        <f>IF(Q42=0,"0",SUM(Tablo314[DÇ3])/(30*Q42))</f>
        <v>0.52181818181818185</v>
      </c>
      <c r="S42" s="95">
        <f>Tablo26[[#This Row],[TOTAL DÇ]]*Q42</f>
        <v>28.700000000000003</v>
      </c>
      <c r="U42" s="30">
        <v>3</v>
      </c>
      <c r="V42" s="5" t="str">
        <f>MAIN!R53</f>
        <v>Çıktı-3</v>
      </c>
      <c r="W42" s="67"/>
      <c r="X42" s="67"/>
    </row>
    <row r="43" spans="2:32" ht="15.6" thickTop="1" thickBot="1" x14ac:dyDescent="0.35">
      <c r="B43" s="5">
        <v>4</v>
      </c>
      <c r="C43" s="5">
        <v>0</v>
      </c>
      <c r="D43" s="5">
        <v>0</v>
      </c>
      <c r="E43" s="5">
        <v>0</v>
      </c>
      <c r="F43" s="5">
        <v>5</v>
      </c>
      <c r="G43" s="5">
        <v>5</v>
      </c>
      <c r="H43" s="5">
        <v>5</v>
      </c>
      <c r="I43" s="5">
        <v>5</v>
      </c>
      <c r="J43" s="5">
        <v>5</v>
      </c>
      <c r="K43" s="5">
        <v>5</v>
      </c>
      <c r="L43" s="5">
        <v>5</v>
      </c>
      <c r="M43" s="5">
        <v>5</v>
      </c>
      <c r="N43" s="5">
        <v>5</v>
      </c>
      <c r="O43" s="5">
        <v>5</v>
      </c>
      <c r="P43" s="5">
        <v>5</v>
      </c>
      <c r="Q43" s="33">
        <f>SUM(Tablo26[[#This Row],[LW1]:[LW14]])</f>
        <v>55</v>
      </c>
      <c r="R43" s="34">
        <f>IF(Q43=0,"0",SUM(Tablo314[DÇ4])/(30*Q43))</f>
        <v>0.53696969696969699</v>
      </c>
      <c r="S43" s="95">
        <f>Tablo26[[#This Row],[TOTAL DÇ]]*Q43</f>
        <v>29.533333333333335</v>
      </c>
      <c r="U43" s="1">
        <v>4</v>
      </c>
      <c r="V43" s="5" t="str">
        <f>MAIN!R54</f>
        <v>Çıktı-4</v>
      </c>
      <c r="W43" s="67"/>
      <c r="X43" s="67"/>
    </row>
    <row r="44" spans="2:32" ht="15.6" thickTop="1" thickBot="1" x14ac:dyDescent="0.35">
      <c r="B44" s="5">
        <v>5</v>
      </c>
      <c r="C44" s="5">
        <v>0</v>
      </c>
      <c r="D44" s="5">
        <v>0</v>
      </c>
      <c r="E44" s="5">
        <v>0</v>
      </c>
      <c r="F44" s="5">
        <v>0</v>
      </c>
      <c r="G44" s="5">
        <v>0</v>
      </c>
      <c r="H44" s="5">
        <v>0</v>
      </c>
      <c r="I44" s="5">
        <v>0</v>
      </c>
      <c r="J44" s="5">
        <v>0</v>
      </c>
      <c r="K44" s="5">
        <v>0</v>
      </c>
      <c r="L44" s="5">
        <v>0</v>
      </c>
      <c r="M44" s="5">
        <v>0</v>
      </c>
      <c r="N44" s="5">
        <v>0</v>
      </c>
      <c r="O44" s="5">
        <v>0</v>
      </c>
      <c r="P44" s="5">
        <v>0</v>
      </c>
      <c r="Q44" s="79">
        <f>SUM(Tablo26[[#This Row],[LW1]:[LW14]])</f>
        <v>0</v>
      </c>
      <c r="R44" s="78" t="str">
        <f>IF(Q44=0,"0",SUM(Tablo314[DÇ5])/(30*Q44))</f>
        <v>0</v>
      </c>
      <c r="S44" s="96">
        <f>Tablo26[[#This Row],[TOTAL DÇ]]*Q44</f>
        <v>0</v>
      </c>
      <c r="U44" s="30">
        <v>5</v>
      </c>
      <c r="V44" s="5" t="str">
        <f>MAIN!R55</f>
        <v>Çıktı-5</v>
      </c>
    </row>
    <row r="45" spans="2:32" ht="15.6" thickTop="1" thickBot="1" x14ac:dyDescent="0.35">
      <c r="B45" s="5">
        <v>6</v>
      </c>
      <c r="C45" s="5">
        <v>0</v>
      </c>
      <c r="D45" s="5">
        <v>0</v>
      </c>
      <c r="E45" s="5">
        <v>0</v>
      </c>
      <c r="F45" s="5">
        <v>0</v>
      </c>
      <c r="G45" s="5">
        <v>0</v>
      </c>
      <c r="H45" s="5">
        <v>0</v>
      </c>
      <c r="I45" s="5">
        <v>0</v>
      </c>
      <c r="J45" s="5">
        <v>0</v>
      </c>
      <c r="K45" s="5">
        <v>0</v>
      </c>
      <c r="L45" s="5">
        <v>0</v>
      </c>
      <c r="M45" s="5">
        <v>0</v>
      </c>
      <c r="N45" s="5">
        <v>0</v>
      </c>
      <c r="O45" s="5">
        <v>0</v>
      </c>
      <c r="P45" s="5">
        <v>0</v>
      </c>
      <c r="Q45" s="79">
        <f>SUM(Tablo26[[#This Row],[LW1]:[LW14]])</f>
        <v>0</v>
      </c>
      <c r="R45" s="78" t="str">
        <f>IF(Q45=0,"0",SUM(Tablo314[DÇ6])/(30*Q45))</f>
        <v>0</v>
      </c>
      <c r="S45" s="96">
        <f>Tablo26[[#This Row],[TOTAL DÇ]]*Q45</f>
        <v>0</v>
      </c>
      <c r="U45" s="30">
        <v>6</v>
      </c>
      <c r="V45" s="5" t="str">
        <f>MAIN!R56</f>
        <v>Çıktı-6</v>
      </c>
    </row>
    <row r="46" spans="2:32" ht="15.6" thickTop="1" thickBot="1" x14ac:dyDescent="0.35">
      <c r="B46" s="5">
        <v>7</v>
      </c>
      <c r="C46" s="5">
        <v>0</v>
      </c>
      <c r="D46" s="5">
        <v>0</v>
      </c>
      <c r="E46" s="5">
        <v>0</v>
      </c>
      <c r="F46" s="5">
        <v>0</v>
      </c>
      <c r="G46" s="5">
        <v>0</v>
      </c>
      <c r="H46" s="5">
        <v>0</v>
      </c>
      <c r="I46" s="5">
        <v>0</v>
      </c>
      <c r="J46" s="5">
        <v>0</v>
      </c>
      <c r="K46" s="5">
        <v>0</v>
      </c>
      <c r="L46" s="5">
        <v>0</v>
      </c>
      <c r="M46" s="5">
        <v>0</v>
      </c>
      <c r="N46" s="5">
        <v>0</v>
      </c>
      <c r="O46" s="5">
        <v>0</v>
      </c>
      <c r="P46" s="5">
        <v>0</v>
      </c>
      <c r="Q46" s="79">
        <f>SUM(Tablo26[[#This Row],[LW1]:[LW14]])</f>
        <v>0</v>
      </c>
      <c r="R46" s="78" t="str">
        <f>IF(Q46=0,"0",SUM(Tablo314[DÇ7])/(30*Q46))</f>
        <v>0</v>
      </c>
      <c r="S46" s="96">
        <f>Tablo26[[#This Row],[TOTAL DÇ]]*Q46</f>
        <v>0</v>
      </c>
      <c r="U46" s="30">
        <v>7</v>
      </c>
      <c r="V46" s="5" t="str">
        <f>MAIN!R57</f>
        <v>Çıktı-7</v>
      </c>
    </row>
    <row r="47" spans="2:32" ht="15.6" thickTop="1" thickBot="1" x14ac:dyDescent="0.35">
      <c r="B47" s="5">
        <v>8</v>
      </c>
      <c r="C47" s="5">
        <v>0</v>
      </c>
      <c r="D47" s="5">
        <v>0</v>
      </c>
      <c r="E47" s="5">
        <v>0</v>
      </c>
      <c r="F47" s="5">
        <v>0</v>
      </c>
      <c r="G47" s="5">
        <v>0</v>
      </c>
      <c r="H47" s="5">
        <v>0</v>
      </c>
      <c r="I47" s="5">
        <v>0</v>
      </c>
      <c r="J47" s="5">
        <v>0</v>
      </c>
      <c r="K47" s="5">
        <v>0</v>
      </c>
      <c r="L47" s="5">
        <v>0</v>
      </c>
      <c r="M47" s="5">
        <v>0</v>
      </c>
      <c r="N47" s="5">
        <v>0</v>
      </c>
      <c r="O47" s="5">
        <v>0</v>
      </c>
      <c r="P47" s="5">
        <v>0</v>
      </c>
      <c r="Q47" s="79">
        <f>SUM(Tablo26[[#This Row],[LW1]:[LW14]])</f>
        <v>0</v>
      </c>
      <c r="R47" s="78" t="str">
        <f>IF(Q47=0,"0",SUM(Tablo314[DÇ8])/(30*Q47))</f>
        <v>0</v>
      </c>
      <c r="S47" s="96">
        <f>Tablo26[[#This Row],[TOTAL DÇ]]*Q47</f>
        <v>0</v>
      </c>
      <c r="U47" s="30">
        <v>8</v>
      </c>
      <c r="V47" s="5" t="str">
        <f>MAIN!R58</f>
        <v>Çıktı-8</v>
      </c>
    </row>
    <row r="48" spans="2:32" ht="15.6" thickTop="1" thickBot="1" x14ac:dyDescent="0.35">
      <c r="B48" s="5">
        <v>9</v>
      </c>
      <c r="C48" s="5">
        <v>0</v>
      </c>
      <c r="D48" s="5">
        <v>0</v>
      </c>
      <c r="E48" s="5">
        <v>0</v>
      </c>
      <c r="F48" s="5">
        <v>0</v>
      </c>
      <c r="G48" s="5">
        <v>0</v>
      </c>
      <c r="H48" s="5">
        <v>0</v>
      </c>
      <c r="I48" s="5">
        <v>0</v>
      </c>
      <c r="J48" s="5">
        <v>0</v>
      </c>
      <c r="K48" s="5">
        <v>0</v>
      </c>
      <c r="L48" s="5">
        <v>0</v>
      </c>
      <c r="M48" s="5">
        <v>0</v>
      </c>
      <c r="N48" s="5">
        <v>0</v>
      </c>
      <c r="O48" s="5">
        <v>0</v>
      </c>
      <c r="P48" s="5">
        <v>0</v>
      </c>
      <c r="Q48" s="79">
        <f>SUM(Tablo26[[#This Row],[LW1]:[LW14]])</f>
        <v>0</v>
      </c>
      <c r="R48" s="78" t="str">
        <f>IF(Q48=0,"0",SUM(Tablo314[DÇ9])/(30*Q48))</f>
        <v>0</v>
      </c>
      <c r="S48" s="96">
        <f>Tablo26[[#This Row],[TOTAL DÇ]]*Q48</f>
        <v>0</v>
      </c>
      <c r="U48" s="30">
        <v>9</v>
      </c>
      <c r="V48" s="5" t="str">
        <f>MAIN!R59</f>
        <v>Çıktı-9</v>
      </c>
    </row>
    <row r="49" spans="2:22" ht="15" thickTop="1" x14ac:dyDescent="0.3">
      <c r="B49" s="5">
        <v>10</v>
      </c>
      <c r="C49" s="5">
        <v>0</v>
      </c>
      <c r="D49" s="5">
        <v>0</v>
      </c>
      <c r="E49" s="5">
        <v>0</v>
      </c>
      <c r="F49" s="5">
        <v>0</v>
      </c>
      <c r="G49" s="5">
        <v>0</v>
      </c>
      <c r="H49" s="5">
        <v>0</v>
      </c>
      <c r="I49" s="5">
        <v>0</v>
      </c>
      <c r="J49" s="5">
        <v>0</v>
      </c>
      <c r="K49" s="5">
        <v>0</v>
      </c>
      <c r="L49" s="5">
        <v>0</v>
      </c>
      <c r="M49" s="5">
        <v>0</v>
      </c>
      <c r="N49" s="5">
        <v>0</v>
      </c>
      <c r="O49" s="5">
        <v>0</v>
      </c>
      <c r="P49" s="5">
        <v>0</v>
      </c>
      <c r="Q49" s="79">
        <f>SUM(Tablo26[[#This Row],[LW1]:[LW14]])</f>
        <v>0</v>
      </c>
      <c r="R49" s="78" t="str">
        <f>IF(Q49=0,"0",SUM(Tablo314[DÇ10])/(30*Q49))</f>
        <v>0</v>
      </c>
      <c r="S49" s="96">
        <f>Tablo26[[#This Row],[TOTAL DÇ]]*Q49</f>
        <v>0</v>
      </c>
      <c r="U49" s="30">
        <v>10</v>
      </c>
      <c r="V49" s="5" t="str">
        <f>MAIN!R60</f>
        <v>Çıktı-10</v>
      </c>
    </row>
    <row r="50" spans="2:22" x14ac:dyDescent="0.3">
      <c r="G50" s="14"/>
      <c r="H50" s="35"/>
      <c r="I50" s="35"/>
      <c r="J50" s="35"/>
      <c r="K50" s="35"/>
      <c r="L50" s="35"/>
      <c r="M50" s="35"/>
      <c r="N50" s="97"/>
      <c r="O50" s="98"/>
    </row>
    <row r="65" spans="15:16" x14ac:dyDescent="0.3">
      <c r="O65" s="6" t="s">
        <v>117</v>
      </c>
      <c r="P65" s="6" t="s">
        <v>118</v>
      </c>
    </row>
    <row r="66" spans="15:16" x14ac:dyDescent="0.3">
      <c r="O66" s="5">
        <f>AVERAGE(Tablo314[TOTAL])</f>
        <v>53.166666666666664</v>
      </c>
      <c r="P66" s="5">
        <f>_xlfn.VAR.P(Tablo314[TOTAL])</f>
        <v>102.00555555555556</v>
      </c>
    </row>
    <row r="84" spans="2:12" x14ac:dyDescent="0.3">
      <c r="B84" s="140" t="s">
        <v>116</v>
      </c>
      <c r="C84" s="140"/>
      <c r="D84" s="140"/>
      <c r="E84" s="140"/>
      <c r="F84" s="140"/>
      <c r="G84" s="140"/>
      <c r="H84" s="140"/>
      <c r="I84" s="140"/>
      <c r="J84" s="140"/>
      <c r="K84" s="140"/>
      <c r="L84" s="140"/>
    </row>
    <row r="85" spans="2:12" x14ac:dyDescent="0.3">
      <c r="B85" s="140"/>
      <c r="C85" s="140"/>
      <c r="D85" s="140"/>
      <c r="E85" s="140"/>
      <c r="F85" s="140"/>
      <c r="G85" s="140"/>
      <c r="H85" s="140"/>
      <c r="I85" s="140"/>
      <c r="J85" s="140"/>
      <c r="K85" s="140"/>
      <c r="L85" s="140"/>
    </row>
  </sheetData>
  <mergeCells count="2">
    <mergeCell ref="B1:V1"/>
    <mergeCell ref="B84:L85"/>
  </mergeCells>
  <conditionalFormatting sqref="Q40:Q49">
    <cfRule type="cellIs" dxfId="3" priority="2" operator="equal">
      <formula>0</formula>
    </cfRule>
    <cfRule type="cellIs" dxfId="2" priority="3" operator="lessThan">
      <formula>0</formula>
    </cfRule>
    <cfRule type="cellIs" dxfId="1" priority="4" operator="greaterThan">
      <formula>0</formula>
    </cfRule>
  </conditionalFormatting>
  <conditionalFormatting sqref="T5:AE34">
    <cfRule type="cellIs" dxfId="0" priority="1" operator="lessThan">
      <formula>0</formula>
    </cfRule>
  </conditionalFormatting>
  <pageMargins left="0.7" right="0.7" top="0.75" bottom="0.75" header="0.3" footer="0.3"/>
  <pageSetup paperSize="9" orientation="portrait" r:id="rId1"/>
  <drawing r:id="rId2"/>
  <legacyDrawing r:id="rId3"/>
  <tableParts count="6">
    <tablePart r:id="rId4"/>
    <tablePart r:id="rId5"/>
    <tablePart r:id="rId6"/>
    <tablePart r:id="rId7"/>
    <tablePart r:id="rId8"/>
    <tablePart r:id="rId9"/>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6</vt:i4>
      </vt:variant>
    </vt:vector>
  </HeadingPairs>
  <TitlesOfParts>
    <vt:vector size="6" baseType="lpstr">
      <vt:lpstr>READ ME</vt:lpstr>
      <vt:lpstr>MAIN</vt:lpstr>
      <vt:lpstr>MIDTERM</vt:lpstr>
      <vt:lpstr>FINAL</vt:lpstr>
      <vt:lpstr>HOMEWORK</vt:lpstr>
      <vt:lpstr>LAB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Alperen</dc:creator>
  <cp:lastModifiedBy>Alperen</cp:lastModifiedBy>
  <dcterms:created xsi:type="dcterms:W3CDTF">2015-06-05T18:19:34Z</dcterms:created>
  <dcterms:modified xsi:type="dcterms:W3CDTF">2022-12-18T13:06:48Z</dcterms:modified>
</cp:coreProperties>
</file>