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peren\Desktop\bitirme excel\"/>
    </mc:Choice>
  </mc:AlternateContent>
  <xr:revisionPtr revIDLastSave="0" documentId="13_ncr:1_{8244CDC0-C96D-4A9E-ABA6-5AE05A20222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AIN" sheetId="1" r:id="rId1"/>
    <sheet name="MIDTERM" sheetId="2" r:id="rId2"/>
    <sheet name="FINAL" sheetId="3" r:id="rId3"/>
    <sheet name="HOMEWORK" sheetId="4" r:id="rId4"/>
    <sheet name="LAB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6" i="5" l="1"/>
  <c r="Q43" i="5"/>
  <c r="Q40" i="5"/>
  <c r="E49" i="5" s="1"/>
  <c r="Q39" i="5"/>
  <c r="E48" i="5" s="1"/>
  <c r="Q38" i="5"/>
  <c r="Q37" i="5"/>
  <c r="X34" i="5" a="1"/>
  <c r="X34" i="5" s="1"/>
  <c r="W34" i="5" a="1"/>
  <c r="W34" i="5" s="1"/>
  <c r="V34" i="5" a="1"/>
  <c r="V34" i="5" s="1"/>
  <c r="U34" i="5" a="1"/>
  <c r="U34" i="5" s="1"/>
  <c r="T34" i="5"/>
  <c r="X33" i="5" a="1"/>
  <c r="X33" i="5" s="1"/>
  <c r="W33" i="5" a="1"/>
  <c r="W33" i="5" s="1"/>
  <c r="V33" i="5" a="1"/>
  <c r="V33" i="5" s="1"/>
  <c r="U33" i="5" a="1"/>
  <c r="U33" i="5" s="1"/>
  <c r="T33" i="5"/>
  <c r="X32" i="5" a="1"/>
  <c r="X32" i="5" s="1"/>
  <c r="W32" i="5" a="1"/>
  <c r="W32" i="5" s="1"/>
  <c r="V32" i="5" a="1"/>
  <c r="V32" i="5" s="1"/>
  <c r="U32" i="5" a="1"/>
  <c r="U32" i="5" s="1"/>
  <c r="T32" i="5"/>
  <c r="X31" i="5" a="1"/>
  <c r="X31" i="5" s="1"/>
  <c r="W31" i="5" a="1"/>
  <c r="W31" i="5" s="1"/>
  <c r="V31" i="5" a="1"/>
  <c r="V31" i="5" s="1"/>
  <c r="U31" i="5" a="1"/>
  <c r="U31" i="5" s="1"/>
  <c r="T31" i="5"/>
  <c r="X30" i="5" a="1"/>
  <c r="X30" i="5" s="1"/>
  <c r="W30" i="5" a="1"/>
  <c r="W30" i="5" s="1"/>
  <c r="V30" i="5" a="1"/>
  <c r="V30" i="5" s="1"/>
  <c r="U30" i="5" a="1"/>
  <c r="U30" i="5" s="1"/>
  <c r="T30" i="5"/>
  <c r="X29" i="5" a="1"/>
  <c r="X29" i="5" s="1"/>
  <c r="W29" i="5" a="1"/>
  <c r="W29" i="5" s="1"/>
  <c r="V29" i="5" a="1"/>
  <c r="V29" i="5" s="1"/>
  <c r="U29" i="5" a="1"/>
  <c r="U29" i="5" s="1"/>
  <c r="T29" i="5"/>
  <c r="X28" i="5" a="1"/>
  <c r="X28" i="5" s="1"/>
  <c r="W28" i="5" a="1"/>
  <c r="W28" i="5" s="1"/>
  <c r="V28" i="5" a="1"/>
  <c r="V28" i="5" s="1"/>
  <c r="U28" i="5" a="1"/>
  <c r="U28" i="5" s="1"/>
  <c r="T28" i="5"/>
  <c r="X27" i="5" a="1"/>
  <c r="X27" i="5" s="1"/>
  <c r="W27" i="5" a="1"/>
  <c r="W27" i="5" s="1"/>
  <c r="V27" i="5" a="1"/>
  <c r="V27" i="5" s="1"/>
  <c r="U27" i="5" a="1"/>
  <c r="U27" i="5" s="1"/>
  <c r="Y27" i="5" s="1"/>
  <c r="T27" i="5"/>
  <c r="X26" i="5" a="1"/>
  <c r="X26" i="5" s="1"/>
  <c r="W26" i="5" a="1"/>
  <c r="W26" i="5" s="1"/>
  <c r="V26" i="5" a="1"/>
  <c r="V26" i="5" s="1"/>
  <c r="U26" i="5" a="1"/>
  <c r="U26" i="5" s="1"/>
  <c r="T26" i="5"/>
  <c r="X25" i="5" a="1"/>
  <c r="X25" i="5" s="1"/>
  <c r="W25" i="5" a="1"/>
  <c r="W25" i="5" s="1"/>
  <c r="V25" i="5" a="1"/>
  <c r="V25" i="5" s="1"/>
  <c r="U25" i="5" a="1"/>
  <c r="U25" i="5" s="1"/>
  <c r="T25" i="5"/>
  <c r="X24" i="5" a="1"/>
  <c r="X24" i="5" s="1"/>
  <c r="W24" i="5" a="1"/>
  <c r="W24" i="5" s="1"/>
  <c r="V24" i="5" a="1"/>
  <c r="V24" i="5" s="1"/>
  <c r="U24" i="5" a="1"/>
  <c r="U24" i="5" s="1"/>
  <c r="Y24" i="5" s="1"/>
  <c r="T24" i="5"/>
  <c r="X23" i="5" a="1"/>
  <c r="X23" i="5" s="1"/>
  <c r="W23" i="5" a="1"/>
  <c r="W23" i="5" s="1"/>
  <c r="V23" i="5" a="1"/>
  <c r="V23" i="5" s="1"/>
  <c r="U23" i="5" a="1"/>
  <c r="U23" i="5" s="1"/>
  <c r="T23" i="5"/>
  <c r="X22" i="5" a="1"/>
  <c r="X22" i="5" s="1"/>
  <c r="W22" i="5" a="1"/>
  <c r="W22" i="5" s="1"/>
  <c r="V22" i="5" a="1"/>
  <c r="V22" i="5" s="1"/>
  <c r="U22" i="5" a="1"/>
  <c r="U22" i="5" s="1"/>
  <c r="T22" i="5"/>
  <c r="X21" i="5" a="1"/>
  <c r="X21" i="5" s="1"/>
  <c r="W21" i="5" a="1"/>
  <c r="W21" i="5" s="1"/>
  <c r="V21" i="5" a="1"/>
  <c r="V21" i="5" s="1"/>
  <c r="U21" i="5" a="1"/>
  <c r="U21" i="5" s="1"/>
  <c r="T21" i="5"/>
  <c r="X20" i="5" a="1"/>
  <c r="X20" i="5" s="1"/>
  <c r="W20" i="5" a="1"/>
  <c r="W20" i="5" s="1"/>
  <c r="V20" i="5" a="1"/>
  <c r="V20" i="5" s="1"/>
  <c r="U20" i="5" a="1"/>
  <c r="U20" i="5" s="1"/>
  <c r="T20" i="5"/>
  <c r="X19" i="5" a="1"/>
  <c r="X19" i="5" s="1"/>
  <c r="W19" i="5" a="1"/>
  <c r="W19" i="5" s="1"/>
  <c r="V19" i="5" a="1"/>
  <c r="V19" i="5" s="1"/>
  <c r="U19" i="5" a="1"/>
  <c r="U19" i="5" s="1"/>
  <c r="T19" i="5"/>
  <c r="X18" i="5" a="1"/>
  <c r="X18" i="5" s="1"/>
  <c r="W18" i="5" a="1"/>
  <c r="W18" i="5" s="1"/>
  <c r="V18" i="5" a="1"/>
  <c r="V18" i="5" s="1"/>
  <c r="U18" i="5" a="1"/>
  <c r="U18" i="5" s="1"/>
  <c r="T18" i="5"/>
  <c r="X17" i="5" a="1"/>
  <c r="X17" i="5" s="1"/>
  <c r="W17" i="5" a="1"/>
  <c r="W17" i="5" s="1"/>
  <c r="V17" i="5" a="1"/>
  <c r="V17" i="5" s="1"/>
  <c r="U17" i="5" a="1"/>
  <c r="U17" i="5" s="1"/>
  <c r="T17" i="5"/>
  <c r="X16" i="5" a="1"/>
  <c r="X16" i="5" s="1"/>
  <c r="W16" i="5" a="1"/>
  <c r="W16" i="5" s="1"/>
  <c r="V16" i="5" a="1"/>
  <c r="V16" i="5" s="1"/>
  <c r="U16" i="5" a="1"/>
  <c r="U16" i="5" s="1"/>
  <c r="T16" i="5"/>
  <c r="X15" i="5" a="1"/>
  <c r="X15" i="5" s="1"/>
  <c r="W15" i="5" a="1"/>
  <c r="W15" i="5" s="1"/>
  <c r="V15" i="5" a="1"/>
  <c r="V15" i="5" s="1"/>
  <c r="U15" i="5" a="1"/>
  <c r="U15" i="5" s="1"/>
  <c r="T15" i="5"/>
  <c r="X14" i="5" a="1"/>
  <c r="X14" i="5" s="1"/>
  <c r="W14" i="5" a="1"/>
  <c r="W14" i="5" s="1"/>
  <c r="V14" i="5" a="1"/>
  <c r="V14" i="5" s="1"/>
  <c r="U14" i="5" a="1"/>
  <c r="U14" i="5" s="1"/>
  <c r="T14" i="5"/>
  <c r="X13" i="5" a="1"/>
  <c r="X13" i="5" s="1"/>
  <c r="W13" i="5" a="1"/>
  <c r="W13" i="5" s="1"/>
  <c r="V13" i="5" a="1"/>
  <c r="V13" i="5" s="1"/>
  <c r="U13" i="5" a="1"/>
  <c r="U13" i="5" s="1"/>
  <c r="T13" i="5"/>
  <c r="X12" i="5" a="1"/>
  <c r="X12" i="5" s="1"/>
  <c r="W12" i="5" a="1"/>
  <c r="W12" i="5" s="1"/>
  <c r="V12" i="5" a="1"/>
  <c r="V12" i="5" s="1"/>
  <c r="U12" i="5" a="1"/>
  <c r="U12" i="5" s="1"/>
  <c r="Y12" i="5" s="1"/>
  <c r="T12" i="5"/>
  <c r="X11" i="5" a="1"/>
  <c r="X11" i="5" s="1"/>
  <c r="W11" i="5" a="1"/>
  <c r="W11" i="5" s="1"/>
  <c r="V11" i="5" a="1"/>
  <c r="V11" i="5" s="1"/>
  <c r="U11" i="5" a="1"/>
  <c r="U11" i="5" s="1"/>
  <c r="Y11" i="5" s="1"/>
  <c r="T11" i="5"/>
  <c r="X10" i="5" a="1"/>
  <c r="X10" i="5" s="1"/>
  <c r="W10" i="5" a="1"/>
  <c r="W10" i="5" s="1"/>
  <c r="V10" i="5" a="1"/>
  <c r="V10" i="5" s="1"/>
  <c r="U10" i="5" a="1"/>
  <c r="U10" i="5" s="1"/>
  <c r="Y10" i="5" s="1"/>
  <c r="T10" i="5"/>
  <c r="X9" i="5" a="1"/>
  <c r="X9" i="5" s="1"/>
  <c r="W9" i="5" a="1"/>
  <c r="W9" i="5" s="1"/>
  <c r="V9" i="5" a="1"/>
  <c r="V9" i="5" s="1"/>
  <c r="U9" i="5" a="1"/>
  <c r="U9" i="5" s="1"/>
  <c r="T9" i="5"/>
  <c r="X8" i="5" a="1"/>
  <c r="X8" i="5" s="1"/>
  <c r="W8" i="5" a="1"/>
  <c r="W8" i="5" s="1"/>
  <c r="V8" i="5" a="1"/>
  <c r="V8" i="5" s="1"/>
  <c r="U8" i="5" a="1"/>
  <c r="U8" i="5" s="1"/>
  <c r="T8" i="5"/>
  <c r="X7" i="5" a="1"/>
  <c r="X7" i="5" s="1"/>
  <c r="W7" i="5" a="1"/>
  <c r="W7" i="5" s="1"/>
  <c r="V7" i="5" a="1"/>
  <c r="V7" i="5" s="1"/>
  <c r="U7" i="5" a="1"/>
  <c r="U7" i="5" s="1"/>
  <c r="T7" i="5"/>
  <c r="X6" i="5" a="1"/>
  <c r="X6" i="5" s="1"/>
  <c r="W6" i="5" a="1"/>
  <c r="W6" i="5" s="1"/>
  <c r="V6" i="5" a="1"/>
  <c r="V6" i="5" s="1"/>
  <c r="U6" i="5" a="1"/>
  <c r="U6" i="5" s="1"/>
  <c r="T6" i="5"/>
  <c r="X5" i="5" a="1"/>
  <c r="X5" i="5" s="1"/>
  <c r="W5" i="5" a="1"/>
  <c r="W5" i="5" s="1"/>
  <c r="V5" i="5" a="1"/>
  <c r="V5" i="5" s="1"/>
  <c r="U5" i="5" a="1"/>
  <c r="U5" i="5" s="1"/>
  <c r="T5" i="5"/>
  <c r="Y37" i="5" s="1"/>
  <c r="H45" i="4"/>
  <c r="I41" i="4"/>
  <c r="P41" i="4" s="1"/>
  <c r="I40" i="4"/>
  <c r="P40" i="4" s="1"/>
  <c r="P39" i="4"/>
  <c r="I39" i="4"/>
  <c r="I38" i="4"/>
  <c r="P38" i="4" s="1"/>
  <c r="O34" i="4" a="1"/>
  <c r="O34" i="4" s="1"/>
  <c r="N34" i="4"/>
  <c r="N34" i="4" a="1"/>
  <c r="M34" i="4"/>
  <c r="M34" i="4" a="1"/>
  <c r="L34" i="4" a="1"/>
  <c r="L34" i="4" s="1"/>
  <c r="P34" i="4" s="1"/>
  <c r="K34" i="4"/>
  <c r="O33" i="4"/>
  <c r="O33" i="4" a="1"/>
  <c r="N33" i="4" a="1"/>
  <c r="N33" i="4" s="1"/>
  <c r="M33" i="4" a="1"/>
  <c r="M33" i="4" s="1"/>
  <c r="L33" i="4"/>
  <c r="L33" i="4" a="1"/>
  <c r="K33" i="4"/>
  <c r="O32" i="4" a="1"/>
  <c r="O32" i="4" s="1"/>
  <c r="N32" i="4" a="1"/>
  <c r="N32" i="4" s="1"/>
  <c r="M32" i="4"/>
  <c r="M32" i="4" a="1"/>
  <c r="L32" i="4"/>
  <c r="P32" i="4" s="1"/>
  <c r="L32" i="4" a="1"/>
  <c r="K32" i="4"/>
  <c r="O31" i="4"/>
  <c r="O31" i="4" a="1"/>
  <c r="N31" i="4"/>
  <c r="N31" i="4" a="1"/>
  <c r="M31" i="4" a="1"/>
  <c r="M31" i="4" s="1"/>
  <c r="L31" i="4" a="1"/>
  <c r="L31" i="4" s="1"/>
  <c r="P31" i="4" s="1"/>
  <c r="K31" i="4"/>
  <c r="O30" i="4" a="1"/>
  <c r="O30" i="4" s="1"/>
  <c r="N30" i="4" a="1"/>
  <c r="N30" i="4" s="1"/>
  <c r="M30" i="4" a="1"/>
  <c r="M30" i="4" s="1"/>
  <c r="L30" i="4"/>
  <c r="L30" i="4" a="1"/>
  <c r="K30" i="4"/>
  <c r="O29" i="4"/>
  <c r="O29" i="4" a="1"/>
  <c r="N29" i="4"/>
  <c r="N29" i="4" a="1"/>
  <c r="M29" i="4"/>
  <c r="M29" i="4" a="1"/>
  <c r="L29" i="4" a="1"/>
  <c r="L29" i="4" s="1"/>
  <c r="P29" i="4" s="1"/>
  <c r="K29" i="4"/>
  <c r="O28" i="4" a="1"/>
  <c r="O28" i="4" s="1"/>
  <c r="N28" i="4" a="1"/>
  <c r="N28" i="4" s="1"/>
  <c r="M28" i="4" a="1"/>
  <c r="M28" i="4" s="1"/>
  <c r="L28" i="4" a="1"/>
  <c r="L28" i="4" s="1"/>
  <c r="K28" i="4"/>
  <c r="O27" i="4" a="1"/>
  <c r="O27" i="4" s="1"/>
  <c r="P27" i="4" s="1"/>
  <c r="N27" i="4"/>
  <c r="N27" i="4" a="1"/>
  <c r="M27" i="4"/>
  <c r="M27" i="4" a="1"/>
  <c r="L27" i="4"/>
  <c r="L27" i="4" a="1"/>
  <c r="K27" i="4"/>
  <c r="O26" i="4"/>
  <c r="O26" i="4" a="1"/>
  <c r="N26" i="4" a="1"/>
  <c r="N26" i="4" s="1"/>
  <c r="M26" i="4" a="1"/>
  <c r="M26" i="4" s="1"/>
  <c r="L26" i="4" a="1"/>
  <c r="L26" i="4" s="1"/>
  <c r="K26" i="4"/>
  <c r="O25" i="4" a="1"/>
  <c r="O25" i="4" s="1"/>
  <c r="N25" i="4" a="1"/>
  <c r="N25" i="4" s="1"/>
  <c r="P25" i="4" s="1"/>
  <c r="M25" i="4"/>
  <c r="M25" i="4" a="1"/>
  <c r="L25" i="4"/>
  <c r="L25" i="4" a="1"/>
  <c r="K25" i="4"/>
  <c r="O24" i="4"/>
  <c r="O24" i="4" a="1"/>
  <c r="N24" i="4"/>
  <c r="N24" i="4" a="1"/>
  <c r="M24" i="4" a="1"/>
  <c r="M24" i="4" s="1"/>
  <c r="L24" i="4" a="1"/>
  <c r="L24" i="4" s="1"/>
  <c r="K24" i="4"/>
  <c r="O23" i="4" a="1"/>
  <c r="O23" i="4" s="1"/>
  <c r="N23" i="4" a="1"/>
  <c r="N23" i="4" s="1"/>
  <c r="M23" i="4" a="1"/>
  <c r="M23" i="4" s="1"/>
  <c r="L23" i="4"/>
  <c r="L23" i="4" a="1"/>
  <c r="K23" i="4"/>
  <c r="O22" i="4" a="1"/>
  <c r="O22" i="4" s="1"/>
  <c r="N22" i="4"/>
  <c r="N22" i="4" a="1"/>
  <c r="M22" i="4"/>
  <c r="M22" i="4" a="1"/>
  <c r="L22" i="4" a="1"/>
  <c r="L22" i="4" s="1"/>
  <c r="P22" i="4" s="1"/>
  <c r="K22" i="4"/>
  <c r="O21" i="4"/>
  <c r="O21" i="4" a="1"/>
  <c r="N21" i="4" a="1"/>
  <c r="N21" i="4" s="1"/>
  <c r="M21" i="4" a="1"/>
  <c r="M21" i="4" s="1"/>
  <c r="L21" i="4" a="1"/>
  <c r="L21" i="4" s="1"/>
  <c r="K21" i="4"/>
  <c r="O20" i="4" a="1"/>
  <c r="O20" i="4" s="1"/>
  <c r="N20" i="4" a="1"/>
  <c r="N20" i="4" s="1"/>
  <c r="M20" i="4"/>
  <c r="M20" i="4" a="1"/>
  <c r="L20" i="4"/>
  <c r="P20" i="4" s="1"/>
  <c r="L20" i="4" a="1"/>
  <c r="K20" i="4"/>
  <c r="O19" i="4"/>
  <c r="O19" i="4" a="1"/>
  <c r="N19" i="4"/>
  <c r="N19" i="4" a="1"/>
  <c r="M19" i="4" a="1"/>
  <c r="M19" i="4" s="1"/>
  <c r="L19" i="4" a="1"/>
  <c r="L19" i="4" s="1"/>
  <c r="P19" i="4" s="1"/>
  <c r="K19" i="4"/>
  <c r="O18" i="4" a="1"/>
  <c r="O18" i="4" s="1"/>
  <c r="N18" i="4" a="1"/>
  <c r="N18" i="4" s="1"/>
  <c r="M18" i="4" a="1"/>
  <c r="M18" i="4" s="1"/>
  <c r="L18" i="4"/>
  <c r="L18" i="4" a="1"/>
  <c r="K18" i="4"/>
  <c r="O17" i="4"/>
  <c r="O17" i="4" a="1"/>
  <c r="N17" i="4"/>
  <c r="N17" i="4" a="1"/>
  <c r="M17" i="4"/>
  <c r="M17" i="4" a="1"/>
  <c r="L17" i="4" a="1"/>
  <c r="L17" i="4" s="1"/>
  <c r="P17" i="4" s="1"/>
  <c r="K17" i="4"/>
  <c r="O16" i="4" a="1"/>
  <c r="O16" i="4" s="1"/>
  <c r="N16" i="4" a="1"/>
  <c r="N16" i="4" s="1"/>
  <c r="M16" i="4" a="1"/>
  <c r="M16" i="4" s="1"/>
  <c r="L16" i="4" a="1"/>
  <c r="L16" i="4" s="1"/>
  <c r="P16" i="4" s="1"/>
  <c r="K16" i="4"/>
  <c r="O15" i="4" a="1"/>
  <c r="O15" i="4" s="1"/>
  <c r="P15" i="4" s="1"/>
  <c r="N15" i="4"/>
  <c r="N15" i="4" a="1"/>
  <c r="M15" i="4"/>
  <c r="M15" i="4" a="1"/>
  <c r="L15" i="4"/>
  <c r="L15" i="4" a="1"/>
  <c r="K15" i="4"/>
  <c r="O14" i="4"/>
  <c r="O14" i="4" a="1"/>
  <c r="N14" i="4" a="1"/>
  <c r="N14" i="4" s="1"/>
  <c r="M14" i="4" a="1"/>
  <c r="M14" i="4" s="1"/>
  <c r="L14" i="4" a="1"/>
  <c r="L14" i="4" s="1"/>
  <c r="K14" i="4"/>
  <c r="O13" i="4" a="1"/>
  <c r="O13" i="4" s="1"/>
  <c r="N13" i="4" a="1"/>
  <c r="N13" i="4" s="1"/>
  <c r="M13" i="4"/>
  <c r="M13" i="4" a="1"/>
  <c r="L13" i="4"/>
  <c r="L13" i="4" a="1"/>
  <c r="K13" i="4"/>
  <c r="O12" i="4"/>
  <c r="O12" i="4" a="1"/>
  <c r="N12" i="4"/>
  <c r="N12" i="4" a="1"/>
  <c r="M12" i="4" a="1"/>
  <c r="M12" i="4" s="1"/>
  <c r="L12" i="4" a="1"/>
  <c r="L12" i="4" s="1"/>
  <c r="K12" i="4"/>
  <c r="O11" i="4" a="1"/>
  <c r="O11" i="4" s="1"/>
  <c r="N11" i="4" a="1"/>
  <c r="N11" i="4" s="1"/>
  <c r="M11" i="4" a="1"/>
  <c r="M11" i="4" s="1"/>
  <c r="L11" i="4"/>
  <c r="L11" i="4" a="1"/>
  <c r="K11" i="4"/>
  <c r="O10" i="4" a="1"/>
  <c r="O10" i="4" s="1"/>
  <c r="N10" i="4"/>
  <c r="N10" i="4" a="1"/>
  <c r="M10" i="4"/>
  <c r="M10" i="4" a="1"/>
  <c r="L10" i="4" a="1"/>
  <c r="L10" i="4" s="1"/>
  <c r="K10" i="4"/>
  <c r="O9" i="4"/>
  <c r="O9" i="4" a="1"/>
  <c r="N9" i="4" a="1"/>
  <c r="N9" i="4" s="1"/>
  <c r="M9" i="4" a="1"/>
  <c r="M9" i="4" s="1"/>
  <c r="L9" i="4" a="1"/>
  <c r="L9" i="4" s="1"/>
  <c r="P9" i="4" s="1"/>
  <c r="K9" i="4"/>
  <c r="O8" i="4" a="1"/>
  <c r="O8" i="4" s="1"/>
  <c r="N8" i="4" a="1"/>
  <c r="N8" i="4" s="1"/>
  <c r="M8" i="4"/>
  <c r="M8" i="4" a="1"/>
  <c r="L8" i="4"/>
  <c r="L8" i="4" a="1"/>
  <c r="K8" i="4"/>
  <c r="O7" i="4"/>
  <c r="O7" i="4" a="1"/>
  <c r="N7" i="4"/>
  <c r="N7" i="4" a="1"/>
  <c r="M7" i="4" a="1"/>
  <c r="M7" i="4" s="1"/>
  <c r="L7" i="4" a="1"/>
  <c r="L7" i="4" s="1"/>
  <c r="K7" i="4"/>
  <c r="O6" i="4" a="1"/>
  <c r="O6" i="4" s="1"/>
  <c r="N6" i="4" a="1"/>
  <c r="N6" i="4" s="1"/>
  <c r="M6" i="4" a="1"/>
  <c r="M6" i="4" s="1"/>
  <c r="L6" i="4"/>
  <c r="L6" i="4" a="1"/>
  <c r="K6" i="4"/>
  <c r="T4" i="4" s="1"/>
  <c r="O5" i="4"/>
  <c r="O5" i="4" a="1"/>
  <c r="N5" i="4"/>
  <c r="N5" i="4" a="1"/>
  <c r="M5" i="4"/>
  <c r="M5" i="4" a="1"/>
  <c r="L5" i="4" a="1"/>
  <c r="L5" i="4" s="1"/>
  <c r="P5" i="4" s="1"/>
  <c r="K5" i="4"/>
  <c r="U4" i="4"/>
  <c r="J46" i="3"/>
  <c r="J45" i="3"/>
  <c r="J44" i="3"/>
  <c r="E38" i="3" s="1"/>
  <c r="J43" i="3"/>
  <c r="D40" i="3"/>
  <c r="E40" i="3" s="1"/>
  <c r="E39" i="3"/>
  <c r="D39" i="3"/>
  <c r="O37" i="3"/>
  <c r="D37" i="3"/>
  <c r="Q34" i="3" a="1"/>
  <c r="Q34" i="3" s="1"/>
  <c r="P34" i="3" a="1"/>
  <c r="P34" i="3" s="1"/>
  <c r="O34" i="3" a="1"/>
  <c r="O34" i="3" s="1"/>
  <c r="N34" i="3" a="1"/>
  <c r="N34" i="3" s="1"/>
  <c r="M34" i="3"/>
  <c r="Q33" i="3" a="1"/>
  <c r="Q33" i="3" s="1"/>
  <c r="R33" i="3" s="1"/>
  <c r="P33" i="3"/>
  <c r="P33" i="3" a="1"/>
  <c r="O33" i="3"/>
  <c r="O33" i="3" a="1"/>
  <c r="N33" i="3"/>
  <c r="N33" i="3" a="1"/>
  <c r="M33" i="3"/>
  <c r="Q32" i="3"/>
  <c r="Q32" i="3" a="1"/>
  <c r="P32" i="3" a="1"/>
  <c r="P32" i="3" s="1"/>
  <c r="O32" i="3" a="1"/>
  <c r="O32" i="3" s="1"/>
  <c r="N32" i="3" a="1"/>
  <c r="N32" i="3" s="1"/>
  <c r="R32" i="3" s="1"/>
  <c r="M32" i="3"/>
  <c r="Q31" i="3" a="1"/>
  <c r="Q31" i="3" s="1"/>
  <c r="P31" i="3" a="1"/>
  <c r="P31" i="3" s="1"/>
  <c r="O31" i="3"/>
  <c r="O31" i="3" a="1"/>
  <c r="N31" i="3"/>
  <c r="N31" i="3" a="1"/>
  <c r="M31" i="3"/>
  <c r="Q30" i="3" a="1"/>
  <c r="Q30" i="3" s="1"/>
  <c r="P30" i="3"/>
  <c r="P30" i="3" a="1"/>
  <c r="O30" i="3" a="1"/>
  <c r="O30" i="3" s="1"/>
  <c r="N30" i="3" a="1"/>
  <c r="N30" i="3" s="1"/>
  <c r="M30" i="3"/>
  <c r="Q29" i="3" a="1"/>
  <c r="Q29" i="3" s="1"/>
  <c r="P29" i="3" a="1"/>
  <c r="P29" i="3" s="1"/>
  <c r="O29" i="3" a="1"/>
  <c r="O29" i="3" s="1"/>
  <c r="N29" i="3"/>
  <c r="R29" i="3" s="1"/>
  <c r="N29" i="3" a="1"/>
  <c r="M29" i="3"/>
  <c r="Q28" i="3" a="1"/>
  <c r="Q28" i="3" s="1"/>
  <c r="P28" i="3" a="1"/>
  <c r="P28" i="3" s="1"/>
  <c r="O28" i="3"/>
  <c r="O28" i="3" a="1"/>
  <c r="N28" i="3" a="1"/>
  <c r="N28" i="3" s="1"/>
  <c r="M28" i="3"/>
  <c r="Q27" i="3"/>
  <c r="Q27" i="3" a="1"/>
  <c r="P27" i="3" a="1"/>
  <c r="P27" i="3" s="1"/>
  <c r="O27" i="3" a="1"/>
  <c r="O27" i="3" s="1"/>
  <c r="N27" i="3" a="1"/>
  <c r="N27" i="3" s="1"/>
  <c r="R27" i="3" s="1"/>
  <c r="M27" i="3"/>
  <c r="Q26" i="3" a="1"/>
  <c r="Q26" i="3" s="1"/>
  <c r="P26" i="3" a="1"/>
  <c r="P26" i="3" s="1"/>
  <c r="O26" i="3" a="1"/>
  <c r="O26" i="3" s="1"/>
  <c r="N26" i="3"/>
  <c r="R26" i="3" s="1"/>
  <c r="N26" i="3" a="1"/>
  <c r="M26" i="3"/>
  <c r="Q25" i="3"/>
  <c r="Q25" i="3" a="1"/>
  <c r="P25" i="3"/>
  <c r="P25" i="3" a="1"/>
  <c r="O25" i="3" a="1"/>
  <c r="O25" i="3" s="1"/>
  <c r="N25" i="3" a="1"/>
  <c r="N25" i="3" s="1"/>
  <c r="R25" i="3" s="1"/>
  <c r="M25" i="3"/>
  <c r="Q24" i="3" a="1"/>
  <c r="Q24" i="3" s="1"/>
  <c r="P24" i="3" a="1"/>
  <c r="P24" i="3" s="1"/>
  <c r="O24" i="3" a="1"/>
  <c r="O24" i="3" s="1"/>
  <c r="N24" i="3" a="1"/>
  <c r="N24" i="3" s="1"/>
  <c r="M24" i="3"/>
  <c r="Q23" i="3"/>
  <c r="Q23" i="3" a="1"/>
  <c r="P23" i="3"/>
  <c r="P23" i="3" a="1"/>
  <c r="O23" i="3"/>
  <c r="O23" i="3" a="1"/>
  <c r="N23" i="3" a="1"/>
  <c r="N23" i="3" s="1"/>
  <c r="R23" i="3" s="1"/>
  <c r="M23" i="3"/>
  <c r="Q22" i="3" a="1"/>
  <c r="Q22" i="3" s="1"/>
  <c r="P22" i="3" a="1"/>
  <c r="P22" i="3" s="1"/>
  <c r="O22" i="3" a="1"/>
  <c r="O22" i="3" s="1"/>
  <c r="N22" i="3" a="1"/>
  <c r="N22" i="3" s="1"/>
  <c r="R22" i="3" s="1"/>
  <c r="M22" i="3"/>
  <c r="Q21" i="3" a="1"/>
  <c r="Q21" i="3" s="1"/>
  <c r="R21" i="3" s="1"/>
  <c r="P21" i="3"/>
  <c r="P21" i="3" a="1"/>
  <c r="O21" i="3"/>
  <c r="O21" i="3" a="1"/>
  <c r="N21" i="3"/>
  <c r="N21" i="3" a="1"/>
  <c r="M21" i="3"/>
  <c r="Q20" i="3"/>
  <c r="Q20" i="3" a="1"/>
  <c r="P20" i="3" a="1"/>
  <c r="P20" i="3" s="1"/>
  <c r="O20" i="3" a="1"/>
  <c r="O20" i="3" s="1"/>
  <c r="N20" i="3" a="1"/>
  <c r="N20" i="3" s="1"/>
  <c r="M20" i="3"/>
  <c r="Q19" i="3" a="1"/>
  <c r="Q19" i="3" s="1"/>
  <c r="P19" i="3" a="1"/>
  <c r="P19" i="3" s="1"/>
  <c r="O19" i="3"/>
  <c r="O19" i="3" a="1"/>
  <c r="N19" i="3"/>
  <c r="N19" i="3" a="1"/>
  <c r="M19" i="3"/>
  <c r="Q18" i="3" a="1"/>
  <c r="Q18" i="3" s="1"/>
  <c r="P18" i="3"/>
  <c r="P18" i="3" a="1"/>
  <c r="O18" i="3" a="1"/>
  <c r="O18" i="3" s="1"/>
  <c r="N18" i="3" a="1"/>
  <c r="N18" i="3" s="1"/>
  <c r="M18" i="3"/>
  <c r="Q17" i="3" a="1"/>
  <c r="Q17" i="3" s="1"/>
  <c r="P17" i="3" a="1"/>
  <c r="P17" i="3" s="1"/>
  <c r="O17" i="3" a="1"/>
  <c r="O17" i="3" s="1"/>
  <c r="N17" i="3"/>
  <c r="N17" i="3" a="1"/>
  <c r="M17" i="3"/>
  <c r="Q16" i="3" a="1"/>
  <c r="Q16" i="3" s="1"/>
  <c r="P16" i="3" a="1"/>
  <c r="P16" i="3" s="1"/>
  <c r="O16" i="3"/>
  <c r="O16" i="3" a="1"/>
  <c r="N16" i="3" a="1"/>
  <c r="N16" i="3" s="1"/>
  <c r="M16" i="3"/>
  <c r="Q15" i="3"/>
  <c r="Q15" i="3" a="1"/>
  <c r="P15" i="3" a="1"/>
  <c r="P15" i="3" s="1"/>
  <c r="O15" i="3" a="1"/>
  <c r="O15" i="3" s="1"/>
  <c r="N15" i="3" a="1"/>
  <c r="N15" i="3" s="1"/>
  <c r="M15" i="3"/>
  <c r="Q14" i="3" a="1"/>
  <c r="Q14" i="3" s="1"/>
  <c r="P14" i="3" a="1"/>
  <c r="P14" i="3" s="1"/>
  <c r="O14" i="3" a="1"/>
  <c r="O14" i="3" s="1"/>
  <c r="N14" i="3"/>
  <c r="N14" i="3" a="1"/>
  <c r="M14" i="3"/>
  <c r="Q13" i="3"/>
  <c r="Q13" i="3" a="1"/>
  <c r="P13" i="3"/>
  <c r="P13" i="3" a="1"/>
  <c r="O13" i="3" a="1"/>
  <c r="O13" i="3" s="1"/>
  <c r="N13" i="3" a="1"/>
  <c r="N13" i="3" s="1"/>
  <c r="R13" i="3" s="1"/>
  <c r="M13" i="3"/>
  <c r="Q12" i="3" a="1"/>
  <c r="Q12" i="3" s="1"/>
  <c r="P12" i="3" a="1"/>
  <c r="P12" i="3" s="1"/>
  <c r="O12" i="3" a="1"/>
  <c r="O12" i="3" s="1"/>
  <c r="N12" i="3" a="1"/>
  <c r="N12" i="3" s="1"/>
  <c r="M12" i="3"/>
  <c r="Q11" i="3"/>
  <c r="Q11" i="3" a="1"/>
  <c r="P11" i="3"/>
  <c r="P11" i="3" a="1"/>
  <c r="O11" i="3" a="1"/>
  <c r="O11" i="3" s="1"/>
  <c r="N11" i="3" a="1"/>
  <c r="N11" i="3" s="1"/>
  <c r="R11" i="3" s="1"/>
  <c r="M11" i="3"/>
  <c r="Q10" i="3" a="1"/>
  <c r="Q10" i="3" s="1"/>
  <c r="P10" i="3" a="1"/>
  <c r="P10" i="3" s="1"/>
  <c r="O10" i="3" a="1"/>
  <c r="O10" i="3" s="1"/>
  <c r="N10" i="3" a="1"/>
  <c r="N10" i="3" s="1"/>
  <c r="M10" i="3"/>
  <c r="Q9" i="3" a="1"/>
  <c r="Q9" i="3" s="1"/>
  <c r="R9" i="3" s="1"/>
  <c r="P9" i="3"/>
  <c r="P9" i="3" a="1"/>
  <c r="O9" i="3"/>
  <c r="O9" i="3" a="1"/>
  <c r="N9" i="3"/>
  <c r="N9" i="3" a="1"/>
  <c r="M9" i="3"/>
  <c r="Q8" i="3"/>
  <c r="Q8" i="3" a="1"/>
  <c r="P8" i="3" a="1"/>
  <c r="P8" i="3" s="1"/>
  <c r="O8" i="3" a="1"/>
  <c r="O8" i="3" s="1"/>
  <c r="N8" i="3" a="1"/>
  <c r="N8" i="3" s="1"/>
  <c r="R8" i="3" s="1"/>
  <c r="M8" i="3"/>
  <c r="Q7" i="3" a="1"/>
  <c r="Q7" i="3" s="1"/>
  <c r="P7" i="3" a="1"/>
  <c r="P7" i="3" s="1"/>
  <c r="O7" i="3" a="1"/>
  <c r="O7" i="3" s="1"/>
  <c r="N7" i="3"/>
  <c r="R7" i="3" s="1"/>
  <c r="N7" i="3" a="1"/>
  <c r="M7" i="3"/>
  <c r="Q6" i="3" a="1"/>
  <c r="Q6" i="3" s="1"/>
  <c r="P6" i="3"/>
  <c r="P6" i="3" a="1"/>
  <c r="O6" i="3" a="1"/>
  <c r="O6" i="3" s="1"/>
  <c r="N6" i="3" a="1"/>
  <c r="N6" i="3" s="1"/>
  <c r="R6" i="3" s="1"/>
  <c r="M6" i="3"/>
  <c r="Q5" i="3" a="1"/>
  <c r="Q5" i="3" s="1"/>
  <c r="P5" i="3" a="1"/>
  <c r="P5" i="3" s="1"/>
  <c r="O5" i="3" a="1"/>
  <c r="O5" i="3" s="1"/>
  <c r="N5" i="3" a="1"/>
  <c r="N5" i="3" s="1"/>
  <c r="R5" i="3" s="1"/>
  <c r="M5" i="3"/>
  <c r="O56" i="3" s="1"/>
  <c r="H19" i="1"/>
  <c r="I10" i="1"/>
  <c r="J46" i="2"/>
  <c r="E40" i="2" s="1"/>
  <c r="J45" i="2"/>
  <c r="J44" i="2"/>
  <c r="E38" i="2" s="1"/>
  <c r="J43" i="2"/>
  <c r="D40" i="2"/>
  <c r="E39" i="2"/>
  <c r="D38" i="2"/>
  <c r="O37" i="2"/>
  <c r="D37" i="2"/>
  <c r="E37" i="2" s="1"/>
  <c r="Q34" i="2"/>
  <c r="Q34" i="2" a="1"/>
  <c r="P34" i="2"/>
  <c r="P34" i="2" a="1"/>
  <c r="O34" i="2"/>
  <c r="O34" i="2" a="1"/>
  <c r="N34" i="2" a="1"/>
  <c r="N34" i="2" s="1"/>
  <c r="R34" i="2" s="1"/>
  <c r="M34" i="2"/>
  <c r="Q33" i="2" a="1"/>
  <c r="Q33" i="2" s="1"/>
  <c r="P33" i="2" a="1"/>
  <c r="P33" i="2" s="1"/>
  <c r="O33" i="2" a="1"/>
  <c r="O33" i="2" s="1"/>
  <c r="N33" i="2" a="1"/>
  <c r="N33" i="2" s="1"/>
  <c r="R33" i="2" s="1"/>
  <c r="M33" i="2"/>
  <c r="Q32" i="2"/>
  <c r="R32" i="2" s="1"/>
  <c r="Q32" i="2" a="1"/>
  <c r="P32" i="2"/>
  <c r="P32" i="2" a="1"/>
  <c r="O32" i="2"/>
  <c r="O32" i="2" a="1"/>
  <c r="N32" i="2"/>
  <c r="N32" i="2" a="1"/>
  <c r="M32" i="2"/>
  <c r="Q31" i="2" a="1"/>
  <c r="Q31" i="2" s="1"/>
  <c r="P31" i="2" a="1"/>
  <c r="P31" i="2" s="1"/>
  <c r="O31" i="2" a="1"/>
  <c r="O31" i="2" s="1"/>
  <c r="N31" i="2" a="1"/>
  <c r="N31" i="2" s="1"/>
  <c r="R31" i="2" s="1"/>
  <c r="M31" i="2"/>
  <c r="Q30" i="2" a="1"/>
  <c r="Q30" i="2" s="1"/>
  <c r="P30" i="2"/>
  <c r="P30" i="2" a="1"/>
  <c r="O30" i="2"/>
  <c r="O30" i="2" a="1"/>
  <c r="N30" i="2"/>
  <c r="R30" i="2" s="1"/>
  <c r="N30" i="2" a="1"/>
  <c r="M30" i="2"/>
  <c r="Q29" i="2"/>
  <c r="Q29" i="2" a="1"/>
  <c r="P29" i="2" a="1"/>
  <c r="P29" i="2" s="1"/>
  <c r="O29" i="2" a="1"/>
  <c r="O29" i="2" s="1"/>
  <c r="N29" i="2" a="1"/>
  <c r="N29" i="2" s="1"/>
  <c r="M29" i="2"/>
  <c r="Q28" i="2" a="1"/>
  <c r="Q28" i="2" s="1"/>
  <c r="P28" i="2" a="1"/>
  <c r="P28" i="2" s="1"/>
  <c r="O28" i="2"/>
  <c r="O28" i="2" a="1"/>
  <c r="N28" i="2"/>
  <c r="N28" i="2" a="1"/>
  <c r="M28" i="2"/>
  <c r="Q27" i="2"/>
  <c r="Q27" i="2" a="1"/>
  <c r="P27" i="2"/>
  <c r="P27" i="2" a="1"/>
  <c r="O27" i="2" a="1"/>
  <c r="O27" i="2" s="1"/>
  <c r="N27" i="2" a="1"/>
  <c r="N27" i="2" s="1"/>
  <c r="R27" i="2" s="1"/>
  <c r="M27" i="2"/>
  <c r="Q26" i="2"/>
  <c r="Q26" i="2" a="1"/>
  <c r="P26" i="2" a="1"/>
  <c r="P26" i="2" s="1"/>
  <c r="O26" i="2" a="1"/>
  <c r="O26" i="2" s="1"/>
  <c r="N26" i="2"/>
  <c r="R26" i="2" s="1"/>
  <c r="N26" i="2" a="1"/>
  <c r="M26" i="2"/>
  <c r="Q25" i="2" a="1"/>
  <c r="Q25" i="2" s="1"/>
  <c r="P25" i="2"/>
  <c r="P25" i="2" a="1"/>
  <c r="O25" i="2"/>
  <c r="O25" i="2" a="1"/>
  <c r="N25" i="2" a="1"/>
  <c r="N25" i="2" s="1"/>
  <c r="R25" i="2" s="1"/>
  <c r="M25" i="2"/>
  <c r="Q24" i="2"/>
  <c r="Q24" i="2" a="1"/>
  <c r="P24" i="2"/>
  <c r="P24" i="2" a="1"/>
  <c r="O24" i="2" a="1"/>
  <c r="O24" i="2" s="1"/>
  <c r="N24" i="2" a="1"/>
  <c r="N24" i="2" s="1"/>
  <c r="R24" i="2" s="1"/>
  <c r="M24" i="2"/>
  <c r="Q23" i="2" a="1"/>
  <c r="Q23" i="2" s="1"/>
  <c r="P23" i="2" a="1"/>
  <c r="P23" i="2" s="1"/>
  <c r="R23" i="2" s="1"/>
  <c r="O23" i="2"/>
  <c r="O23" i="2" a="1"/>
  <c r="N23" i="2"/>
  <c r="N23" i="2" a="1"/>
  <c r="M23" i="2"/>
  <c r="Q22" i="2"/>
  <c r="Q22" i="2" a="1"/>
  <c r="P22" i="2"/>
  <c r="P22" i="2" a="1"/>
  <c r="O22" i="2"/>
  <c r="O22" i="2" a="1"/>
  <c r="N22" i="2" a="1"/>
  <c r="N22" i="2" s="1"/>
  <c r="R22" i="2" s="1"/>
  <c r="M22" i="2"/>
  <c r="Q21" i="2" a="1"/>
  <c r="Q21" i="2" s="1"/>
  <c r="P21" i="2" a="1"/>
  <c r="P21" i="2" s="1"/>
  <c r="O21" i="2" a="1"/>
  <c r="O21" i="2" s="1"/>
  <c r="N21" i="2"/>
  <c r="N21" i="2" a="1"/>
  <c r="M21" i="2"/>
  <c r="Q20" i="2"/>
  <c r="R20" i="2" s="1"/>
  <c r="Q20" i="2" a="1"/>
  <c r="P20" i="2"/>
  <c r="P20" i="2" a="1"/>
  <c r="O20" i="2"/>
  <c r="O20" i="2" a="1"/>
  <c r="N20" i="2"/>
  <c r="N20" i="2" a="1"/>
  <c r="M20" i="2"/>
  <c r="Q19" i="2" a="1"/>
  <c r="Q19" i="2" s="1"/>
  <c r="P19" i="2" a="1"/>
  <c r="P19" i="2" s="1"/>
  <c r="O19" i="2" a="1"/>
  <c r="O19" i="2" s="1"/>
  <c r="N19" i="2" a="1"/>
  <c r="N19" i="2" s="1"/>
  <c r="R19" i="2" s="1"/>
  <c r="M19" i="2"/>
  <c r="Q18" i="2" a="1"/>
  <c r="Q18" i="2" s="1"/>
  <c r="P18" i="2"/>
  <c r="P18" i="2" a="1"/>
  <c r="O18" i="2"/>
  <c r="O18" i="2" a="1"/>
  <c r="N18" i="2"/>
  <c r="R18" i="2" s="1"/>
  <c r="N18" i="2" a="1"/>
  <c r="M18" i="2"/>
  <c r="Q17" i="2"/>
  <c r="Q17" i="2" a="1"/>
  <c r="P17" i="2" a="1"/>
  <c r="P17" i="2" s="1"/>
  <c r="O17" i="2" a="1"/>
  <c r="O17" i="2" s="1"/>
  <c r="N17" i="2" a="1"/>
  <c r="N17" i="2" s="1"/>
  <c r="M17" i="2"/>
  <c r="Q16" i="2" a="1"/>
  <c r="Q16" i="2" s="1"/>
  <c r="P16" i="2" a="1"/>
  <c r="P16" i="2" s="1"/>
  <c r="O16" i="2"/>
  <c r="O16" i="2" a="1"/>
  <c r="N16" i="2"/>
  <c r="N16" i="2" a="1"/>
  <c r="M16" i="2"/>
  <c r="Q15" i="2"/>
  <c r="Q15" i="2" a="1"/>
  <c r="P15" i="2"/>
  <c r="P15" i="2" a="1"/>
  <c r="O15" i="2" a="1"/>
  <c r="O15" i="2" s="1"/>
  <c r="N15" i="2" a="1"/>
  <c r="N15" i="2" s="1"/>
  <c r="R15" i="2" s="1"/>
  <c r="M15" i="2"/>
  <c r="Q14" i="2"/>
  <c r="Q14" i="2" a="1"/>
  <c r="P14" i="2" a="1"/>
  <c r="P14" i="2" s="1"/>
  <c r="O14" i="2" a="1"/>
  <c r="O14" i="2" s="1"/>
  <c r="N14" i="2"/>
  <c r="R14" i="2" s="1"/>
  <c r="N14" i="2" a="1"/>
  <c r="M14" i="2"/>
  <c r="Q13" i="2" a="1"/>
  <c r="Q13" i="2" s="1"/>
  <c r="P13" i="2"/>
  <c r="P13" i="2" a="1"/>
  <c r="O13" i="2"/>
  <c r="O13" i="2" a="1"/>
  <c r="N13" i="2" a="1"/>
  <c r="N13" i="2" s="1"/>
  <c r="R13" i="2" s="1"/>
  <c r="M13" i="2"/>
  <c r="Q12" i="2"/>
  <c r="Q12" i="2" a="1"/>
  <c r="P12" i="2"/>
  <c r="P12" i="2" a="1"/>
  <c r="O12" i="2" a="1"/>
  <c r="O12" i="2" s="1"/>
  <c r="N12" i="2" a="1"/>
  <c r="N12" i="2" s="1"/>
  <c r="R12" i="2" s="1"/>
  <c r="M12" i="2"/>
  <c r="Q11" i="2" a="1"/>
  <c r="Q11" i="2" s="1"/>
  <c r="P11" i="2" a="1"/>
  <c r="P11" i="2" s="1"/>
  <c r="R11" i="2" s="1"/>
  <c r="O11" i="2"/>
  <c r="O11" i="2" a="1"/>
  <c r="N11" i="2"/>
  <c r="N11" i="2" a="1"/>
  <c r="M11" i="2"/>
  <c r="Q10" i="2"/>
  <c r="Q10" i="2" a="1"/>
  <c r="P10" i="2"/>
  <c r="P10" i="2" a="1"/>
  <c r="O10" i="2"/>
  <c r="O10" i="2" a="1"/>
  <c r="N10" i="2" a="1"/>
  <c r="N10" i="2" s="1"/>
  <c r="R10" i="2" s="1"/>
  <c r="M10" i="2"/>
  <c r="Q9" i="2" a="1"/>
  <c r="Q9" i="2" s="1"/>
  <c r="P9" i="2" a="1"/>
  <c r="P9" i="2" s="1"/>
  <c r="O9" i="2" a="1"/>
  <c r="O9" i="2" s="1"/>
  <c r="N9" i="2"/>
  <c r="N9" i="2" a="1"/>
  <c r="M9" i="2"/>
  <c r="Q8" i="2"/>
  <c r="R8" i="2" s="1"/>
  <c r="Q8" i="2" a="1"/>
  <c r="P8" i="2"/>
  <c r="P8" i="2" a="1"/>
  <c r="O8" i="2"/>
  <c r="O8" i="2" a="1"/>
  <c r="N8" i="2"/>
  <c r="N8" i="2" a="1"/>
  <c r="M8" i="2"/>
  <c r="Q7" i="2" a="1"/>
  <c r="Q7" i="2" s="1"/>
  <c r="P7" i="2" a="1"/>
  <c r="P7" i="2" s="1"/>
  <c r="O7" i="2" a="1"/>
  <c r="O7" i="2" s="1"/>
  <c r="N7" i="2" a="1"/>
  <c r="N7" i="2" s="1"/>
  <c r="R7" i="2" s="1"/>
  <c r="M7" i="2"/>
  <c r="Q6" i="2" a="1"/>
  <c r="Q6" i="2" s="1"/>
  <c r="P6" i="2"/>
  <c r="P6" i="2" a="1"/>
  <c r="O6" i="2"/>
  <c r="O6" i="2" a="1"/>
  <c r="N6" i="2"/>
  <c r="R6" i="2" s="1"/>
  <c r="N6" i="2" a="1"/>
  <c r="M6" i="2"/>
  <c r="Q5" i="2" a="1"/>
  <c r="Q5" i="2" s="1"/>
  <c r="P5" i="2" a="1"/>
  <c r="P5" i="2" s="1"/>
  <c r="O5" i="2" a="1"/>
  <c r="O5" i="2" s="1"/>
  <c r="N5" i="2" a="1"/>
  <c r="N5" i="2" s="1"/>
  <c r="M5" i="2"/>
  <c r="O56" i="2" s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R44" i="1"/>
  <c r="Q44" i="1"/>
  <c r="P44" i="1"/>
  <c r="O44" i="1"/>
  <c r="S44" i="1" s="1"/>
  <c r="I44" i="1"/>
  <c r="H44" i="1"/>
  <c r="G44" i="1"/>
  <c r="F44" i="1"/>
  <c r="R43" i="1"/>
  <c r="Q43" i="1"/>
  <c r="P43" i="1"/>
  <c r="S43" i="1" s="1"/>
  <c r="O43" i="1"/>
  <c r="I43" i="1"/>
  <c r="H43" i="1"/>
  <c r="G43" i="1"/>
  <c r="F43" i="1"/>
  <c r="S42" i="1"/>
  <c r="R42" i="1"/>
  <c r="Q42" i="1"/>
  <c r="P42" i="1"/>
  <c r="O42" i="1"/>
  <c r="I42" i="1"/>
  <c r="H42" i="1"/>
  <c r="G42" i="1"/>
  <c r="F42" i="1"/>
  <c r="R41" i="1"/>
  <c r="Q41" i="1"/>
  <c r="P41" i="1"/>
  <c r="S41" i="1" s="1"/>
  <c r="O41" i="1"/>
  <c r="I41" i="1"/>
  <c r="H41" i="1"/>
  <c r="G41" i="1"/>
  <c r="F41" i="1"/>
  <c r="I40" i="1"/>
  <c r="H40" i="1"/>
  <c r="G40" i="1"/>
  <c r="F40" i="1"/>
  <c r="I39" i="1"/>
  <c r="H39" i="1"/>
  <c r="G39" i="1"/>
  <c r="F39" i="1"/>
  <c r="S38" i="1"/>
  <c r="R38" i="1"/>
  <c r="Q38" i="1"/>
  <c r="P38" i="1"/>
  <c r="O38" i="1"/>
  <c r="I38" i="1"/>
  <c r="H38" i="1"/>
  <c r="G38" i="1"/>
  <c r="F38" i="1"/>
  <c r="S37" i="1"/>
  <c r="R37" i="1"/>
  <c r="O37" i="1" s="1"/>
  <c r="Q37" i="1"/>
  <c r="P37" i="1"/>
  <c r="I37" i="1"/>
  <c r="H37" i="1"/>
  <c r="G37" i="1"/>
  <c r="F37" i="1"/>
  <c r="S36" i="1"/>
  <c r="R36" i="1"/>
  <c r="Q36" i="1"/>
  <c r="P36" i="1"/>
  <c r="O36" i="1" s="1"/>
  <c r="I36" i="1"/>
  <c r="H36" i="1"/>
  <c r="G36" i="1"/>
  <c r="F36" i="1"/>
  <c r="S35" i="1"/>
  <c r="R35" i="1"/>
  <c r="Q35" i="1"/>
  <c r="P35" i="1"/>
  <c r="O35" i="1"/>
  <c r="I35" i="1"/>
  <c r="H35" i="1"/>
  <c r="G35" i="1"/>
  <c r="F35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O23" i="1"/>
  <c r="I23" i="1"/>
  <c r="H23" i="1"/>
  <c r="G23" i="1"/>
  <c r="F23" i="1"/>
  <c r="P22" i="1" a="1"/>
  <c r="P22" i="1" s="1"/>
  <c r="I22" i="1"/>
  <c r="H22" i="1"/>
  <c r="G22" i="1"/>
  <c r="F22" i="1"/>
  <c r="P21" i="1" a="1"/>
  <c r="P21" i="1" s="1"/>
  <c r="I21" i="1"/>
  <c r="H21" i="1"/>
  <c r="G21" i="1"/>
  <c r="F21" i="1"/>
  <c r="P20" i="1" a="1"/>
  <c r="P20" i="1" s="1"/>
  <c r="I20" i="1"/>
  <c r="H20" i="1"/>
  <c r="G20" i="1"/>
  <c r="F20" i="1"/>
  <c r="P19" i="1" a="1"/>
  <c r="P19" i="1" s="1"/>
  <c r="I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Y5" i="5" l="1"/>
  <c r="Y17" i="5"/>
  <c r="Y29" i="5"/>
  <c r="Y22" i="5"/>
  <c r="Y34" i="5"/>
  <c r="Y15" i="5"/>
  <c r="Y8" i="5"/>
  <c r="Y20" i="5"/>
  <c r="Y32" i="5"/>
  <c r="Y13" i="5"/>
  <c r="Y25" i="5"/>
  <c r="Y6" i="5"/>
  <c r="Y18" i="5"/>
  <c r="Y30" i="5"/>
  <c r="R37" i="5"/>
  <c r="S37" i="5" s="1"/>
  <c r="Y23" i="5"/>
  <c r="R38" i="5"/>
  <c r="S38" i="5" s="1"/>
  <c r="Y16" i="5"/>
  <c r="Y28" i="5"/>
  <c r="Y9" i="5"/>
  <c r="Y21" i="5"/>
  <c r="Y33" i="5"/>
  <c r="Y14" i="5"/>
  <c r="Y26" i="5"/>
  <c r="Y7" i="5"/>
  <c r="Y19" i="5"/>
  <c r="Y31" i="5"/>
  <c r="R39" i="5"/>
  <c r="S39" i="5" s="1"/>
  <c r="R40" i="5"/>
  <c r="S40" i="5" s="1"/>
  <c r="X37" i="5"/>
  <c r="E47" i="5"/>
  <c r="P18" i="4"/>
  <c r="P11" i="4"/>
  <c r="Q29" i="4"/>
  <c r="Q17" i="4"/>
  <c r="Q5" i="4"/>
  <c r="Q28" i="4"/>
  <c r="Q30" i="4"/>
  <c r="Q18" i="4"/>
  <c r="Q6" i="4"/>
  <c r="Q31" i="4"/>
  <c r="Q19" i="4"/>
  <c r="Q7" i="4"/>
  <c r="Q16" i="4"/>
  <c r="Q32" i="4"/>
  <c r="Q20" i="4"/>
  <c r="Q8" i="4"/>
  <c r="Q33" i="4"/>
  <c r="Q21" i="4"/>
  <c r="Q9" i="4"/>
  <c r="Q34" i="4"/>
  <c r="Q22" i="4"/>
  <c r="Q10" i="4"/>
  <c r="Q23" i="4"/>
  <c r="Q11" i="4"/>
  <c r="Q24" i="4"/>
  <c r="Q12" i="4"/>
  <c r="Q25" i="4"/>
  <c r="Q13" i="4"/>
  <c r="Q26" i="4"/>
  <c r="Q14" i="4"/>
  <c r="Q27" i="4"/>
  <c r="Q15" i="4"/>
  <c r="P24" i="4"/>
  <c r="P6" i="4"/>
  <c r="P13" i="4"/>
  <c r="P26" i="4"/>
  <c r="P33" i="4"/>
  <c r="J39" i="4"/>
  <c r="K39" i="4" s="1"/>
  <c r="P8" i="4"/>
  <c r="P10" i="4"/>
  <c r="P12" i="4"/>
  <c r="P28" i="4"/>
  <c r="P21" i="4"/>
  <c r="P14" i="4"/>
  <c r="P30" i="4"/>
  <c r="P7" i="4"/>
  <c r="P23" i="4"/>
  <c r="J40" i="4"/>
  <c r="K40" i="4" s="1"/>
  <c r="J38" i="4"/>
  <c r="K38" i="4" s="1"/>
  <c r="J41" i="4"/>
  <c r="K41" i="4" s="1"/>
  <c r="R31" i="3"/>
  <c r="K46" i="3"/>
  <c r="L46" i="3" s="1"/>
  <c r="R10" i="3"/>
  <c r="R12" i="3"/>
  <c r="R16" i="3"/>
  <c r="R18" i="3"/>
  <c r="R14" i="3"/>
  <c r="R20" i="3"/>
  <c r="R24" i="3"/>
  <c r="R28" i="3"/>
  <c r="R30" i="3"/>
  <c r="K43" i="3"/>
  <c r="L43" i="3" s="1"/>
  <c r="R15" i="3"/>
  <c r="K45" i="3"/>
  <c r="L45" i="3" s="1"/>
  <c r="R17" i="3"/>
  <c r="R19" i="3"/>
  <c r="R34" i="3"/>
  <c r="K44" i="3"/>
  <c r="L44" i="3" s="1"/>
  <c r="E37" i="3"/>
  <c r="N56" i="3"/>
  <c r="K43" i="2"/>
  <c r="L43" i="2" s="1"/>
  <c r="R5" i="2"/>
  <c r="R9" i="2"/>
  <c r="R16" i="2"/>
  <c r="R21" i="2"/>
  <c r="R28" i="2"/>
  <c r="K45" i="2"/>
  <c r="L45" i="2" s="1"/>
  <c r="R17" i="2"/>
  <c r="R29" i="2"/>
  <c r="K44" i="2"/>
  <c r="L44" i="2" s="1"/>
  <c r="K46" i="2"/>
  <c r="L46" i="2" s="1"/>
  <c r="N56" i="2"/>
  <c r="J5" i="1"/>
  <c r="J8" i="1"/>
  <c r="J11" i="1"/>
  <c r="J14" i="1"/>
  <c r="J17" i="1"/>
  <c r="J3" i="1"/>
  <c r="J6" i="1"/>
  <c r="J9" i="1"/>
  <c r="J12" i="1"/>
  <c r="J15" i="1"/>
  <c r="J18" i="1"/>
  <c r="J23" i="1"/>
  <c r="J22" i="1"/>
  <c r="J26" i="1"/>
  <c r="J29" i="1"/>
  <c r="J32" i="1"/>
  <c r="J19" i="1"/>
  <c r="J30" i="1"/>
  <c r="J24" i="1"/>
  <c r="J31" i="1"/>
  <c r="J28" i="1"/>
  <c r="J25" i="1"/>
  <c r="J13" i="1"/>
  <c r="J4" i="1"/>
  <c r="J27" i="1"/>
  <c r="J16" i="1"/>
  <c r="J10" i="1"/>
  <c r="J7" i="1"/>
  <c r="J20" i="1"/>
  <c r="J21" i="1"/>
  <c r="Z34" i="5" l="1" a="1"/>
  <c r="Z34" i="5" s="1"/>
  <c r="Z33" i="5" a="1"/>
  <c r="Z33" i="5" s="1"/>
  <c r="Z32" i="5" a="1"/>
  <c r="Z32" i="5" s="1"/>
  <c r="Z31" i="5" a="1"/>
  <c r="Z31" i="5" s="1"/>
  <c r="Z30" i="5" a="1"/>
  <c r="Z30" i="5" s="1"/>
  <c r="Z29" i="5" a="1"/>
  <c r="Z29" i="5" s="1"/>
  <c r="Z28" i="5" a="1"/>
  <c r="Z28" i="5" s="1"/>
  <c r="Z27" i="5" a="1"/>
  <c r="Z27" i="5" s="1"/>
  <c r="Z26" i="5" a="1"/>
  <c r="Z26" i="5" s="1"/>
  <c r="Z25" i="5" a="1"/>
  <c r="Z25" i="5" s="1"/>
  <c r="Z24" i="5" a="1"/>
  <c r="Z24" i="5" s="1"/>
  <c r="Z23" i="5" a="1"/>
  <c r="Z23" i="5" s="1"/>
  <c r="Z22" i="5" a="1"/>
  <c r="Z22" i="5" s="1"/>
  <c r="Z21" i="5" a="1"/>
  <c r="Z21" i="5" s="1"/>
  <c r="Z20" i="5" a="1"/>
  <c r="Z20" i="5" s="1"/>
  <c r="Z19" i="5" a="1"/>
  <c r="Z19" i="5" s="1"/>
  <c r="Z18" i="5" a="1"/>
  <c r="Z18" i="5" s="1"/>
  <c r="Z17" i="5" a="1"/>
  <c r="Z17" i="5" s="1"/>
  <c r="Z16" i="5" a="1"/>
  <c r="Z16" i="5" s="1"/>
  <c r="Z15" i="5" a="1"/>
  <c r="Z15" i="5" s="1"/>
  <c r="Z14" i="5" a="1"/>
  <c r="Z14" i="5" s="1"/>
  <c r="Z13" i="5" a="1"/>
  <c r="Z13" i="5" s="1"/>
  <c r="Z12" i="5" a="1"/>
  <c r="Z12" i="5" s="1"/>
  <c r="Z11" i="5" a="1"/>
  <c r="Z11" i="5" s="1"/>
  <c r="Z10" i="5" a="1"/>
  <c r="Z10" i="5" s="1"/>
  <c r="Z9" i="5" a="1"/>
  <c r="Z9" i="5" s="1"/>
  <c r="Z8" i="5" a="1"/>
  <c r="Z8" i="5" s="1"/>
  <c r="Z7" i="5" a="1"/>
  <c r="Z7" i="5" s="1"/>
  <c r="Z6" i="5" a="1"/>
  <c r="Z6" i="5" s="1"/>
  <c r="Z5" i="5" a="1"/>
  <c r="Z5" i="5" s="1"/>
  <c r="S24" i="3"/>
  <c r="S12" i="3"/>
  <c r="S25" i="3"/>
  <c r="S13" i="3"/>
  <c r="S26" i="3"/>
  <c r="S14" i="3"/>
  <c r="S27" i="3"/>
  <c r="S15" i="3"/>
  <c r="S28" i="3"/>
  <c r="S16" i="3"/>
  <c r="S34" i="3"/>
  <c r="S29" i="3"/>
  <c r="S17" i="3"/>
  <c r="S5" i="3"/>
  <c r="S9" i="3"/>
  <c r="S30" i="3"/>
  <c r="S18" i="3"/>
  <c r="S6" i="3"/>
  <c r="S31" i="3"/>
  <c r="S19" i="3"/>
  <c r="S7" i="3"/>
  <c r="S32" i="3"/>
  <c r="S20" i="3"/>
  <c r="S8" i="3"/>
  <c r="S22" i="3"/>
  <c r="S10" i="3"/>
  <c r="S33" i="3"/>
  <c r="S21" i="3"/>
  <c r="S23" i="3"/>
  <c r="S11" i="3"/>
  <c r="S24" i="2"/>
  <c r="S12" i="2"/>
  <c r="S25" i="2"/>
  <c r="S13" i="2"/>
  <c r="S14" i="2"/>
  <c r="S10" i="2"/>
  <c r="S26" i="2"/>
  <c r="S27" i="2"/>
  <c r="S15" i="2"/>
  <c r="S28" i="2"/>
  <c r="S16" i="2"/>
  <c r="S29" i="2"/>
  <c r="S17" i="2"/>
  <c r="S5" i="2"/>
  <c r="S30" i="2"/>
  <c r="S18" i="2"/>
  <c r="S6" i="2"/>
  <c r="S9" i="2"/>
  <c r="S31" i="2"/>
  <c r="S19" i="2"/>
  <c r="S7" i="2"/>
  <c r="S22" i="2"/>
  <c r="S32" i="2"/>
  <c r="S20" i="2"/>
  <c r="S8" i="2"/>
  <c r="S33" i="2"/>
  <c r="S21" i="2"/>
  <c r="S34" i="2"/>
  <c r="S23" i="2"/>
  <c r="S11" i="2"/>
  <c r="K13" i="1" a="1"/>
  <c r="K13" i="1" s="1"/>
  <c r="K18" i="1" a="1"/>
  <c r="K18" i="1" s="1"/>
  <c r="K25" i="1" a="1"/>
  <c r="K25" i="1" s="1"/>
  <c r="K15" i="1" a="1"/>
  <c r="K15" i="1" s="1"/>
  <c r="K4" i="1" a="1"/>
  <c r="K4" i="1" s="1"/>
  <c r="K24" i="1" a="1"/>
  <c r="K24" i="1" s="1"/>
  <c r="L24" i="1"/>
  <c r="K6" i="1" a="1"/>
  <c r="K6" i="1" s="1"/>
  <c r="K21" i="1" a="1"/>
  <c r="K21" i="1" s="1"/>
  <c r="K30" i="1" a="1"/>
  <c r="K30" i="1" s="1"/>
  <c r="K3" i="1" a="1"/>
  <c r="K3" i="1" s="1"/>
  <c r="T31" i="1"/>
  <c r="S31" i="1"/>
  <c r="K9" i="1" a="1"/>
  <c r="K9" i="1" s="1"/>
  <c r="K20" i="1" a="1"/>
  <c r="K20" i="1" s="1"/>
  <c r="K19" i="1" a="1"/>
  <c r="K19" i="1" s="1"/>
  <c r="K17" i="1" a="1"/>
  <c r="K17" i="1" s="1"/>
  <c r="K32" i="1" a="1"/>
  <c r="K32" i="1" s="1"/>
  <c r="K14" i="1" a="1"/>
  <c r="K14" i="1" s="1"/>
  <c r="K23" i="1" a="1"/>
  <c r="K23" i="1" s="1"/>
  <c r="K31" i="1" a="1"/>
  <c r="K31" i="1" s="1"/>
  <c r="K10" i="1" a="1"/>
  <c r="K10" i="1" s="1"/>
  <c r="K29" i="1" a="1"/>
  <c r="K29" i="1" s="1"/>
  <c r="K11" i="1" a="1"/>
  <c r="K11" i="1" s="1"/>
  <c r="K12" i="1" a="1"/>
  <c r="K12" i="1" s="1"/>
  <c r="K7" i="1" a="1"/>
  <c r="K7" i="1" s="1"/>
  <c r="K16" i="1" a="1"/>
  <c r="K16" i="1" s="1"/>
  <c r="K26" i="1" a="1"/>
  <c r="K26" i="1" s="1"/>
  <c r="K8" i="1" a="1"/>
  <c r="K8" i="1" s="1"/>
  <c r="K28" i="1" a="1"/>
  <c r="K28" i="1" s="1"/>
  <c r="K27" i="1" a="1"/>
  <c r="K27" i="1" s="1"/>
  <c r="K22" i="1" a="1"/>
  <c r="K22" i="1" s="1"/>
  <c r="L22" i="1"/>
  <c r="K5" i="1" a="1"/>
  <c r="K5" i="1" s="1"/>
  <c r="L13" i="1" l="1"/>
  <c r="L7" i="1"/>
  <c r="L9" i="1"/>
  <c r="L27" i="1"/>
  <c r="L12" i="1"/>
  <c r="L14" i="1"/>
  <c r="L4" i="1"/>
  <c r="L28" i="1"/>
  <c r="L11" i="1"/>
  <c r="L32" i="1"/>
  <c r="L3" i="1"/>
  <c r="L15" i="1"/>
  <c r="L29" i="1"/>
  <c r="L30" i="1"/>
  <c r="L8" i="1"/>
  <c r="L17" i="1"/>
  <c r="L25" i="1"/>
  <c r="L19" i="1"/>
  <c r="L26" i="1"/>
  <c r="L10" i="1"/>
  <c r="L21" i="1"/>
  <c r="L18" i="1"/>
  <c r="L20" i="1"/>
  <c r="L23" i="1"/>
  <c r="L16" i="1"/>
  <c r="L5" i="1"/>
  <c r="L31" i="1"/>
  <c r="L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Alperen</author>
  </authors>
  <commentList>
    <comment ref="K43" authorId="0" shapeId="0" xr:uid="{AF9903BA-A16D-4CC4-BB0F-81DEE753A222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L43" authorId="0" shapeId="0" xr:uid="{7322CCC4-A6D2-43C8-A362-F2FA6AE1FDDE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MIDTERM TOTAL DÇ * DERS ÇIKTISI KATSAYISI= TOTAL CONTRIBUTION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Alperen</author>
  </authors>
  <commentList>
    <comment ref="K43" authorId="0" shapeId="0" xr:uid="{B78CB0AA-5582-409D-899D-B885755E29F6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L43" authorId="0" shapeId="0" xr:uid="{90DD76C0-2895-4DC6-9A1C-8F86524EE160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MIDTERM TOTAL DÇ * DERS ÇIKTISI KATSAYISI= TOTAL CONTRIBUTION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Alperen</author>
  </authors>
  <commentList>
    <comment ref="J38" authorId="0" shapeId="0" xr:uid="{19E1051F-423B-4F96-A977-284C6B2773F7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K38" authorId="0" shapeId="0" xr:uid="{623CEE46-9C6B-4368-B49B-BDF75CA26838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MIDTERM TOTAL DÇ * DERS ÇIKTISI KATSAYISI= TOTAL CONTRIBUTION</t>
        </r>
      </text>
    </comment>
    <comment ref="J39" authorId="0" shapeId="0" xr:uid="{CD82D326-A7A4-4CED-B606-494151A2F6A0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J40" authorId="0" shapeId="0" xr:uid="{85409CDC-7D49-46D0-91C1-AF5FFDD40CF4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J41" authorId="0" shapeId="0" xr:uid="{43CFB812-A4CC-42EF-AB2F-7E1868A22BEB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Alperen</author>
  </authors>
  <commentList>
    <comment ref="R37" authorId="0" shapeId="0" xr:uid="{AB5BB802-0C4C-4B1E-8136-6E71F700FB56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S37" authorId="0" shapeId="0" xr:uid="{72234BF8-B73F-425E-8696-F27F90416497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MIDTERM TOTAL DÇ * DERS ÇIKTISI KATSAYISI= TOTAL CONTRIBUTION</t>
        </r>
      </text>
    </comment>
    <comment ref="R38" authorId="0" shapeId="0" xr:uid="{A7807A72-E1AC-4E2C-8F33-C666FC0F5FF1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R39" authorId="0" shapeId="0" xr:uid="{282A57D8-A267-4168-94EF-0F3D88DB9D60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R40" authorId="0" shapeId="0" xr:uid="{5EBD7CCB-A69F-46F5-9A5D-410C3D04D8D9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<sst xmlns="http://schemas.openxmlformats.org/spreadsheetml/2006/main" count="647" uniqueCount="106">
  <si>
    <t>CENG-XXX OVERALL STUDENT AND COURSE DATA</t>
  </si>
  <si>
    <t>Number</t>
  </si>
  <si>
    <t>Student No</t>
  </si>
  <si>
    <t>Name</t>
  </si>
  <si>
    <t>Surname</t>
  </si>
  <si>
    <t>Midterm</t>
  </si>
  <si>
    <t>FINAL</t>
  </si>
  <si>
    <t>HOMEWORK</t>
  </si>
  <si>
    <t>LAB</t>
  </si>
  <si>
    <t>Total Points</t>
  </si>
  <si>
    <t>Letter Grade</t>
  </si>
  <si>
    <t>Normal Dist.</t>
  </si>
  <si>
    <t>Letter Grade Range</t>
  </si>
  <si>
    <t>Grade</t>
  </si>
  <si>
    <t>Min</t>
  </si>
  <si>
    <t>Max</t>
  </si>
  <si>
    <t>AA</t>
  </si>
  <si>
    <t>BA</t>
  </si>
  <si>
    <t>BB</t>
  </si>
  <si>
    <t>CB</t>
  </si>
  <si>
    <t>CC</t>
  </si>
  <si>
    <t>CD</t>
  </si>
  <si>
    <t>DD</t>
  </si>
  <si>
    <t>FD</t>
  </si>
  <si>
    <t>FF</t>
  </si>
  <si>
    <t>NA</t>
  </si>
  <si>
    <t>X</t>
  </si>
  <si>
    <t>Grading  Constraints</t>
  </si>
  <si>
    <t>Item</t>
  </si>
  <si>
    <t>Multiplier</t>
  </si>
  <si>
    <t>Base Value</t>
  </si>
  <si>
    <t>Homework</t>
  </si>
  <si>
    <t>Lab</t>
  </si>
  <si>
    <t>Final</t>
  </si>
  <si>
    <t>Total</t>
  </si>
  <si>
    <t>-</t>
  </si>
  <si>
    <t>* To use the graph select total points from the main tablo and order it by smallest to biggest.</t>
  </si>
  <si>
    <t>Mean</t>
  </si>
  <si>
    <t>Variance</t>
  </si>
  <si>
    <t>Student Name</t>
  </si>
  <si>
    <t>Student Surname</t>
  </si>
  <si>
    <t>DÇ-1</t>
  </si>
  <si>
    <t>DÇ-2</t>
  </si>
  <si>
    <t>DÇ-3</t>
  </si>
  <si>
    <t>DÇ-4</t>
  </si>
  <si>
    <t>DERS ÇIKTILARI</t>
  </si>
  <si>
    <t>DERS ÇIKTISI ADI</t>
  </si>
  <si>
    <t>DÇ KATSAYISI</t>
  </si>
  <si>
    <t>Çıktı-1</t>
  </si>
  <si>
    <t>Çıktı-2</t>
  </si>
  <si>
    <t>Çıktı-3</t>
  </si>
  <si>
    <t>Çıktı-4</t>
  </si>
  <si>
    <t>Toplam Katkı</t>
  </si>
  <si>
    <t>* This tablo shows the students dç contribution. This calculations max value is 1, min value is 0.</t>
  </si>
  <si>
    <t>CENG-XXX MIDTERM EXAM DATA</t>
  </si>
  <si>
    <t>STUDENT ID</t>
  </si>
  <si>
    <t>Q1</t>
  </si>
  <si>
    <t>Q2</t>
  </si>
  <si>
    <t>Q3</t>
  </si>
  <si>
    <t>Q4</t>
  </si>
  <si>
    <t>Q5</t>
  </si>
  <si>
    <t>Q6</t>
  </si>
  <si>
    <t>Q7</t>
  </si>
  <si>
    <t>TOTAL GRADE</t>
  </si>
  <si>
    <t>DÇ1</t>
  </si>
  <si>
    <t>DÇ2</t>
  </si>
  <si>
    <t>DÇ3</t>
  </si>
  <si>
    <t>DÇ4</t>
  </si>
  <si>
    <t>TOT</t>
  </si>
  <si>
    <t>Normal Dist</t>
  </si>
  <si>
    <t>DERS ÇIKTISI KATSAYISI</t>
  </si>
  <si>
    <t>KALAN KATSAYI</t>
  </si>
  <si>
    <t>Sütun1</t>
  </si>
  <si>
    <t>TOTAL</t>
  </si>
  <si>
    <t>PUAN</t>
  </si>
  <si>
    <t>Ders Çıktıları</t>
  </si>
  <si>
    <t>TOPLAM</t>
  </si>
  <si>
    <t>TOTAL DÇ</t>
  </si>
  <si>
    <t>CONTRIBUTION</t>
  </si>
  <si>
    <t>Her dç-x katsayısını ders çıktıları tablosuna bakaraktan yazınız. DÇ-1 için olan toplam 30 ise bu tablo da da toplam 30 olmalı.</t>
  </si>
  <si>
    <t>CENG-XXX FINAL EXAM DATA</t>
  </si>
  <si>
    <t>CENG-XXX HOMEWORK DATA</t>
  </si>
  <si>
    <t>MEAN</t>
  </si>
  <si>
    <t>VARIANCE</t>
  </si>
  <si>
    <t>HW1</t>
  </si>
  <si>
    <t>HW2</t>
  </si>
  <si>
    <t>HW3</t>
  </si>
  <si>
    <t>HW4</t>
  </si>
  <si>
    <t>HW5</t>
  </si>
  <si>
    <t>CENG-XXX LABWORK DATA</t>
  </si>
  <si>
    <t>LW1</t>
  </si>
  <si>
    <t>LW2</t>
  </si>
  <si>
    <t>LW3</t>
  </si>
  <si>
    <t>LW4</t>
  </si>
  <si>
    <t>LW5</t>
  </si>
  <si>
    <t>LW6</t>
  </si>
  <si>
    <t>LW7</t>
  </si>
  <si>
    <t>LW8</t>
  </si>
  <si>
    <t>LW9</t>
  </si>
  <si>
    <t>LW10</t>
  </si>
  <si>
    <t>LW11</t>
  </si>
  <si>
    <t>LW12</t>
  </si>
  <si>
    <t>LW13</t>
  </si>
  <si>
    <t>LW14</t>
  </si>
  <si>
    <t>TOTAL2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</si>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</sst>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26"/>
      <name val="Calibri"/>
      <family val="2"/>
      <charset val="162"/>
    </font>
    <font>
      <b/>
      <sz val="11"/>
      <color theme="0"/>
      <name val="Calibri"/>
      <family val="2"/>
      <charset val="162"/>
    </font>
    <font>
      <b/>
      <sz val="11"/>
      <name val="Calibri"/>
      <family val="2"/>
      <charset val="162"/>
    </font>
    <font>
      <sz val="11"/>
      <name val="Calibri"/>
      <family val="2"/>
      <charset val="162"/>
    </font>
    <font>
      <sz val="10"/>
      <name val="Noto Sans"/>
      <family val="2"/>
      <charset val="1"/>
    </font>
    <font>
      <b/>
      <i/>
      <sz val="11"/>
      <name val="Calibri"/>
      <family val="2"/>
      <charset val="16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11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9D9D9"/>
        <bgColor rgb="FFC0C0C0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2" fontId="0" fillId="0" borderId="0" xfId="0" applyNumberFormat="1"/>
    <xf numFmtId="0" fontId="3" fillId="8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/>
    <xf numFmtId="0" fontId="1" fillId="1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8" fillId="0" borderId="0" xfId="0" applyFont="1"/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0" fillId="11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4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numFmt numFmtId="165" formatCode="0.00000000"/>
      <alignment horizontal="center" vertical="bottom" textRotation="0" wrapText="0" indent="0" justifyLastLine="0" shrinkToFit="0" readingOrder="0"/>
    </dxf>
    <dxf>
      <numFmt numFmtId="164" formatCode="0.0000000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5" formatCode="0.00000000"/>
      <alignment horizontal="center" textRotation="0" wrapText="0" indent="0" justifyLastLine="0" shrinkToFit="0" readingOrder="0"/>
    </dxf>
    <dxf>
      <numFmt numFmtId="164" formatCode="0.000000000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164" formatCode="0.000000000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164" formatCode="0.000000000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CENG-XXX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[1]MAIN!$J$3:$J$32</c:f>
              <c:numCache>
                <c:formatCode>0.00</c:formatCode>
                <c:ptCount val="30"/>
                <c:pt idx="0">
                  <c:v>7.56</c:v>
                </c:pt>
                <c:pt idx="1">
                  <c:v>7.6</c:v>
                </c:pt>
                <c:pt idx="2">
                  <c:v>8.42</c:v>
                </c:pt>
                <c:pt idx="3">
                  <c:v>21.48</c:v>
                </c:pt>
                <c:pt idx="4">
                  <c:v>24.52</c:v>
                </c:pt>
                <c:pt idx="5">
                  <c:v>27.5</c:v>
                </c:pt>
                <c:pt idx="6">
                  <c:v>28.2</c:v>
                </c:pt>
                <c:pt idx="7">
                  <c:v>29.82</c:v>
                </c:pt>
                <c:pt idx="8">
                  <c:v>31.02</c:v>
                </c:pt>
                <c:pt idx="9">
                  <c:v>34.040000000000006</c:v>
                </c:pt>
                <c:pt idx="10">
                  <c:v>36.46</c:v>
                </c:pt>
                <c:pt idx="11">
                  <c:v>36.5</c:v>
                </c:pt>
                <c:pt idx="12">
                  <c:v>37.1</c:v>
                </c:pt>
                <c:pt idx="13">
                  <c:v>39.4</c:v>
                </c:pt>
                <c:pt idx="14">
                  <c:v>39.480000000000004</c:v>
                </c:pt>
                <c:pt idx="15">
                  <c:v>39.620000000000005</c:v>
                </c:pt>
                <c:pt idx="16">
                  <c:v>41.300000000000004</c:v>
                </c:pt>
                <c:pt idx="17">
                  <c:v>41.7</c:v>
                </c:pt>
                <c:pt idx="18">
                  <c:v>42.3</c:v>
                </c:pt>
                <c:pt idx="19">
                  <c:v>43.870000000000005</c:v>
                </c:pt>
                <c:pt idx="20">
                  <c:v>44.08</c:v>
                </c:pt>
                <c:pt idx="21">
                  <c:v>45.24</c:v>
                </c:pt>
                <c:pt idx="22">
                  <c:v>46.239999999999995</c:v>
                </c:pt>
                <c:pt idx="23">
                  <c:v>46.379999999999995</c:v>
                </c:pt>
                <c:pt idx="24">
                  <c:v>47.3</c:v>
                </c:pt>
                <c:pt idx="25">
                  <c:v>49.04</c:v>
                </c:pt>
                <c:pt idx="26">
                  <c:v>52.839999999999996</c:v>
                </c:pt>
                <c:pt idx="27">
                  <c:v>53.2</c:v>
                </c:pt>
                <c:pt idx="28">
                  <c:v>57.7</c:v>
                </c:pt>
                <c:pt idx="29">
                  <c:v>63</c:v>
                </c:pt>
              </c:numCache>
            </c:numRef>
          </c:xVal>
          <c:yVal>
            <c:numRef>
              <c:f>[1]MAIN!$L$3:$L$32</c:f>
              <c:numCache>
                <c:formatCode>General</c:formatCode>
                <c:ptCount val="30"/>
                <c:pt idx="0">
                  <c:v>2.5835198658602518E-3</c:v>
                </c:pt>
                <c:pt idx="1">
                  <c:v>2.6004063125194665E-3</c:v>
                </c:pt>
                <c:pt idx="2">
                  <c:v>2.966255095607051E-3</c:v>
                </c:pt>
                <c:pt idx="3">
                  <c:v>1.4720569026309553E-2</c:v>
                </c:pt>
                <c:pt idx="4">
                  <c:v>1.8701540010571848E-2</c:v>
                </c:pt>
                <c:pt idx="5">
                  <c:v>2.2517649931579547E-2</c:v>
                </c:pt>
                <c:pt idx="6">
                  <c:v>2.3356865475674778E-2</c:v>
                </c:pt>
                <c:pt idx="7">
                  <c:v>2.5161640685374652E-2</c:v>
                </c:pt>
                <c:pt idx="8">
                  <c:v>2.6343500813529274E-2</c:v>
                </c:pt>
                <c:pt idx="9">
                  <c:v>2.855894170296823E-2</c:v>
                </c:pt>
                <c:pt idx="10">
                  <c:v>2.9393100692773337E-2</c:v>
                </c:pt>
                <c:pt idx="11">
                  <c:v>2.9399197861535199E-2</c:v>
                </c:pt>
                <c:pt idx="12">
                  <c:v>2.9459928382259248E-2</c:v>
                </c:pt>
                <c:pt idx="13">
                  <c:v>2.9158442590746642E-2</c:v>
                </c:pt>
                <c:pt idx="14">
                  <c:v>2.9132875007177667E-2</c:v>
                </c:pt>
                <c:pt idx="15">
                  <c:v>2.908574155866496E-2</c:v>
                </c:pt>
                <c:pt idx="16">
                  <c:v>2.8289088090760511E-2</c:v>
                </c:pt>
                <c:pt idx="17">
                  <c:v>2.8038931309781329E-2</c:v>
                </c:pt>
                <c:pt idx="18">
                  <c:v>2.7622585181342061E-2</c:v>
                </c:pt>
                <c:pt idx="19">
                  <c:v>2.631642468448479E-2</c:v>
                </c:pt>
                <c:pt idx="20">
                  <c:v>2.6119813534685173E-2</c:v>
                </c:pt>
                <c:pt idx="21">
                  <c:v>2.4951526469312774E-2</c:v>
                </c:pt>
                <c:pt idx="22">
                  <c:v>2.384547790320761E-2</c:v>
                </c:pt>
                <c:pt idx="23">
                  <c:v>2.3684279603739766E-2</c:v>
                </c:pt>
                <c:pt idx="24">
                  <c:v>2.2591563133072187E-2</c:v>
                </c:pt>
                <c:pt idx="25">
                  <c:v>2.0401607494210355E-2</c:v>
                </c:pt>
                <c:pt idx="26">
                  <c:v>1.5417492944803013E-2</c:v>
                </c:pt>
                <c:pt idx="27">
                  <c:v>1.4952525787742199E-2</c:v>
                </c:pt>
                <c:pt idx="28">
                  <c:v>9.6064371118935454E-3</c:v>
                </c:pt>
                <c:pt idx="29">
                  <c:v>4.9511906617681943E-3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9-4B93-B2E1-D40A4E799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302671"/>
        <c:axId val="520303503"/>
      </c:scatterChart>
      <c:valAx>
        <c:axId val="52030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03503"/>
        <c:crosses val="autoZero"/>
        <c:crossBetween val="midCat"/>
      </c:valAx>
      <c:valAx>
        <c:axId val="5203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0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CENG-XXX MIDTERM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[1]MIDTERM!$M$5:$M$34</c:f>
              <c:numCache>
                <c:formatCode>General</c:formatCode>
                <c:ptCount val="30"/>
                <c:pt idx="0">
                  <c:v>71</c:v>
                </c:pt>
                <c:pt idx="1">
                  <c:v>67</c:v>
                </c:pt>
                <c:pt idx="2">
                  <c:v>62</c:v>
                </c:pt>
                <c:pt idx="3">
                  <c:v>57</c:v>
                </c:pt>
                <c:pt idx="4">
                  <c:v>55</c:v>
                </c:pt>
                <c:pt idx="5">
                  <c:v>53</c:v>
                </c:pt>
                <c:pt idx="6">
                  <c:v>50</c:v>
                </c:pt>
                <c:pt idx="7">
                  <c:v>50</c:v>
                </c:pt>
                <c:pt idx="8">
                  <c:v>48</c:v>
                </c:pt>
                <c:pt idx="9">
                  <c:v>48</c:v>
                </c:pt>
                <c:pt idx="10">
                  <c:v>47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37</c:v>
                </c:pt>
                <c:pt idx="18">
                  <c:v>36</c:v>
                </c:pt>
                <c:pt idx="19">
                  <c:v>36</c:v>
                </c:pt>
                <c:pt idx="20">
                  <c:v>35</c:v>
                </c:pt>
                <c:pt idx="21">
                  <c:v>28</c:v>
                </c:pt>
                <c:pt idx="22">
                  <c:v>25</c:v>
                </c:pt>
                <c:pt idx="23">
                  <c:v>24</c:v>
                </c:pt>
                <c:pt idx="24">
                  <c:v>22</c:v>
                </c:pt>
                <c:pt idx="25">
                  <c:v>21</c:v>
                </c:pt>
                <c:pt idx="26">
                  <c:v>17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[1]MIDTERM!$S$5:$S$34</c:f>
              <c:numCache>
                <c:formatCode>General</c:formatCode>
                <c:ptCount val="30"/>
                <c:pt idx="0">
                  <c:v>4.1940278803414199E-3</c:v>
                </c:pt>
                <c:pt idx="1">
                  <c:v>6.1180895764037227E-3</c:v>
                </c:pt>
                <c:pt idx="2">
                  <c:v>9.1588558478442415E-3</c:v>
                </c:pt>
                <c:pt idx="3">
                  <c:v>1.2705893806020505E-2</c:v>
                </c:pt>
                <c:pt idx="4">
                  <c:v>1.4177956179946404E-2</c:v>
                </c:pt>
                <c:pt idx="5">
                  <c:v>1.5629036846777963E-2</c:v>
                </c:pt>
                <c:pt idx="6">
                  <c:v>1.7680383242776862E-2</c:v>
                </c:pt>
                <c:pt idx="7">
                  <c:v>1.7680383242776862E-2</c:v>
                </c:pt>
                <c:pt idx="8">
                  <c:v>1.8905392662284057E-2</c:v>
                </c:pt>
                <c:pt idx="9">
                  <c:v>1.8905392662284057E-2</c:v>
                </c:pt>
                <c:pt idx="10">
                  <c:v>1.9460277639275211E-2</c:v>
                </c:pt>
                <c:pt idx="11">
                  <c:v>2.0840315400294896E-2</c:v>
                </c:pt>
                <c:pt idx="12">
                  <c:v>2.1192285407833772E-2</c:v>
                </c:pt>
                <c:pt idx="13">
                  <c:v>2.1484677809694316E-2</c:v>
                </c:pt>
                <c:pt idx="14">
                  <c:v>2.1484677809694316E-2</c:v>
                </c:pt>
                <c:pt idx="15">
                  <c:v>2.1880819321820844E-2</c:v>
                </c:pt>
                <c:pt idx="16">
                  <c:v>2.1880819321820844E-2</c:v>
                </c:pt>
                <c:pt idx="17">
                  <c:v>2.1980990760215053E-2</c:v>
                </c:pt>
                <c:pt idx="18">
                  <c:v>2.1880819321820844E-2</c:v>
                </c:pt>
                <c:pt idx="19">
                  <c:v>2.1880819321820844E-2</c:v>
                </c:pt>
                <c:pt idx="20">
                  <c:v>2.1714880340688841E-2</c:v>
                </c:pt>
                <c:pt idx="21">
                  <c:v>1.8905392662284057E-2</c:v>
                </c:pt>
                <c:pt idx="22">
                  <c:v>1.7020055707633003E-2</c:v>
                </c:pt>
                <c:pt idx="23">
                  <c:v>1.6334574426045821E-2</c:v>
                </c:pt>
                <c:pt idx="24">
                  <c:v>1.4908506887514609E-2</c:v>
                </c:pt>
                <c:pt idx="25">
                  <c:v>1.4177956179946404E-2</c:v>
                </c:pt>
                <c:pt idx="26">
                  <c:v>1.1248820574905113E-2</c:v>
                </c:pt>
                <c:pt idx="27">
                  <c:v>2.4428421796479677E-3</c:v>
                </c:pt>
                <c:pt idx="28">
                  <c:v>2.4428421796479677E-3</c:v>
                </c:pt>
                <c:pt idx="29">
                  <c:v>2.4428421796479677E-3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B-4502-9C1D-A9D9B476C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40431"/>
        <c:axId val="367637103"/>
      </c:scatterChart>
      <c:valAx>
        <c:axId val="36764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37103"/>
        <c:crosses val="autoZero"/>
        <c:crossBetween val="midCat"/>
      </c:valAx>
      <c:valAx>
        <c:axId val="3676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40431"/>
        <c:crosses val="autoZero"/>
        <c:crossBetween val="midCat"/>
      </c:valAx>
      <c:spPr>
        <a:noFill/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glow rad="127000">
        <a:schemeClr val="bg1"/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CENG-XXX FINAL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[1]MIDTERM!$M$5:$M$34</c:f>
              <c:numCache>
                <c:formatCode>General</c:formatCode>
                <c:ptCount val="30"/>
                <c:pt idx="0">
                  <c:v>71</c:v>
                </c:pt>
                <c:pt idx="1">
                  <c:v>67</c:v>
                </c:pt>
                <c:pt idx="2">
                  <c:v>62</c:v>
                </c:pt>
                <c:pt idx="3">
                  <c:v>57</c:v>
                </c:pt>
                <c:pt idx="4">
                  <c:v>55</c:v>
                </c:pt>
                <c:pt idx="5">
                  <c:v>53</c:v>
                </c:pt>
                <c:pt idx="6">
                  <c:v>50</c:v>
                </c:pt>
                <c:pt idx="7">
                  <c:v>50</c:v>
                </c:pt>
                <c:pt idx="8">
                  <c:v>48</c:v>
                </c:pt>
                <c:pt idx="9">
                  <c:v>48</c:v>
                </c:pt>
                <c:pt idx="10">
                  <c:v>47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37</c:v>
                </c:pt>
                <c:pt idx="18">
                  <c:v>36</c:v>
                </c:pt>
                <c:pt idx="19">
                  <c:v>36</c:v>
                </c:pt>
                <c:pt idx="20">
                  <c:v>35</c:v>
                </c:pt>
                <c:pt idx="21">
                  <c:v>28</c:v>
                </c:pt>
                <c:pt idx="22">
                  <c:v>25</c:v>
                </c:pt>
                <c:pt idx="23">
                  <c:v>24</c:v>
                </c:pt>
                <c:pt idx="24">
                  <c:v>22</c:v>
                </c:pt>
                <c:pt idx="25">
                  <c:v>21</c:v>
                </c:pt>
                <c:pt idx="26">
                  <c:v>17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[1]MIDTERM!$S$5:$S$34</c:f>
              <c:numCache>
                <c:formatCode>General</c:formatCode>
                <c:ptCount val="30"/>
                <c:pt idx="0">
                  <c:v>4.1940278803414199E-3</c:v>
                </c:pt>
                <c:pt idx="1">
                  <c:v>6.1180895764037227E-3</c:v>
                </c:pt>
                <c:pt idx="2">
                  <c:v>9.1588558478442415E-3</c:v>
                </c:pt>
                <c:pt idx="3">
                  <c:v>1.2705893806020505E-2</c:v>
                </c:pt>
                <c:pt idx="4">
                  <c:v>1.4177956179946404E-2</c:v>
                </c:pt>
                <c:pt idx="5">
                  <c:v>1.5629036846777963E-2</c:v>
                </c:pt>
                <c:pt idx="6">
                  <c:v>1.7680383242776862E-2</c:v>
                </c:pt>
                <c:pt idx="7">
                  <c:v>1.7680383242776862E-2</c:v>
                </c:pt>
                <c:pt idx="8">
                  <c:v>1.8905392662284057E-2</c:v>
                </c:pt>
                <c:pt idx="9">
                  <c:v>1.8905392662284057E-2</c:v>
                </c:pt>
                <c:pt idx="10">
                  <c:v>1.9460277639275211E-2</c:v>
                </c:pt>
                <c:pt idx="11">
                  <c:v>2.0840315400294896E-2</c:v>
                </c:pt>
                <c:pt idx="12">
                  <c:v>2.1192285407833772E-2</c:v>
                </c:pt>
                <c:pt idx="13">
                  <c:v>2.1484677809694316E-2</c:v>
                </c:pt>
                <c:pt idx="14">
                  <c:v>2.1484677809694316E-2</c:v>
                </c:pt>
                <c:pt idx="15">
                  <c:v>2.1880819321820844E-2</c:v>
                </c:pt>
                <c:pt idx="16">
                  <c:v>2.1880819321820844E-2</c:v>
                </c:pt>
                <c:pt idx="17">
                  <c:v>2.1980990760215053E-2</c:v>
                </c:pt>
                <c:pt idx="18">
                  <c:v>2.1880819321820844E-2</c:v>
                </c:pt>
                <c:pt idx="19">
                  <c:v>2.1880819321820844E-2</c:v>
                </c:pt>
                <c:pt idx="20">
                  <c:v>2.1714880340688841E-2</c:v>
                </c:pt>
                <c:pt idx="21">
                  <c:v>1.8905392662284057E-2</c:v>
                </c:pt>
                <c:pt idx="22">
                  <c:v>1.7020055707633003E-2</c:v>
                </c:pt>
                <c:pt idx="23">
                  <c:v>1.6334574426045821E-2</c:v>
                </c:pt>
                <c:pt idx="24">
                  <c:v>1.4908506887514609E-2</c:v>
                </c:pt>
                <c:pt idx="25">
                  <c:v>1.4177956179946404E-2</c:v>
                </c:pt>
                <c:pt idx="26">
                  <c:v>1.1248820574905113E-2</c:v>
                </c:pt>
                <c:pt idx="27">
                  <c:v>2.4428421796479677E-3</c:v>
                </c:pt>
                <c:pt idx="28">
                  <c:v>2.4428421796479677E-3</c:v>
                </c:pt>
                <c:pt idx="29">
                  <c:v>2.4428421796479677E-3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63-4EC6-B823-10AB24723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40431"/>
        <c:axId val="367637103"/>
      </c:scatterChart>
      <c:valAx>
        <c:axId val="36764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37103"/>
        <c:crosses val="autoZero"/>
        <c:crossBetween val="midCat"/>
      </c:valAx>
      <c:valAx>
        <c:axId val="3676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40431"/>
        <c:crosses val="autoZero"/>
        <c:crossBetween val="midCat"/>
      </c:valAx>
      <c:spPr>
        <a:noFill/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glow rad="127000">
        <a:schemeClr val="bg1"/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800" b="1" i="0" baseline="0">
                <a:effectLst/>
              </a:rPr>
              <a:t>CENG-XXX HOMEWORK CURVE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[1]HOMEWORK!$K$5:$K$34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2.2000000000000002</c:v>
                </c:pt>
                <c:pt idx="4">
                  <c:v>2.8</c:v>
                </c:pt>
                <c:pt idx="5">
                  <c:v>3.4</c:v>
                </c:pt>
                <c:pt idx="6">
                  <c:v>4</c:v>
                </c:pt>
                <c:pt idx="7">
                  <c:v>4</c:v>
                </c:pt>
                <c:pt idx="8">
                  <c:v>4.2</c:v>
                </c:pt>
                <c:pt idx="9">
                  <c:v>4.2</c:v>
                </c:pt>
                <c:pt idx="10">
                  <c:v>4.4000000000000004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5.2</c:v>
                </c:pt>
                <c:pt idx="19">
                  <c:v>5.4</c:v>
                </c:pt>
                <c:pt idx="20">
                  <c:v>5.4</c:v>
                </c:pt>
                <c:pt idx="21">
                  <c:v>5.6</c:v>
                </c:pt>
                <c:pt idx="22">
                  <c:v>5.6</c:v>
                </c:pt>
                <c:pt idx="23">
                  <c:v>5.8</c:v>
                </c:pt>
                <c:pt idx="24">
                  <c:v>5.8</c:v>
                </c:pt>
                <c:pt idx="25">
                  <c:v>6</c:v>
                </c:pt>
                <c:pt idx="26">
                  <c:v>6</c:v>
                </c:pt>
                <c:pt idx="27">
                  <c:v>6.2</c:v>
                </c:pt>
                <c:pt idx="28">
                  <c:v>6.7</c:v>
                </c:pt>
                <c:pt idx="29">
                  <c:v>10</c:v>
                </c:pt>
              </c:numCache>
            </c:numRef>
          </c:xVal>
          <c:yVal>
            <c:numRef>
              <c:f>[1]HOMEWORK!$Q$5:$Q$34</c:f>
              <c:numCache>
                <c:formatCode>General</c:formatCode>
                <c:ptCount val="30"/>
                <c:pt idx="0">
                  <c:v>1.0618999877097624E-2</c:v>
                </c:pt>
                <c:pt idx="1">
                  <c:v>1.0618999877097624E-2</c:v>
                </c:pt>
                <c:pt idx="2">
                  <c:v>8.0064646434437295E-2</c:v>
                </c:pt>
                <c:pt idx="3">
                  <c:v>9.2180416175694557E-2</c:v>
                </c:pt>
                <c:pt idx="4">
                  <c:v>0.13160788610670937</c:v>
                </c:pt>
                <c:pt idx="5">
                  <c:v>0.17001983922354477</c:v>
                </c:pt>
                <c:pt idx="6">
                  <c:v>0.19874294797332615</c:v>
                </c:pt>
                <c:pt idx="7">
                  <c:v>0.19874294797332615</c:v>
                </c:pt>
                <c:pt idx="8">
                  <c:v>0.20475710386720036</c:v>
                </c:pt>
                <c:pt idx="9">
                  <c:v>0.20475710386720036</c:v>
                </c:pt>
                <c:pt idx="10">
                  <c:v>0.20862251012305136</c:v>
                </c:pt>
                <c:pt idx="11">
                  <c:v>0.20862251012305136</c:v>
                </c:pt>
                <c:pt idx="12">
                  <c:v>0.20947411102404476</c:v>
                </c:pt>
                <c:pt idx="13">
                  <c:v>0.20643216019283087</c:v>
                </c:pt>
                <c:pt idx="14">
                  <c:v>0.20643216019283087</c:v>
                </c:pt>
                <c:pt idx="15">
                  <c:v>0.20643216019283087</c:v>
                </c:pt>
                <c:pt idx="16">
                  <c:v>0.20643216019283087</c:v>
                </c:pt>
                <c:pt idx="17">
                  <c:v>0.20643216019283087</c:v>
                </c:pt>
                <c:pt idx="18">
                  <c:v>0.20118671342007613</c:v>
                </c:pt>
                <c:pt idx="19">
                  <c:v>0.19390819893198225</c:v>
                </c:pt>
                <c:pt idx="20">
                  <c:v>0.19390819893198225</c:v>
                </c:pt>
                <c:pt idx="21">
                  <c:v>0.18482809471308606</c:v>
                </c:pt>
                <c:pt idx="22">
                  <c:v>0.18482809471308606</c:v>
                </c:pt>
                <c:pt idx="23">
                  <c:v>0.17422671106222601</c:v>
                </c:pt>
                <c:pt idx="24">
                  <c:v>0.17422671106222601</c:v>
                </c:pt>
                <c:pt idx="25">
                  <c:v>0.16241884871807252</c:v>
                </c:pt>
                <c:pt idx="26">
                  <c:v>0.16241884871807252</c:v>
                </c:pt>
                <c:pt idx="27">
                  <c:v>0.14973835396183968</c:v>
                </c:pt>
                <c:pt idx="28">
                  <c:v>0.11640321468986572</c:v>
                </c:pt>
                <c:pt idx="29">
                  <c:v>3.8708569066472501E-3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7-4680-9DE7-E0FEF495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27983"/>
        <c:axId val="205922159"/>
      </c:scatterChart>
      <c:valAx>
        <c:axId val="20592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2159"/>
        <c:crosses val="autoZero"/>
        <c:crossBetween val="midCat"/>
      </c:valAx>
      <c:valAx>
        <c:axId val="20592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CENG-XXX LABWORK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[1]LAB!$T$5:$T$34</c:f>
              <c:numCache>
                <c:formatCode>General</c:formatCode>
                <c:ptCount val="30"/>
                <c:pt idx="0">
                  <c:v>33</c:v>
                </c:pt>
                <c:pt idx="1">
                  <c:v>35</c:v>
                </c:pt>
                <c:pt idx="2">
                  <c:v>35</c:v>
                </c:pt>
                <c:pt idx="3">
                  <c:v>36</c:v>
                </c:pt>
                <c:pt idx="4">
                  <c:v>40</c:v>
                </c:pt>
                <c:pt idx="5">
                  <c:v>42</c:v>
                </c:pt>
                <c:pt idx="6">
                  <c:v>43</c:v>
                </c:pt>
                <c:pt idx="7">
                  <c:v>45</c:v>
                </c:pt>
                <c:pt idx="8">
                  <c:v>47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50</c:v>
                </c:pt>
                <c:pt idx="13">
                  <c:v>53</c:v>
                </c:pt>
                <c:pt idx="14">
                  <c:v>54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56</c:v>
                </c:pt>
                <c:pt idx="19">
                  <c:v>56</c:v>
                </c:pt>
                <c:pt idx="20">
                  <c:v>57</c:v>
                </c:pt>
                <c:pt idx="21">
                  <c:v>58</c:v>
                </c:pt>
                <c:pt idx="22">
                  <c:v>59</c:v>
                </c:pt>
                <c:pt idx="23">
                  <c:v>60</c:v>
                </c:pt>
                <c:pt idx="24">
                  <c:v>61</c:v>
                </c:pt>
                <c:pt idx="25">
                  <c:v>62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69</c:v>
                </c:pt>
              </c:numCache>
            </c:numRef>
          </c:xVal>
          <c:yVal>
            <c:numRef>
              <c:f>[1]LAB!$Z$5:$Z$34</c:f>
              <c:numCache>
                <c:formatCode>General</c:formatCode>
                <c:ptCount val="30"/>
                <c:pt idx="0">
                  <c:v>4.2256317597747228E-3</c:v>
                </c:pt>
                <c:pt idx="1">
                  <c:v>4.2432936677509877E-3</c:v>
                </c:pt>
                <c:pt idx="2">
                  <c:v>4.2432936677509877E-3</c:v>
                </c:pt>
                <c:pt idx="3">
                  <c:v>4.251406456380895E-3</c:v>
                </c:pt>
                <c:pt idx="4">
                  <c:v>4.2790060550299217E-3</c:v>
                </c:pt>
                <c:pt idx="5">
                  <c:v>4.2898618775489101E-3</c:v>
                </c:pt>
                <c:pt idx="6">
                  <c:v>4.2945467150302128E-3</c:v>
                </c:pt>
                <c:pt idx="7">
                  <c:v>4.3024220538293171E-3</c:v>
                </c:pt>
                <c:pt idx="8">
                  <c:v>4.3082960479747072E-3</c:v>
                </c:pt>
                <c:pt idx="9">
                  <c:v>4.3121604671926758E-3</c:v>
                </c:pt>
                <c:pt idx="10">
                  <c:v>4.3121604671926758E-3</c:v>
                </c:pt>
                <c:pt idx="11">
                  <c:v>4.3121604671926758E-3</c:v>
                </c:pt>
                <c:pt idx="12">
                  <c:v>4.313337282650564E-3</c:v>
                </c:pt>
                <c:pt idx="13">
                  <c:v>4.3138417304417745E-3</c:v>
                </c:pt>
                <c:pt idx="14">
                  <c:v>4.3130010168949727E-3</c:v>
                </c:pt>
                <c:pt idx="15">
                  <c:v>4.3130010168949727E-3</c:v>
                </c:pt>
                <c:pt idx="16">
                  <c:v>4.311656216003378E-3</c:v>
                </c:pt>
                <c:pt idx="17">
                  <c:v>4.3098077994072441E-3</c:v>
                </c:pt>
                <c:pt idx="18">
                  <c:v>4.3098077994072441E-3</c:v>
                </c:pt>
                <c:pt idx="19">
                  <c:v>4.3098077994072441E-3</c:v>
                </c:pt>
                <c:pt idx="20">
                  <c:v>4.3074564152117325E-3</c:v>
                </c:pt>
                <c:pt idx="21">
                  <c:v>4.3046028876081843E-3</c:v>
                </c:pt>
                <c:pt idx="22">
                  <c:v>4.3012482163926596E-3</c:v>
                </c:pt>
                <c:pt idx="23">
                  <c:v>4.2973935763821261E-3</c:v>
                </c:pt>
                <c:pt idx="24">
                  <c:v>4.2930403167287757E-3</c:v>
                </c:pt>
                <c:pt idx="25">
                  <c:v>4.2881899601330403E-3</c:v>
                </c:pt>
                <c:pt idx="26">
                  <c:v>4.2881899601330403E-3</c:v>
                </c:pt>
                <c:pt idx="27">
                  <c:v>4.2770049092314341E-3</c:v>
                </c:pt>
                <c:pt idx="28">
                  <c:v>4.2638540400225184E-3</c:v>
                </c:pt>
                <c:pt idx="29">
                  <c:v>4.2404826455504779E-3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7-406A-AECB-5319351DC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24448"/>
        <c:axId val="312125280"/>
      </c:scatterChart>
      <c:valAx>
        <c:axId val="31212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25280"/>
        <c:crosses val="autoZero"/>
        <c:crossBetween val="midCat"/>
      </c:valAx>
      <c:valAx>
        <c:axId val="3121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2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97717</xdr:colOff>
      <xdr:row>0</xdr:row>
      <xdr:rowOff>81131</xdr:rowOff>
    </xdr:from>
    <xdr:to>
      <xdr:col>0</xdr:col>
      <xdr:colOff>967568</xdr:colOff>
      <xdr:row>3</xdr:row>
      <xdr:rowOff>152400</xdr:rowOff>
    </xdr:to>
    <xdr:pic>
      <xdr:nvPicPr>
        <xdr:cNvPr id="2" name="Resim 1" descr="Bilgisayar Mühendisliği - Çankaya Üniversitesi">
          <a:extLst>
            <a:ext uri="{FF2B5EF4-FFF2-40B4-BE49-F238E27FC236}">
              <a16:creationId xmlns:a16="http://schemas.microsoft.com/office/drawing/2014/main" id="{3D283DA9-ACC0-4F46-AB5D-927582B5C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17" y="81131"/>
          <a:ext cx="869851" cy="88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215858</xdr:colOff>
      <xdr:row>0</xdr:row>
      <xdr:rowOff>21771</xdr:rowOff>
    </xdr:from>
    <xdr:to>
      <xdr:col>25</xdr:col>
      <xdr:colOff>502224</xdr:colOff>
      <xdr:row>3</xdr:row>
      <xdr:rowOff>55418</xdr:rowOff>
    </xdr:to>
    <xdr:pic>
      <xdr:nvPicPr>
        <xdr:cNvPr id="3" name="Resim 2" descr="Çankaya Üniversitesi - Vikipedi">
          <a:extLst>
            <a:ext uri="{FF2B5EF4-FFF2-40B4-BE49-F238E27FC236}">
              <a16:creationId xmlns:a16="http://schemas.microsoft.com/office/drawing/2014/main" id="{CDBDC246-45C5-4783-9DAB-F47A5FE78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8403" y="21771"/>
          <a:ext cx="868257" cy="851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21773</xdr:colOff>
      <xdr:row>4</xdr:row>
      <xdr:rowOff>10886</xdr:rowOff>
    </xdr:from>
    <xdr:to>
      <xdr:col>25</xdr:col>
      <xdr:colOff>10886</xdr:colOff>
      <xdr:row>25</xdr:row>
      <xdr:rowOff>163286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87458A12-FE8C-4EA9-B45D-82E43C708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48</xdr:row>
      <xdr:rowOff>178654</xdr:rowOff>
    </xdr:from>
    <xdr:to>
      <xdr:col>12</xdr:col>
      <xdr:colOff>1</xdr:colOff>
      <xdr:row>66</xdr:row>
      <xdr:rowOff>65314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B6423884-0256-49A6-A191-FD946B60C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869851</xdr:colOff>
      <xdr:row>4</xdr:row>
      <xdr:rowOff>155161</xdr:rowOff>
    </xdr:to>
    <xdr:pic>
      <xdr:nvPicPr>
        <xdr:cNvPr id="3" name="Resim 2" descr="Bilgisayar Mühendisliği - Çankaya Üniversitesi">
          <a:extLst>
            <a:ext uri="{FF2B5EF4-FFF2-40B4-BE49-F238E27FC236}">
              <a16:creationId xmlns:a16="http://schemas.microsoft.com/office/drawing/2014/main" id="{6EB5BF41-4861-4E52-A038-4154559E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2711" cy="894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5442</xdr:colOff>
      <xdr:row>0</xdr:row>
      <xdr:rowOff>10885</xdr:rowOff>
    </xdr:from>
    <xdr:to>
      <xdr:col>24</xdr:col>
      <xdr:colOff>188182</xdr:colOff>
      <xdr:row>4</xdr:row>
      <xdr:rowOff>141372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FDED8BAF-B650-4062-976C-A309D24D5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96262" y="10885"/>
          <a:ext cx="899020" cy="8696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875978</xdr:colOff>
      <xdr:row>50</xdr:row>
      <xdr:rowOff>178654</xdr:rowOff>
    </xdr:from>
    <xdr:to>
      <xdr:col>11</xdr:col>
      <xdr:colOff>1164771</xdr:colOff>
      <xdr:row>68</xdr:row>
      <xdr:rowOff>163286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075A08B-A60B-47C3-8AF5-8EDB0FDE2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869769</xdr:colOff>
      <xdr:row>4</xdr:row>
      <xdr:rowOff>158683</xdr:rowOff>
    </xdr:to>
    <xdr:pic>
      <xdr:nvPicPr>
        <xdr:cNvPr id="3" name="Resim 2" descr="Bilgisayar Mühendisliği - Çankaya Üniversitesi">
          <a:extLst>
            <a:ext uri="{FF2B5EF4-FFF2-40B4-BE49-F238E27FC236}">
              <a16:creationId xmlns:a16="http://schemas.microsoft.com/office/drawing/2014/main" id="{7B0C8755-8C72-49CC-AF3F-756B4901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2629" cy="897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185057</xdr:colOff>
      <xdr:row>0</xdr:row>
      <xdr:rowOff>0</xdr:rowOff>
    </xdr:from>
    <xdr:to>
      <xdr:col>22</xdr:col>
      <xdr:colOff>56316</xdr:colOff>
      <xdr:row>4</xdr:row>
      <xdr:rowOff>158683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AFFADAF0-B12D-4534-B667-7D5FEAD39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98837" y="0"/>
          <a:ext cx="899959" cy="8978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283111</xdr:colOff>
      <xdr:row>3</xdr:row>
      <xdr:rowOff>53341</xdr:rowOff>
    </xdr:to>
    <xdr:pic>
      <xdr:nvPicPr>
        <xdr:cNvPr id="5" name="Resim 4" descr="Bilgisayar Mühendisliği - Çankaya Üniversitesi">
          <a:extLst>
            <a:ext uri="{FF2B5EF4-FFF2-40B4-BE49-F238E27FC236}">
              <a16:creationId xmlns:a16="http://schemas.microsoft.com/office/drawing/2014/main" id="{DA8F2834-5A4D-4634-B510-168AC98D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892711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538842</xdr:colOff>
      <xdr:row>0</xdr:row>
      <xdr:rowOff>10885</xdr:rowOff>
    </xdr:from>
    <xdr:to>
      <xdr:col>30</xdr:col>
      <xdr:colOff>221928</xdr:colOff>
      <xdr:row>4</xdr:row>
      <xdr:rowOff>13854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EE64E1B4-3E11-4FF0-AEB6-F449D8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10624" y="10885"/>
          <a:ext cx="902286" cy="986642"/>
        </a:xfrm>
        <a:prstGeom prst="rect">
          <a:avLst/>
        </a:prstGeom>
      </xdr:spPr>
    </xdr:pic>
    <xdr:clientData/>
  </xdr:twoCellAnchor>
  <xdr:twoCellAnchor>
    <xdr:from>
      <xdr:col>17</xdr:col>
      <xdr:colOff>609600</xdr:colOff>
      <xdr:row>4</xdr:row>
      <xdr:rowOff>179613</xdr:rowOff>
    </xdr:from>
    <xdr:to>
      <xdr:col>26</xdr:col>
      <xdr:colOff>10886</xdr:colOff>
      <xdr:row>33</xdr:row>
      <xdr:rowOff>163285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7D2ACD23-B590-4957-ADA3-81746FE97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283111</xdr:colOff>
      <xdr:row>3</xdr:row>
      <xdr:rowOff>53340</xdr:rowOff>
    </xdr:to>
    <xdr:pic>
      <xdr:nvPicPr>
        <xdr:cNvPr id="2" name="Resim 1" descr="Bilgisayar Mühendisliği - Çankaya Üniversitesi">
          <a:extLst>
            <a:ext uri="{FF2B5EF4-FFF2-40B4-BE49-F238E27FC236}">
              <a16:creationId xmlns:a16="http://schemas.microsoft.com/office/drawing/2014/main" id="{AC49B5A5-D13A-457D-B071-8BF9BF472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892711" cy="845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408214</xdr:colOff>
      <xdr:row>0</xdr:row>
      <xdr:rowOff>0</xdr:rowOff>
    </xdr:from>
    <xdr:to>
      <xdr:col>33</xdr:col>
      <xdr:colOff>91300</xdr:colOff>
      <xdr:row>4</xdr:row>
      <xdr:rowOff>129540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B36AA9A-8D8A-4E74-8018-AA11438CB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63714" y="0"/>
          <a:ext cx="902286" cy="868680"/>
        </a:xfrm>
        <a:prstGeom prst="rect">
          <a:avLst/>
        </a:prstGeom>
      </xdr:spPr>
    </xdr:pic>
    <xdr:clientData/>
  </xdr:twoCellAnchor>
  <xdr:twoCellAnchor>
    <xdr:from>
      <xdr:col>19</xdr:col>
      <xdr:colOff>632360</xdr:colOff>
      <xdr:row>37</xdr:row>
      <xdr:rowOff>41068</xdr:rowOff>
    </xdr:from>
    <xdr:to>
      <xdr:col>32</xdr:col>
      <xdr:colOff>174171</xdr:colOff>
      <xdr:row>64</xdr:row>
      <xdr:rowOff>77188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A6F345CA-4AC0-4818-AC7C-A90F2E0D7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peren/Downloads/DersCiktilari-TaslakExcel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yfa1"/>
      <sheetName val="Tablo6"/>
      <sheetName val="MAIN"/>
      <sheetName val="MIDTERM"/>
      <sheetName val="FINAL"/>
      <sheetName val="HOMEWORK"/>
      <sheetName val="LAB"/>
    </sheetNames>
    <sheetDataSet>
      <sheetData sheetId="0"/>
      <sheetData sheetId="1"/>
      <sheetData sheetId="2">
        <row r="3">
          <cell r="J3">
            <v>7.56</v>
          </cell>
          <cell r="L3">
            <v>2.5835198658602518E-3</v>
          </cell>
        </row>
        <row r="4">
          <cell r="J4">
            <v>7.6</v>
          </cell>
          <cell r="L4">
            <v>2.6004063125194665E-3</v>
          </cell>
        </row>
        <row r="5">
          <cell r="J5">
            <v>8.42</v>
          </cell>
          <cell r="L5">
            <v>2.966255095607051E-3</v>
          </cell>
        </row>
        <row r="6">
          <cell r="J6">
            <v>21.48</v>
          </cell>
          <cell r="L6">
            <v>1.4720569026309553E-2</v>
          </cell>
        </row>
        <row r="7">
          <cell r="J7">
            <v>24.52</v>
          </cell>
          <cell r="L7">
            <v>1.8701540010571848E-2</v>
          </cell>
        </row>
        <row r="8">
          <cell r="J8">
            <v>27.5</v>
          </cell>
          <cell r="L8">
            <v>2.2517649931579547E-2</v>
          </cell>
        </row>
        <row r="9">
          <cell r="J9">
            <v>28.2</v>
          </cell>
          <cell r="L9">
            <v>2.3356865475674778E-2</v>
          </cell>
        </row>
        <row r="10">
          <cell r="J10">
            <v>29.82</v>
          </cell>
          <cell r="L10">
            <v>2.5161640685374652E-2</v>
          </cell>
        </row>
        <row r="11">
          <cell r="J11">
            <v>31.02</v>
          </cell>
          <cell r="L11">
            <v>2.6343500813529274E-2</v>
          </cell>
        </row>
        <row r="12">
          <cell r="J12">
            <v>34.040000000000006</v>
          </cell>
          <cell r="L12">
            <v>2.855894170296823E-2</v>
          </cell>
        </row>
        <row r="13">
          <cell r="J13">
            <v>36.46</v>
          </cell>
          <cell r="L13">
            <v>2.9393100692773337E-2</v>
          </cell>
        </row>
        <row r="14">
          <cell r="J14">
            <v>36.5</v>
          </cell>
          <cell r="L14">
            <v>2.9399197861535199E-2</v>
          </cell>
        </row>
        <row r="15">
          <cell r="J15">
            <v>37.1</v>
          </cell>
          <cell r="L15">
            <v>2.9459928382259248E-2</v>
          </cell>
        </row>
        <row r="16">
          <cell r="J16">
            <v>39.4</v>
          </cell>
          <cell r="L16">
            <v>2.9158442590746642E-2</v>
          </cell>
        </row>
        <row r="17">
          <cell r="J17">
            <v>39.480000000000004</v>
          </cell>
          <cell r="L17">
            <v>2.9132875007177667E-2</v>
          </cell>
        </row>
        <row r="18">
          <cell r="J18">
            <v>39.620000000000005</v>
          </cell>
          <cell r="L18">
            <v>2.908574155866496E-2</v>
          </cell>
        </row>
        <row r="19">
          <cell r="J19">
            <v>41.300000000000004</v>
          </cell>
          <cell r="L19">
            <v>2.8289088090760511E-2</v>
          </cell>
        </row>
        <row r="20">
          <cell r="J20">
            <v>41.7</v>
          </cell>
          <cell r="L20">
            <v>2.8038931309781329E-2</v>
          </cell>
        </row>
        <row r="21">
          <cell r="J21">
            <v>42.3</v>
          </cell>
          <cell r="L21">
            <v>2.7622585181342061E-2</v>
          </cell>
        </row>
        <row r="22">
          <cell r="J22">
            <v>43.870000000000005</v>
          </cell>
          <cell r="L22">
            <v>2.631642468448479E-2</v>
          </cell>
        </row>
        <row r="23">
          <cell r="J23">
            <v>44.08</v>
          </cell>
          <cell r="L23">
            <v>2.6119813534685173E-2</v>
          </cell>
        </row>
        <row r="24">
          <cell r="J24">
            <v>45.24</v>
          </cell>
          <cell r="L24">
            <v>2.4951526469312774E-2</v>
          </cell>
        </row>
        <row r="25">
          <cell r="J25">
            <v>46.239999999999995</v>
          </cell>
          <cell r="L25">
            <v>2.384547790320761E-2</v>
          </cell>
        </row>
        <row r="26">
          <cell r="J26">
            <v>46.379999999999995</v>
          </cell>
          <cell r="L26">
            <v>2.3684279603739766E-2</v>
          </cell>
        </row>
        <row r="27">
          <cell r="J27">
            <v>47.3</v>
          </cell>
          <cell r="L27">
            <v>2.2591563133072187E-2</v>
          </cell>
        </row>
        <row r="28">
          <cell r="J28">
            <v>49.04</v>
          </cell>
          <cell r="L28">
            <v>2.0401607494210355E-2</v>
          </cell>
        </row>
        <row r="29">
          <cell r="J29">
            <v>52.839999999999996</v>
          </cell>
          <cell r="L29">
            <v>1.5417492944803013E-2</v>
          </cell>
        </row>
        <row r="30">
          <cell r="J30">
            <v>53.2</v>
          </cell>
          <cell r="L30">
            <v>1.4952525787742199E-2</v>
          </cell>
        </row>
        <row r="31">
          <cell r="J31">
            <v>57.7</v>
          </cell>
          <cell r="L31">
            <v>9.6064371118935454E-3</v>
          </cell>
        </row>
        <row r="32">
          <cell r="J32">
            <v>63</v>
          </cell>
          <cell r="L32">
            <v>4.9511906617681943E-3</v>
          </cell>
        </row>
        <row r="35">
          <cell r="P35">
            <v>30</v>
          </cell>
          <cell r="Q35">
            <v>70</v>
          </cell>
        </row>
        <row r="36">
          <cell r="P36">
            <v>10</v>
          </cell>
        </row>
        <row r="37">
          <cell r="Q37">
            <v>40</v>
          </cell>
        </row>
        <row r="38">
          <cell r="P38">
            <v>40</v>
          </cell>
          <cell r="Q38">
            <v>20</v>
          </cell>
        </row>
      </sheetData>
      <sheetData sheetId="3">
        <row r="5">
          <cell r="M5">
            <v>71</v>
          </cell>
          <cell r="N5">
            <v>13.666666666666666</v>
          </cell>
          <cell r="O5">
            <v>6.5</v>
          </cell>
          <cell r="P5">
            <v>3.6666666666666665</v>
          </cell>
          <cell r="Q5">
            <v>36.166666666666664</v>
          </cell>
          <cell r="S5">
            <v>4.1940278803414199E-3</v>
          </cell>
        </row>
        <row r="6">
          <cell r="M6">
            <v>67</v>
          </cell>
          <cell r="N6">
            <v>17.75</v>
          </cell>
          <cell r="O6">
            <v>8</v>
          </cell>
          <cell r="P6">
            <v>2</v>
          </cell>
          <cell r="Q6">
            <v>30.666666666666668</v>
          </cell>
          <cell r="S6">
            <v>6.1180895764037227E-3</v>
          </cell>
        </row>
        <row r="7">
          <cell r="M7">
            <v>62</v>
          </cell>
          <cell r="N7">
            <v>14.666666666666666</v>
          </cell>
          <cell r="O7">
            <v>2.333333333333333</v>
          </cell>
          <cell r="P7">
            <v>3.6666666666666665</v>
          </cell>
          <cell r="Q7">
            <v>31.166666666666668</v>
          </cell>
          <cell r="S7">
            <v>9.1588558478442415E-3</v>
          </cell>
        </row>
        <row r="8">
          <cell r="M8">
            <v>57</v>
          </cell>
          <cell r="N8">
            <v>14.333333333333334</v>
          </cell>
          <cell r="O8">
            <v>2.6666666666666665</v>
          </cell>
          <cell r="P8">
            <v>4.3333333333333339</v>
          </cell>
          <cell r="Q8">
            <v>31</v>
          </cell>
          <cell r="S8">
            <v>1.2705893806020505E-2</v>
          </cell>
        </row>
        <row r="9">
          <cell r="M9">
            <v>55</v>
          </cell>
          <cell r="N9">
            <v>11.5</v>
          </cell>
          <cell r="O9">
            <v>5.5</v>
          </cell>
          <cell r="P9">
            <v>2</v>
          </cell>
          <cell r="Q9">
            <v>22.166666666666664</v>
          </cell>
          <cell r="S9">
            <v>1.4177956179946404E-2</v>
          </cell>
        </row>
        <row r="10">
          <cell r="M10">
            <v>53</v>
          </cell>
          <cell r="N10">
            <v>9.1666666666666661</v>
          </cell>
          <cell r="O10">
            <v>5.5</v>
          </cell>
          <cell r="P10">
            <v>2.6666666666666665</v>
          </cell>
          <cell r="Q10">
            <v>23</v>
          </cell>
          <cell r="S10">
            <v>1.5629036846777963E-2</v>
          </cell>
        </row>
        <row r="11">
          <cell r="M11">
            <v>50</v>
          </cell>
          <cell r="N11">
            <v>13.833333333333332</v>
          </cell>
          <cell r="O11">
            <v>2</v>
          </cell>
          <cell r="P11">
            <v>3.333333333333333</v>
          </cell>
          <cell r="Q11">
            <v>12.833333333333332</v>
          </cell>
          <cell r="S11">
            <v>1.7680383242776862E-2</v>
          </cell>
        </row>
        <row r="12">
          <cell r="M12">
            <v>50</v>
          </cell>
          <cell r="N12">
            <v>11.666666666666666</v>
          </cell>
          <cell r="O12">
            <v>3</v>
          </cell>
          <cell r="P12">
            <v>2.6666666666666665</v>
          </cell>
          <cell r="Q12">
            <v>24.833333333333332</v>
          </cell>
          <cell r="S12">
            <v>1.7680383242776862E-2</v>
          </cell>
        </row>
        <row r="13">
          <cell r="M13">
            <v>48</v>
          </cell>
          <cell r="N13">
            <v>8.5</v>
          </cell>
          <cell r="O13">
            <v>3.833333333333333</v>
          </cell>
          <cell r="P13">
            <v>2</v>
          </cell>
          <cell r="Q13">
            <v>25</v>
          </cell>
          <cell r="S13">
            <v>1.8905392662284057E-2</v>
          </cell>
        </row>
        <row r="14">
          <cell r="M14">
            <v>48</v>
          </cell>
          <cell r="N14">
            <v>11.666666666666666</v>
          </cell>
          <cell r="O14">
            <v>4.333333333333333</v>
          </cell>
          <cell r="P14">
            <v>3.6666666666666665</v>
          </cell>
          <cell r="Q14">
            <v>25</v>
          </cell>
          <cell r="S14">
            <v>1.8905392662284057E-2</v>
          </cell>
        </row>
        <row r="15">
          <cell r="M15">
            <v>47</v>
          </cell>
          <cell r="N15">
            <v>7.5</v>
          </cell>
          <cell r="O15">
            <v>4.833333333333333</v>
          </cell>
          <cell r="P15">
            <v>3</v>
          </cell>
          <cell r="Q15">
            <v>25.333333333333332</v>
          </cell>
          <cell r="S15">
            <v>1.9460277639275211E-2</v>
          </cell>
        </row>
        <row r="16">
          <cell r="M16">
            <v>44</v>
          </cell>
          <cell r="N16">
            <v>12</v>
          </cell>
          <cell r="O16">
            <v>2.6666666666666665</v>
          </cell>
          <cell r="P16">
            <v>2</v>
          </cell>
          <cell r="Q16">
            <v>15</v>
          </cell>
          <cell r="S16">
            <v>2.0840315400294896E-2</v>
          </cell>
        </row>
        <row r="17">
          <cell r="M17">
            <v>43</v>
          </cell>
          <cell r="N17">
            <v>9.6666666666666661</v>
          </cell>
          <cell r="O17">
            <v>3.6666666666666665</v>
          </cell>
          <cell r="P17">
            <v>1.6666666666666665</v>
          </cell>
          <cell r="Q17">
            <v>18.833333333333332</v>
          </cell>
          <cell r="S17">
            <v>2.1192285407833772E-2</v>
          </cell>
        </row>
        <row r="18">
          <cell r="M18">
            <v>42</v>
          </cell>
          <cell r="N18">
            <v>14.5</v>
          </cell>
          <cell r="O18">
            <v>2.1666666666666665</v>
          </cell>
          <cell r="P18">
            <v>2</v>
          </cell>
          <cell r="Q18">
            <v>15.666666666666668</v>
          </cell>
          <cell r="S18">
            <v>2.1484677809694316E-2</v>
          </cell>
        </row>
        <row r="19">
          <cell r="M19">
            <v>42</v>
          </cell>
          <cell r="N19">
            <v>5.5</v>
          </cell>
          <cell r="O19">
            <v>3.333333333333333</v>
          </cell>
          <cell r="P19">
            <v>2</v>
          </cell>
          <cell r="Q19">
            <v>18.166666666666664</v>
          </cell>
          <cell r="S19">
            <v>2.1484677809694316E-2</v>
          </cell>
        </row>
        <row r="20">
          <cell r="M20">
            <v>40</v>
          </cell>
          <cell r="N20">
            <v>12.666666666666666</v>
          </cell>
          <cell r="O20">
            <v>2.1666666666666665</v>
          </cell>
          <cell r="P20">
            <v>2.6666666666666665</v>
          </cell>
          <cell r="Q20">
            <v>10.666666666666666</v>
          </cell>
          <cell r="S20">
            <v>2.1880819321820844E-2</v>
          </cell>
        </row>
        <row r="21">
          <cell r="M21">
            <v>40</v>
          </cell>
          <cell r="N21">
            <v>8.5</v>
          </cell>
          <cell r="O21">
            <v>3.833333333333333</v>
          </cell>
          <cell r="P21">
            <v>1</v>
          </cell>
          <cell r="Q21">
            <v>15.499999999999998</v>
          </cell>
          <cell r="S21">
            <v>2.1880819321820844E-2</v>
          </cell>
        </row>
        <row r="22">
          <cell r="M22">
            <v>37</v>
          </cell>
          <cell r="N22">
            <v>9.1666666666666661</v>
          </cell>
          <cell r="O22">
            <v>1.5</v>
          </cell>
          <cell r="P22">
            <v>1.6666666666666665</v>
          </cell>
          <cell r="Q22">
            <v>22.166666666666664</v>
          </cell>
          <cell r="S22">
            <v>2.1980990760215053E-2</v>
          </cell>
        </row>
        <row r="23">
          <cell r="M23">
            <v>36</v>
          </cell>
          <cell r="N23">
            <v>11</v>
          </cell>
          <cell r="O23">
            <v>0</v>
          </cell>
          <cell r="P23">
            <v>2</v>
          </cell>
          <cell r="Q23">
            <v>13.166666666666666</v>
          </cell>
          <cell r="S23">
            <v>2.1880819321820844E-2</v>
          </cell>
        </row>
        <row r="24">
          <cell r="M24">
            <v>36</v>
          </cell>
          <cell r="N24">
            <v>12.5</v>
          </cell>
          <cell r="O24">
            <v>3.5</v>
          </cell>
          <cell r="P24">
            <v>2</v>
          </cell>
          <cell r="Q24">
            <v>10.333333333333334</v>
          </cell>
          <cell r="S24">
            <v>2.1880819321820844E-2</v>
          </cell>
        </row>
        <row r="25">
          <cell r="M25">
            <v>35</v>
          </cell>
          <cell r="N25">
            <v>14.666666666666666</v>
          </cell>
          <cell r="O25">
            <v>5.6666666666666661</v>
          </cell>
          <cell r="P25">
            <v>0.66666666666666663</v>
          </cell>
          <cell r="Q25">
            <v>12.666666666666668</v>
          </cell>
          <cell r="S25">
            <v>2.1714880340688841E-2</v>
          </cell>
        </row>
        <row r="26">
          <cell r="M26">
            <v>28</v>
          </cell>
          <cell r="N26">
            <v>8.1666666666666661</v>
          </cell>
          <cell r="O26">
            <v>1</v>
          </cell>
          <cell r="P26">
            <v>2.6666666666666665</v>
          </cell>
          <cell r="Q26">
            <v>7.6666666666666661</v>
          </cell>
          <cell r="S26">
            <v>1.8905392662284057E-2</v>
          </cell>
        </row>
        <row r="27">
          <cell r="M27">
            <v>25</v>
          </cell>
          <cell r="N27">
            <v>7.6666666666666661</v>
          </cell>
          <cell r="O27">
            <v>1</v>
          </cell>
          <cell r="P27">
            <v>1.6666666666666665</v>
          </cell>
          <cell r="Q27">
            <v>7.8333333333333321</v>
          </cell>
          <cell r="S27">
            <v>1.7020055707633003E-2</v>
          </cell>
        </row>
        <row r="28">
          <cell r="M28">
            <v>24</v>
          </cell>
          <cell r="N28">
            <v>3.6666666666666665</v>
          </cell>
          <cell r="O28">
            <v>1.6666666666666665</v>
          </cell>
          <cell r="P28">
            <v>0.66666666666666663</v>
          </cell>
          <cell r="Q28">
            <v>12</v>
          </cell>
          <cell r="S28">
            <v>1.6334574426045821E-2</v>
          </cell>
        </row>
        <row r="29">
          <cell r="M29">
            <v>22</v>
          </cell>
          <cell r="N29">
            <v>7.5</v>
          </cell>
          <cell r="O29">
            <v>0.5</v>
          </cell>
          <cell r="P29">
            <v>2</v>
          </cell>
          <cell r="Q29">
            <v>7.1666666666666661</v>
          </cell>
          <cell r="S29">
            <v>1.4908506887514609E-2</v>
          </cell>
        </row>
        <row r="30">
          <cell r="M30">
            <v>21</v>
          </cell>
          <cell r="N30">
            <v>4.5</v>
          </cell>
          <cell r="O30">
            <v>1.6666666666666665</v>
          </cell>
          <cell r="P30">
            <v>2</v>
          </cell>
          <cell r="Q30">
            <v>10.333333333333332</v>
          </cell>
          <cell r="S30">
            <v>1.4177956179946404E-2</v>
          </cell>
        </row>
        <row r="31">
          <cell r="M31">
            <v>17</v>
          </cell>
          <cell r="N31">
            <v>4</v>
          </cell>
          <cell r="O31">
            <v>1.3333333333333333</v>
          </cell>
          <cell r="P31">
            <v>1</v>
          </cell>
          <cell r="Q31">
            <v>11.333333333333334</v>
          </cell>
          <cell r="S31">
            <v>1.1248820574905113E-2</v>
          </cell>
        </row>
        <row r="32"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S32">
            <v>2.4428421796479677E-3</v>
          </cell>
        </row>
        <row r="33"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>
            <v>2.4428421796479677E-3</v>
          </cell>
        </row>
        <row r="34"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>
            <v>2.4428421796479677E-3</v>
          </cell>
        </row>
        <row r="37">
          <cell r="D37">
            <v>30</v>
          </cell>
        </row>
        <row r="38">
          <cell r="D38">
            <v>10</v>
          </cell>
        </row>
        <row r="39">
          <cell r="D39">
            <v>5</v>
          </cell>
        </row>
        <row r="40">
          <cell r="D40">
            <v>40</v>
          </cell>
        </row>
        <row r="43">
          <cell r="J43">
            <v>30</v>
          </cell>
          <cell r="L43">
            <v>9.3305555555555539</v>
          </cell>
        </row>
        <row r="44">
          <cell r="J44">
            <v>10</v>
          </cell>
          <cell r="L44">
            <v>2.8055555555555554</v>
          </cell>
        </row>
        <row r="45">
          <cell r="J45">
            <v>5</v>
          </cell>
          <cell r="L45">
            <v>2.0222222222222217</v>
          </cell>
        </row>
        <row r="46">
          <cell r="J46">
            <v>40</v>
          </cell>
          <cell r="L46">
            <v>16.522222222222226</v>
          </cell>
        </row>
      </sheetData>
      <sheetData sheetId="4">
        <row r="5">
          <cell r="N5">
            <v>54.333333333333329</v>
          </cell>
          <cell r="O5">
            <v>2.5</v>
          </cell>
          <cell r="P5">
            <v>27</v>
          </cell>
          <cell r="Q5">
            <v>6</v>
          </cell>
        </row>
        <row r="6">
          <cell r="N6">
            <v>47.75</v>
          </cell>
          <cell r="O6">
            <v>3.125</v>
          </cell>
          <cell r="P6">
            <v>27.875</v>
          </cell>
          <cell r="Q6">
            <v>12</v>
          </cell>
        </row>
        <row r="7">
          <cell r="N7">
            <v>48</v>
          </cell>
          <cell r="O7">
            <v>3.5</v>
          </cell>
          <cell r="P7">
            <v>22.666666666666668</v>
          </cell>
          <cell r="Q7">
            <v>4</v>
          </cell>
        </row>
        <row r="8">
          <cell r="N8">
            <v>43</v>
          </cell>
          <cell r="O8">
            <v>2.5</v>
          </cell>
          <cell r="P8">
            <v>15.833333333333334</v>
          </cell>
          <cell r="Q8">
            <v>8</v>
          </cell>
        </row>
        <row r="9">
          <cell r="N9">
            <v>39.5</v>
          </cell>
          <cell r="O9">
            <v>3.75</v>
          </cell>
          <cell r="P9">
            <v>26.75</v>
          </cell>
          <cell r="Q9">
            <v>2</v>
          </cell>
        </row>
        <row r="10">
          <cell r="N10">
            <v>39.833333333333329</v>
          </cell>
          <cell r="O10">
            <v>2.25</v>
          </cell>
          <cell r="P10">
            <v>23.75</v>
          </cell>
          <cell r="Q10">
            <v>2</v>
          </cell>
        </row>
        <row r="11">
          <cell r="N11">
            <v>36.166666666666664</v>
          </cell>
          <cell r="O11">
            <v>4.25</v>
          </cell>
          <cell r="P11">
            <v>26.25</v>
          </cell>
          <cell r="Q11">
            <v>0</v>
          </cell>
        </row>
        <row r="12">
          <cell r="N12">
            <v>40.333333333333329</v>
          </cell>
          <cell r="O12">
            <v>2</v>
          </cell>
          <cell r="P12">
            <v>21.5</v>
          </cell>
          <cell r="Q12">
            <v>0</v>
          </cell>
        </row>
        <row r="13">
          <cell r="N13">
            <v>37.166666666666664</v>
          </cell>
          <cell r="O13">
            <v>2.25</v>
          </cell>
          <cell r="P13">
            <v>19.416666666666664</v>
          </cell>
          <cell r="Q13">
            <v>2</v>
          </cell>
        </row>
        <row r="14">
          <cell r="N14">
            <v>37</v>
          </cell>
          <cell r="O14">
            <v>0</v>
          </cell>
          <cell r="P14">
            <v>12.666666666666666</v>
          </cell>
          <cell r="Q14">
            <v>12</v>
          </cell>
        </row>
        <row r="15">
          <cell r="N15">
            <v>37.166666666666664</v>
          </cell>
          <cell r="O15">
            <v>0.25</v>
          </cell>
          <cell r="P15">
            <v>15.416666666666666</v>
          </cell>
          <cell r="Q15">
            <v>6</v>
          </cell>
        </row>
        <row r="16">
          <cell r="N16">
            <v>31.333333333333332</v>
          </cell>
          <cell r="O16">
            <v>3.5</v>
          </cell>
          <cell r="P16">
            <v>20.833333333333332</v>
          </cell>
          <cell r="Q16">
            <v>4</v>
          </cell>
        </row>
        <row r="17">
          <cell r="N17">
            <v>30.666666666666664</v>
          </cell>
          <cell r="O17">
            <v>3.5</v>
          </cell>
          <cell r="P17">
            <v>20.333333333333332</v>
          </cell>
          <cell r="Q17">
            <v>0</v>
          </cell>
        </row>
        <row r="18">
          <cell r="N18">
            <v>30.833333333333332</v>
          </cell>
          <cell r="O18">
            <v>2.75</v>
          </cell>
          <cell r="P18">
            <v>18.583333333333332</v>
          </cell>
          <cell r="Q18">
            <v>6</v>
          </cell>
        </row>
        <row r="19">
          <cell r="N19">
            <v>33.166666666666664</v>
          </cell>
          <cell r="O19">
            <v>1.75</v>
          </cell>
          <cell r="P19">
            <v>19.416666666666664</v>
          </cell>
          <cell r="Q19">
            <v>0</v>
          </cell>
        </row>
        <row r="20">
          <cell r="N20">
            <v>28.666666666666664</v>
          </cell>
          <cell r="O20">
            <v>3</v>
          </cell>
          <cell r="P20">
            <v>20.333333333333332</v>
          </cell>
          <cell r="Q20">
            <v>2</v>
          </cell>
        </row>
        <row r="21">
          <cell r="N21">
            <v>29.166666666666664</v>
          </cell>
          <cell r="O21">
            <v>2.75</v>
          </cell>
          <cell r="P21">
            <v>20.416666666666664</v>
          </cell>
          <cell r="Q21">
            <v>2</v>
          </cell>
        </row>
        <row r="22">
          <cell r="N22">
            <v>28.833333333333332</v>
          </cell>
          <cell r="O22">
            <v>1.75</v>
          </cell>
          <cell r="P22">
            <v>10.75</v>
          </cell>
          <cell r="Q22">
            <v>6</v>
          </cell>
        </row>
        <row r="23">
          <cell r="N23">
            <v>27</v>
          </cell>
          <cell r="O23">
            <v>3.5</v>
          </cell>
          <cell r="P23">
            <v>17</v>
          </cell>
          <cell r="Q23">
            <v>0</v>
          </cell>
        </row>
        <row r="24">
          <cell r="N24">
            <v>24.5</v>
          </cell>
          <cell r="O24">
            <v>1.75</v>
          </cell>
          <cell r="P24">
            <v>15.25</v>
          </cell>
          <cell r="Q24">
            <v>10</v>
          </cell>
        </row>
        <row r="25">
          <cell r="N25">
            <v>19.666666666666668</v>
          </cell>
          <cell r="O25">
            <v>2.5</v>
          </cell>
          <cell r="P25">
            <v>12.833333333333332</v>
          </cell>
          <cell r="Q25">
            <v>16</v>
          </cell>
        </row>
        <row r="26">
          <cell r="N26">
            <v>20.833333333333332</v>
          </cell>
          <cell r="O26">
            <v>1.75</v>
          </cell>
          <cell r="P26">
            <v>13.25</v>
          </cell>
          <cell r="Q26">
            <v>0</v>
          </cell>
        </row>
        <row r="27">
          <cell r="N27">
            <v>18.333333333333332</v>
          </cell>
          <cell r="O27">
            <v>2</v>
          </cell>
          <cell r="P27">
            <v>12.5</v>
          </cell>
          <cell r="Q27">
            <v>0</v>
          </cell>
        </row>
        <row r="28">
          <cell r="N28">
            <v>18.666666666666668</v>
          </cell>
          <cell r="O28">
            <v>1.5</v>
          </cell>
          <cell r="P28">
            <v>10.833333333333332</v>
          </cell>
          <cell r="Q28">
            <v>0</v>
          </cell>
        </row>
        <row r="29">
          <cell r="N29">
            <v>15.5</v>
          </cell>
          <cell r="O29">
            <v>1.75</v>
          </cell>
          <cell r="P29">
            <v>8.75</v>
          </cell>
          <cell r="Q29">
            <v>2</v>
          </cell>
        </row>
        <row r="30">
          <cell r="N30">
            <v>14.833333333333332</v>
          </cell>
          <cell r="O30">
            <v>1.25</v>
          </cell>
          <cell r="P30">
            <v>7.083333333333333</v>
          </cell>
          <cell r="Q30">
            <v>0</v>
          </cell>
        </row>
        <row r="31">
          <cell r="N31">
            <v>13.666666666666668</v>
          </cell>
          <cell r="O31">
            <v>0</v>
          </cell>
          <cell r="P31">
            <v>3.6666666666666665</v>
          </cell>
          <cell r="Q31">
            <v>4</v>
          </cell>
        </row>
        <row r="32"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7">
          <cell r="D37">
            <v>70</v>
          </cell>
        </row>
        <row r="38">
          <cell r="D38">
            <v>5</v>
          </cell>
        </row>
        <row r="39">
          <cell r="D39">
            <v>40</v>
          </cell>
        </row>
        <row r="40">
          <cell r="D40">
            <v>20</v>
          </cell>
        </row>
        <row r="43">
          <cell r="J43">
            <v>70</v>
          </cell>
          <cell r="L43">
            <v>28.197222222222219</v>
          </cell>
        </row>
        <row r="44">
          <cell r="J44">
            <v>5</v>
          </cell>
          <cell r="L44">
            <v>2.0458333333333334</v>
          </cell>
        </row>
        <row r="45">
          <cell r="J45">
            <v>40</v>
          </cell>
          <cell r="L45">
            <v>15.698611111111109</v>
          </cell>
        </row>
        <row r="46">
          <cell r="J46">
            <v>20</v>
          </cell>
          <cell r="L46">
            <v>3.5333333333333332</v>
          </cell>
        </row>
      </sheetData>
      <sheetData sheetId="5">
        <row r="5"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Q5">
            <v>1.0618999877097624E-2</v>
          </cell>
        </row>
        <row r="6"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Q6">
            <v>1.0618999877097624E-2</v>
          </cell>
        </row>
        <row r="7">
          <cell r="K7">
            <v>2</v>
          </cell>
          <cell r="L7">
            <v>4.6666666666666661</v>
          </cell>
          <cell r="M7">
            <v>1</v>
          </cell>
          <cell r="N7">
            <v>2.4166666666666665</v>
          </cell>
          <cell r="O7">
            <v>1</v>
          </cell>
          <cell r="Q7">
            <v>8.0064646434437295E-2</v>
          </cell>
        </row>
        <row r="8">
          <cell r="K8">
            <v>2.2000000000000002</v>
          </cell>
          <cell r="L8">
            <v>5.5</v>
          </cell>
          <cell r="M8">
            <v>0</v>
          </cell>
          <cell r="N8">
            <v>1.5</v>
          </cell>
          <cell r="O8">
            <v>0</v>
          </cell>
          <cell r="Q8">
            <v>9.2180416175694557E-2</v>
          </cell>
        </row>
        <row r="9">
          <cell r="K9">
            <v>2.8</v>
          </cell>
          <cell r="L9">
            <v>8</v>
          </cell>
          <cell r="M9">
            <v>0</v>
          </cell>
          <cell r="N9">
            <v>1.5</v>
          </cell>
          <cell r="O9">
            <v>0</v>
          </cell>
          <cell r="Q9">
            <v>0.13160788610670937</v>
          </cell>
        </row>
        <row r="10">
          <cell r="K10">
            <v>3.4</v>
          </cell>
          <cell r="L10">
            <v>9</v>
          </cell>
          <cell r="M10">
            <v>1</v>
          </cell>
          <cell r="N10">
            <v>2.25</v>
          </cell>
          <cell r="O10">
            <v>0</v>
          </cell>
          <cell r="Q10">
            <v>0.17001983922354477</v>
          </cell>
        </row>
        <row r="11">
          <cell r="K11">
            <v>4</v>
          </cell>
          <cell r="L11">
            <v>10.333333333333334</v>
          </cell>
          <cell r="M11">
            <v>1</v>
          </cell>
          <cell r="N11">
            <v>3.0833333333333335</v>
          </cell>
          <cell r="O11">
            <v>0.5</v>
          </cell>
          <cell r="Q11">
            <v>0.19874294797332615</v>
          </cell>
        </row>
        <row r="12">
          <cell r="K12">
            <v>4</v>
          </cell>
          <cell r="L12">
            <v>10.833333333333334</v>
          </cell>
          <cell r="M12">
            <v>2</v>
          </cell>
          <cell r="N12">
            <v>3.0833333333333335</v>
          </cell>
          <cell r="O12">
            <v>0</v>
          </cell>
          <cell r="Q12">
            <v>0.19874294797332615</v>
          </cell>
        </row>
        <row r="13">
          <cell r="K13">
            <v>4.2</v>
          </cell>
          <cell r="L13">
            <v>11.833333333333332</v>
          </cell>
          <cell r="M13">
            <v>0</v>
          </cell>
          <cell r="N13">
            <v>2.833333333333333</v>
          </cell>
          <cell r="O13">
            <v>0</v>
          </cell>
          <cell r="Q13">
            <v>0.20475710386720036</v>
          </cell>
        </row>
        <row r="14">
          <cell r="K14">
            <v>4.2</v>
          </cell>
          <cell r="L14">
            <v>6.833333333333333</v>
          </cell>
          <cell r="M14">
            <v>1</v>
          </cell>
          <cell r="N14">
            <v>3.3333333333333335</v>
          </cell>
          <cell r="O14">
            <v>4</v>
          </cell>
          <cell r="Q14">
            <v>0.20475710386720036</v>
          </cell>
        </row>
        <row r="15">
          <cell r="K15">
            <v>4.4000000000000004</v>
          </cell>
          <cell r="L15">
            <v>12</v>
          </cell>
          <cell r="M15">
            <v>1</v>
          </cell>
          <cell r="N15">
            <v>3</v>
          </cell>
          <cell r="O15">
            <v>0.5</v>
          </cell>
          <cell r="Q15">
            <v>0.20862251012305136</v>
          </cell>
        </row>
        <row r="16">
          <cell r="K16">
            <v>4.4000000000000004</v>
          </cell>
          <cell r="L16">
            <v>10.833333333333332</v>
          </cell>
          <cell r="M16">
            <v>1</v>
          </cell>
          <cell r="N16">
            <v>4.833333333333333</v>
          </cell>
          <cell r="O16">
            <v>1.5</v>
          </cell>
          <cell r="Q16">
            <v>0.20862251012305136</v>
          </cell>
        </row>
        <row r="17">
          <cell r="K17">
            <v>4.8</v>
          </cell>
          <cell r="L17">
            <v>10.333333333333332</v>
          </cell>
          <cell r="M17">
            <v>2</v>
          </cell>
          <cell r="N17">
            <v>5.833333333333333</v>
          </cell>
          <cell r="O17">
            <v>3</v>
          </cell>
          <cell r="Q17">
            <v>0.20947411102404476</v>
          </cell>
        </row>
        <row r="18">
          <cell r="K18">
            <v>5</v>
          </cell>
          <cell r="L18">
            <v>12.5</v>
          </cell>
          <cell r="M18">
            <v>1</v>
          </cell>
          <cell r="N18">
            <v>4</v>
          </cell>
          <cell r="O18">
            <v>1.5</v>
          </cell>
          <cell r="Q18">
            <v>0.20643216019283087</v>
          </cell>
        </row>
        <row r="19">
          <cell r="K19">
            <v>5</v>
          </cell>
          <cell r="L19">
            <v>12.833333333333332</v>
          </cell>
          <cell r="M19">
            <v>1</v>
          </cell>
          <cell r="N19">
            <v>3.833333333333333</v>
          </cell>
          <cell r="O19">
            <v>1</v>
          </cell>
          <cell r="Q19">
            <v>0.20643216019283087</v>
          </cell>
        </row>
        <row r="20">
          <cell r="K20">
            <v>5</v>
          </cell>
          <cell r="L20">
            <v>14</v>
          </cell>
          <cell r="M20">
            <v>2</v>
          </cell>
          <cell r="N20">
            <v>4</v>
          </cell>
          <cell r="O20">
            <v>0</v>
          </cell>
          <cell r="Q20">
            <v>0.20643216019283087</v>
          </cell>
        </row>
        <row r="21">
          <cell r="K21">
            <v>5</v>
          </cell>
          <cell r="L21">
            <v>13.833333333333332</v>
          </cell>
          <cell r="M21">
            <v>2</v>
          </cell>
          <cell r="N21">
            <v>4.333333333333333</v>
          </cell>
          <cell r="O21">
            <v>0</v>
          </cell>
          <cell r="Q21">
            <v>0.20643216019283087</v>
          </cell>
        </row>
        <row r="22">
          <cell r="K22">
            <v>5</v>
          </cell>
          <cell r="L22">
            <v>13.5</v>
          </cell>
          <cell r="M22">
            <v>1</v>
          </cell>
          <cell r="N22">
            <v>3.75</v>
          </cell>
          <cell r="O22">
            <v>0.5</v>
          </cell>
          <cell r="Q22">
            <v>0.20643216019283087</v>
          </cell>
        </row>
        <row r="23">
          <cell r="K23">
            <v>5.2</v>
          </cell>
          <cell r="L23">
            <v>14.333333333333332</v>
          </cell>
          <cell r="M23">
            <v>2</v>
          </cell>
          <cell r="N23">
            <v>4.333333333333333</v>
          </cell>
          <cell r="O23">
            <v>0</v>
          </cell>
          <cell r="Q23">
            <v>0.20118671342007613</v>
          </cell>
        </row>
        <row r="24">
          <cell r="K24">
            <v>5.4</v>
          </cell>
          <cell r="L24">
            <v>14.666666666666668</v>
          </cell>
          <cell r="M24">
            <v>1</v>
          </cell>
          <cell r="N24">
            <v>3.916666666666667</v>
          </cell>
          <cell r="O24">
            <v>0.5</v>
          </cell>
          <cell r="Q24">
            <v>0.19390819893198225</v>
          </cell>
        </row>
        <row r="25">
          <cell r="K25">
            <v>5.4</v>
          </cell>
          <cell r="L25">
            <v>14.333333333333332</v>
          </cell>
          <cell r="M25">
            <v>1</v>
          </cell>
          <cell r="N25">
            <v>4.083333333333333</v>
          </cell>
          <cell r="O25">
            <v>0.5</v>
          </cell>
          <cell r="Q25">
            <v>0.19390819893198225</v>
          </cell>
        </row>
        <row r="26">
          <cell r="K26">
            <v>5.6</v>
          </cell>
          <cell r="L26">
            <v>14.333333333333332</v>
          </cell>
          <cell r="M26">
            <v>2</v>
          </cell>
          <cell r="N26">
            <v>4.833333333333333</v>
          </cell>
          <cell r="O26">
            <v>1</v>
          </cell>
          <cell r="Q26">
            <v>0.18482809471308606</v>
          </cell>
        </row>
        <row r="27">
          <cell r="K27">
            <v>5.6</v>
          </cell>
          <cell r="L27">
            <v>12.833333333333332</v>
          </cell>
          <cell r="M27">
            <v>2</v>
          </cell>
          <cell r="N27">
            <v>5.083333333333333</v>
          </cell>
          <cell r="O27">
            <v>2.5</v>
          </cell>
          <cell r="Q27">
            <v>0.18482809471308606</v>
          </cell>
        </row>
        <row r="28">
          <cell r="K28">
            <v>5.8</v>
          </cell>
          <cell r="L28">
            <v>14.333333333333332</v>
          </cell>
          <cell r="M28">
            <v>2</v>
          </cell>
          <cell r="N28">
            <v>5.083333333333333</v>
          </cell>
          <cell r="O28">
            <v>1.5</v>
          </cell>
          <cell r="Q28">
            <v>0.17422671106222601</v>
          </cell>
        </row>
        <row r="29">
          <cell r="K29">
            <v>5.8</v>
          </cell>
          <cell r="L29">
            <v>13.833333333333332</v>
          </cell>
          <cell r="M29">
            <v>1</v>
          </cell>
          <cell r="N29">
            <v>4.833333333333333</v>
          </cell>
          <cell r="O29">
            <v>2</v>
          </cell>
          <cell r="Q29">
            <v>0.17422671106222601</v>
          </cell>
        </row>
        <row r="30">
          <cell r="K30">
            <v>6</v>
          </cell>
          <cell r="L30">
            <v>16.166666666666668</v>
          </cell>
          <cell r="M30">
            <v>3</v>
          </cell>
          <cell r="N30">
            <v>5.416666666666667</v>
          </cell>
          <cell r="O30">
            <v>0.5</v>
          </cell>
          <cell r="Q30">
            <v>0.16241884871807252</v>
          </cell>
        </row>
        <row r="31">
          <cell r="K31">
            <v>6</v>
          </cell>
          <cell r="L31">
            <v>16.5</v>
          </cell>
          <cell r="M31">
            <v>5</v>
          </cell>
          <cell r="N31">
            <v>6</v>
          </cell>
          <cell r="O31">
            <v>0</v>
          </cell>
          <cell r="Q31">
            <v>0.16241884871807252</v>
          </cell>
        </row>
        <row r="32">
          <cell r="K32">
            <v>6.2</v>
          </cell>
          <cell r="L32">
            <v>15.666666666666668</v>
          </cell>
          <cell r="M32">
            <v>4</v>
          </cell>
          <cell r="N32">
            <v>5.916666666666667</v>
          </cell>
          <cell r="O32">
            <v>1.5</v>
          </cell>
          <cell r="Q32">
            <v>0.14973835396183968</v>
          </cell>
        </row>
        <row r="33">
          <cell r="K33">
            <v>6.7</v>
          </cell>
          <cell r="L33">
            <v>15.416666666666668</v>
          </cell>
          <cell r="M33">
            <v>3.5</v>
          </cell>
          <cell r="N33">
            <v>6.416666666666667</v>
          </cell>
          <cell r="O33">
            <v>3</v>
          </cell>
          <cell r="Q33">
            <v>0.11640321468986572</v>
          </cell>
        </row>
        <row r="34">
          <cell r="K34">
            <v>10</v>
          </cell>
          <cell r="L34">
            <v>21.666666666666668</v>
          </cell>
          <cell r="M34">
            <v>10</v>
          </cell>
          <cell r="N34">
            <v>11.666666666666666</v>
          </cell>
          <cell r="O34">
            <v>5</v>
          </cell>
          <cell r="Q34">
            <v>3.8708569066472501E-3</v>
          </cell>
        </row>
        <row r="38">
          <cell r="I38">
            <v>45</v>
          </cell>
          <cell r="K38">
            <v>11.697222222222226</v>
          </cell>
          <cell r="O38">
            <v>45</v>
          </cell>
        </row>
        <row r="39">
          <cell r="I39">
            <v>10</v>
          </cell>
          <cell r="K39">
            <v>1.7833333333333334</v>
          </cell>
          <cell r="O39">
            <v>10</v>
          </cell>
        </row>
        <row r="40">
          <cell r="I40">
            <v>20</v>
          </cell>
          <cell r="K40">
            <v>4.0388888888888888</v>
          </cell>
          <cell r="O40">
            <v>20</v>
          </cell>
        </row>
        <row r="41">
          <cell r="I41">
            <v>10</v>
          </cell>
          <cell r="K41">
            <v>1.05</v>
          </cell>
          <cell r="O41">
            <v>10</v>
          </cell>
        </row>
      </sheetData>
      <sheetData sheetId="6">
        <row r="5">
          <cell r="T5">
            <v>33</v>
          </cell>
          <cell r="U5">
            <v>15.5</v>
          </cell>
          <cell r="V5">
            <v>14.5</v>
          </cell>
          <cell r="W5">
            <v>16</v>
          </cell>
          <cell r="X5">
            <v>20</v>
          </cell>
          <cell r="Z5">
            <v>4.2256317597747228E-3</v>
          </cell>
        </row>
        <row r="6">
          <cell r="T6">
            <v>35</v>
          </cell>
          <cell r="U6">
            <v>9</v>
          </cell>
          <cell r="V6">
            <v>18.5</v>
          </cell>
          <cell r="W6">
            <v>20</v>
          </cell>
          <cell r="X6">
            <v>23</v>
          </cell>
          <cell r="Z6">
            <v>4.2432936677509877E-3</v>
          </cell>
        </row>
        <row r="7">
          <cell r="T7">
            <v>35</v>
          </cell>
          <cell r="U7">
            <v>17</v>
          </cell>
          <cell r="V7">
            <v>16.5</v>
          </cell>
          <cell r="W7">
            <v>19</v>
          </cell>
          <cell r="X7">
            <v>19</v>
          </cell>
          <cell r="Z7">
            <v>4.2432936677509877E-3</v>
          </cell>
        </row>
        <row r="8">
          <cell r="T8">
            <v>36</v>
          </cell>
          <cell r="U8">
            <v>11</v>
          </cell>
          <cell r="V8">
            <v>13</v>
          </cell>
          <cell r="W8">
            <v>16</v>
          </cell>
          <cell r="X8">
            <v>19</v>
          </cell>
          <cell r="Z8">
            <v>4.251406456380895E-3</v>
          </cell>
        </row>
        <row r="9">
          <cell r="T9">
            <v>40</v>
          </cell>
          <cell r="U9">
            <v>15</v>
          </cell>
          <cell r="V9">
            <v>21</v>
          </cell>
          <cell r="W9">
            <v>16.5</v>
          </cell>
          <cell r="X9">
            <v>21.5</v>
          </cell>
          <cell r="Z9">
            <v>4.2790060550299217E-3</v>
          </cell>
        </row>
        <row r="10">
          <cell r="T10">
            <v>42</v>
          </cell>
          <cell r="U10">
            <v>17</v>
          </cell>
          <cell r="V10">
            <v>23</v>
          </cell>
          <cell r="W10">
            <v>22.5</v>
          </cell>
          <cell r="X10">
            <v>22.5</v>
          </cell>
          <cell r="Z10">
            <v>4.2898618775489101E-3</v>
          </cell>
        </row>
        <row r="11">
          <cell r="T11">
            <v>43</v>
          </cell>
          <cell r="U11">
            <v>15</v>
          </cell>
          <cell r="V11">
            <v>18</v>
          </cell>
          <cell r="W11">
            <v>19.5</v>
          </cell>
          <cell r="X11">
            <v>21.5</v>
          </cell>
          <cell r="Z11">
            <v>4.2945467150302128E-3</v>
          </cell>
        </row>
        <row r="12">
          <cell r="T12">
            <v>45</v>
          </cell>
          <cell r="U12">
            <v>17</v>
          </cell>
          <cell r="V12">
            <v>21</v>
          </cell>
          <cell r="W12">
            <v>24</v>
          </cell>
          <cell r="X12">
            <v>28</v>
          </cell>
          <cell r="Z12">
            <v>4.3024220538293171E-3</v>
          </cell>
        </row>
        <row r="13">
          <cell r="T13">
            <v>47</v>
          </cell>
          <cell r="U13">
            <v>8.5</v>
          </cell>
          <cell r="V13">
            <v>24.5</v>
          </cell>
          <cell r="W13">
            <v>29.5</v>
          </cell>
          <cell r="X13">
            <v>29.5</v>
          </cell>
          <cell r="Z13">
            <v>4.3082960479747072E-3</v>
          </cell>
        </row>
        <row r="14">
          <cell r="T14">
            <v>49</v>
          </cell>
          <cell r="U14">
            <v>16.5</v>
          </cell>
          <cell r="V14">
            <v>23.5</v>
          </cell>
          <cell r="W14">
            <v>26.5</v>
          </cell>
          <cell r="X14">
            <v>26.5</v>
          </cell>
          <cell r="Z14">
            <v>4.3121604671926758E-3</v>
          </cell>
        </row>
        <row r="15">
          <cell r="T15">
            <v>49</v>
          </cell>
          <cell r="U15">
            <v>16</v>
          </cell>
          <cell r="V15">
            <v>21.5</v>
          </cell>
          <cell r="W15">
            <v>20.5</v>
          </cell>
          <cell r="X15">
            <v>25.5</v>
          </cell>
          <cell r="Z15">
            <v>4.3121604671926758E-3</v>
          </cell>
        </row>
        <row r="16">
          <cell r="T16">
            <v>49</v>
          </cell>
          <cell r="U16">
            <v>15.5</v>
          </cell>
          <cell r="V16">
            <v>24</v>
          </cell>
          <cell r="W16">
            <v>24</v>
          </cell>
          <cell r="X16">
            <v>29</v>
          </cell>
          <cell r="Z16">
            <v>4.3121604671926758E-3</v>
          </cell>
        </row>
        <row r="17">
          <cell r="T17">
            <v>50</v>
          </cell>
          <cell r="U17">
            <v>16</v>
          </cell>
          <cell r="V17">
            <v>22.5</v>
          </cell>
          <cell r="W17">
            <v>19.5</v>
          </cell>
          <cell r="X17">
            <v>24.5</v>
          </cell>
          <cell r="Z17">
            <v>4.313337282650564E-3</v>
          </cell>
        </row>
        <row r="18">
          <cell r="T18">
            <v>53</v>
          </cell>
          <cell r="U18">
            <v>17</v>
          </cell>
          <cell r="V18">
            <v>22.5</v>
          </cell>
          <cell r="W18">
            <v>29</v>
          </cell>
          <cell r="X18">
            <v>30</v>
          </cell>
          <cell r="Z18">
            <v>4.3138417304417745E-3</v>
          </cell>
        </row>
        <row r="19">
          <cell r="T19">
            <v>54</v>
          </cell>
          <cell r="U19">
            <v>14</v>
          </cell>
          <cell r="V19">
            <v>18.5</v>
          </cell>
          <cell r="W19">
            <v>25</v>
          </cell>
          <cell r="X19">
            <v>26</v>
          </cell>
          <cell r="Z19">
            <v>4.3130010168949727E-3</v>
          </cell>
        </row>
        <row r="20">
          <cell r="T20">
            <v>54</v>
          </cell>
          <cell r="U20">
            <v>10</v>
          </cell>
          <cell r="V20">
            <v>22.5</v>
          </cell>
          <cell r="W20">
            <v>28.5</v>
          </cell>
          <cell r="X20">
            <v>31.5</v>
          </cell>
          <cell r="Z20">
            <v>4.3130010168949727E-3</v>
          </cell>
        </row>
        <row r="21">
          <cell r="T21">
            <v>55</v>
          </cell>
          <cell r="U21">
            <v>16.5</v>
          </cell>
          <cell r="V21">
            <v>28.5</v>
          </cell>
          <cell r="W21">
            <v>29.5</v>
          </cell>
          <cell r="X21">
            <v>32.5</v>
          </cell>
          <cell r="Z21">
            <v>4.311656216003378E-3</v>
          </cell>
        </row>
        <row r="22">
          <cell r="T22">
            <v>56</v>
          </cell>
          <cell r="U22">
            <v>6.5</v>
          </cell>
          <cell r="V22">
            <v>16.5</v>
          </cell>
          <cell r="W22">
            <v>28.5</v>
          </cell>
          <cell r="X22">
            <v>33.5</v>
          </cell>
          <cell r="Z22">
            <v>4.3098077994072441E-3</v>
          </cell>
        </row>
        <row r="23">
          <cell r="T23">
            <v>56</v>
          </cell>
          <cell r="U23">
            <v>7</v>
          </cell>
          <cell r="V23">
            <v>20.5</v>
          </cell>
          <cell r="W23">
            <v>30.5</v>
          </cell>
          <cell r="X23">
            <v>34.5</v>
          </cell>
          <cell r="Z23">
            <v>4.3098077994072441E-3</v>
          </cell>
        </row>
        <row r="24">
          <cell r="T24">
            <v>56</v>
          </cell>
          <cell r="U24">
            <v>10</v>
          </cell>
          <cell r="V24">
            <v>23.5</v>
          </cell>
          <cell r="W24">
            <v>25.5</v>
          </cell>
          <cell r="X24">
            <v>30.5</v>
          </cell>
          <cell r="Z24">
            <v>4.3098077994072441E-3</v>
          </cell>
        </row>
        <row r="25">
          <cell r="T25">
            <v>57</v>
          </cell>
          <cell r="U25">
            <v>15</v>
          </cell>
          <cell r="V25">
            <v>26</v>
          </cell>
          <cell r="W25">
            <v>28</v>
          </cell>
          <cell r="X25">
            <v>28</v>
          </cell>
          <cell r="Z25">
            <v>4.3074564152117325E-3</v>
          </cell>
        </row>
        <row r="26">
          <cell r="T26">
            <v>58</v>
          </cell>
          <cell r="U26">
            <v>20</v>
          </cell>
          <cell r="V26">
            <v>33</v>
          </cell>
          <cell r="W26">
            <v>30</v>
          </cell>
          <cell r="X26">
            <v>32</v>
          </cell>
          <cell r="Z26">
            <v>4.3046028876081843E-3</v>
          </cell>
        </row>
        <row r="27">
          <cell r="T27">
            <v>59</v>
          </cell>
          <cell r="U27">
            <v>21</v>
          </cell>
          <cell r="V27">
            <v>28</v>
          </cell>
          <cell r="W27">
            <v>25.5</v>
          </cell>
          <cell r="X27">
            <v>30.5</v>
          </cell>
          <cell r="Z27">
            <v>4.3012482163926596E-3</v>
          </cell>
        </row>
        <row r="28">
          <cell r="T28">
            <v>60</v>
          </cell>
          <cell r="U28">
            <v>18</v>
          </cell>
          <cell r="V28">
            <v>25.5</v>
          </cell>
          <cell r="W28">
            <v>29.5</v>
          </cell>
          <cell r="X28">
            <v>34.5</v>
          </cell>
          <cell r="Z28">
            <v>4.2973935763821261E-3</v>
          </cell>
        </row>
        <row r="29">
          <cell r="T29">
            <v>61</v>
          </cell>
          <cell r="U29">
            <v>12</v>
          </cell>
          <cell r="V29">
            <v>26.5</v>
          </cell>
          <cell r="W29">
            <v>35</v>
          </cell>
          <cell r="X29">
            <v>36</v>
          </cell>
          <cell r="Z29">
            <v>4.2930403167287757E-3</v>
          </cell>
        </row>
        <row r="30">
          <cell r="T30">
            <v>62</v>
          </cell>
          <cell r="U30">
            <v>13</v>
          </cell>
          <cell r="V30">
            <v>24.5</v>
          </cell>
          <cell r="W30">
            <v>34</v>
          </cell>
          <cell r="X30">
            <v>37</v>
          </cell>
          <cell r="Z30">
            <v>4.2881899601330403E-3</v>
          </cell>
        </row>
        <row r="31">
          <cell r="T31">
            <v>62</v>
          </cell>
          <cell r="U31">
            <v>18</v>
          </cell>
          <cell r="V31">
            <v>27</v>
          </cell>
          <cell r="W31">
            <v>28.5</v>
          </cell>
          <cell r="X31">
            <v>33.5</v>
          </cell>
          <cell r="Z31">
            <v>4.2881899601330403E-3</v>
          </cell>
        </row>
        <row r="32">
          <cell r="T32">
            <v>64</v>
          </cell>
          <cell r="U32">
            <v>21</v>
          </cell>
          <cell r="V32">
            <v>27</v>
          </cell>
          <cell r="W32">
            <v>28.5</v>
          </cell>
          <cell r="X32">
            <v>33.5</v>
          </cell>
          <cell r="Z32">
            <v>4.2770049092314341E-3</v>
          </cell>
        </row>
        <row r="33">
          <cell r="T33">
            <v>66</v>
          </cell>
          <cell r="U33">
            <v>19</v>
          </cell>
          <cell r="V33">
            <v>31</v>
          </cell>
          <cell r="W33">
            <v>32</v>
          </cell>
          <cell r="X33">
            <v>35</v>
          </cell>
          <cell r="Z33">
            <v>4.2638540400225184E-3</v>
          </cell>
        </row>
        <row r="34">
          <cell r="T34">
            <v>69</v>
          </cell>
          <cell r="U34">
            <v>17.5</v>
          </cell>
          <cell r="V34">
            <v>23.5</v>
          </cell>
          <cell r="W34">
            <v>37</v>
          </cell>
          <cell r="X34">
            <v>40</v>
          </cell>
          <cell r="Z34">
            <v>4.2404826455504779E-3</v>
          </cell>
        </row>
        <row r="37">
          <cell r="Q37">
            <v>25</v>
          </cell>
          <cell r="S37">
            <v>14.816666666666666</v>
          </cell>
        </row>
        <row r="38">
          <cell r="Q38">
            <v>40</v>
          </cell>
          <cell r="S38">
            <v>22.866666666666667</v>
          </cell>
        </row>
        <row r="39">
          <cell r="Q39">
            <v>50</v>
          </cell>
          <cell r="S39">
            <v>25.933333333333337</v>
          </cell>
        </row>
        <row r="40">
          <cell r="Q40">
            <v>55</v>
          </cell>
          <cell r="S40">
            <v>28.93333333333333</v>
          </cell>
        </row>
        <row r="46">
          <cell r="D46">
            <v>25</v>
          </cell>
        </row>
        <row r="47">
          <cell r="D47">
            <v>40</v>
          </cell>
        </row>
        <row r="48">
          <cell r="D48">
            <v>50</v>
          </cell>
        </row>
        <row r="49">
          <cell r="D49">
            <v>55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9F9A1-4055-4AF4-87F8-9D338E17AC03}" name="Tablo1" displayName="Tablo1" ref="C2:K32" totalsRowShown="0" headerRowDxfId="377" dataDxfId="376">
  <autoFilter ref="C2:K32" xr:uid="{E429F9A1-4055-4AF4-87F8-9D338E17AC03}"/>
  <sortState xmlns:xlrd2="http://schemas.microsoft.com/office/spreadsheetml/2017/richdata2" ref="C3:K32">
    <sortCondition ref="J2:J32"/>
  </sortState>
  <tableColumns count="9">
    <tableColumn id="1" xr3:uid="{1E4B1903-B9B7-465E-AA0F-229DEA6EB924}" name="Student No" dataDxfId="375">
      <calculatedColumnFormula>C2+1</calculatedColumnFormula>
    </tableColumn>
    <tableColumn id="2" xr3:uid="{CFD7E88F-03B7-4800-9EC7-3333B628A01C}" name="Name" dataDxfId="374"/>
    <tableColumn id="3" xr3:uid="{723B03B4-3FBC-4A60-A190-8BCFE7F241FA}" name="Surname" dataDxfId="373"/>
    <tableColumn id="4" xr3:uid="{DAFBFE06-415F-430A-8F16-B304D7C4740E}" name="Midterm" dataDxfId="372">
      <calculatedColumnFormula>VLOOKUP(Tablo1[[#This Row],[Student No]],[1]!Tablo17[[STUDENT ID]:[TOTAL GRADE]],11,FALSE)</calculatedColumnFormula>
    </tableColumn>
    <tableColumn id="5" xr3:uid="{A3B10EE1-670D-4F0F-9249-57EE349E039A}" name="FINAL" dataDxfId="371">
      <calculatedColumnFormula>VLOOKUP(Tablo1[[#This Row],[Student No]],[1]!Tablo1738[[STUDENT ID]:[TOTAL GRADE]],11,FALSE)</calculatedColumnFormula>
    </tableColumn>
    <tableColumn id="6" xr3:uid="{E7FF128C-89D4-47A7-8EE5-C180A2A50EDA}" name="HOMEWORK" dataDxfId="370">
      <calculatedColumnFormula>VLOOKUP(Tablo1[[#This Row],[Student No]],[1]!Tablo3[[Student No]:[TOTAL]],9,FALSE)</calculatedColumnFormula>
    </tableColumn>
    <tableColumn id="7" xr3:uid="{4F161A95-8FF5-4E77-9424-027E19F795AE}" name="LAB" dataDxfId="369">
      <calculatedColumnFormula>VLOOKUP(Tablo1[[#This Row],[Student No]],[1]!Tablo314[[Student No]:[TOTAL]],18,FALSE)</calculatedColumnFormula>
    </tableColumn>
    <tableColumn id="8" xr3:uid="{86798B6E-D4E7-4569-9FED-278A536D9F10}" name="Total Points" dataDxfId="368">
      <calculatedColumnFormula>F3*$O$21%*100/$P$21+G3*$O$22%*100/$P$22+H3*$O$19%*100/$P$19+I3*$O$20%*100/$P$20</calculatedColumnFormula>
    </tableColumn>
    <tableColumn id="9" xr3:uid="{FA7DFF56-15C4-4B3D-BAE6-D81284461DB5}" name="Letter Grade" dataDxfId="367">
      <calculatedColumnFormula array="1">_xlfn.IFS(AND(J3&gt;$O$6,J3&lt;$P$6),"AA",AND(J3&gt;$O$7,J3&lt;$P$7),"AB",AND(J3&gt;$O$8,J3&lt;$P$8),"BB",AND(J3&gt;$O$9,J3&lt;$P$9),"CB",AND(J3&gt;$O$10,J3&lt;$P$10),"CC",AND(J3&gt;$O$11,J3&lt;$P$11),"DC",AND(J3&gt;$O$12,J3&lt;$P$12),"DD",AND(J3&gt;$O$13,J3&lt;$P$13),"FD",AND(J3&gt;$O$14,J3&lt;$P$14),"FF")</calculatedColumnFormula>
    </tableColumn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73014C-4675-44A0-B6BA-48866B9C2FB8}" name="Tablo6" displayName="Tablo6" ref="N5:P15" totalsRowShown="0">
  <autoFilter ref="N5:P15" xr:uid="{D673014C-4675-44A0-B6BA-48866B9C2FB8}"/>
  <tableColumns count="3">
    <tableColumn id="1" xr3:uid="{6CDCE52F-4CD1-41CA-A34D-8D4AD95D949E}" name="Grade"/>
    <tableColumn id="2" xr3:uid="{463F3C68-87D0-4E0A-AF6B-DE3002FDE5FE}" name="Min" dataDxfId="366"/>
    <tableColumn id="3" xr3:uid="{12B98074-B28D-48CF-840B-9FD01B516850}" name="Max" dataDxfId="365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E67A0-78AC-4582-BB80-A20AFEDB4C34}" name="Tablo8" displayName="Tablo8" ref="N18:P23" totalsRowShown="0">
  <autoFilter ref="N18:P23" xr:uid="{801E67A0-78AC-4582-BB80-A20AFEDB4C34}"/>
  <tableColumns count="3">
    <tableColumn id="1" xr3:uid="{7E8A0CE4-FF20-49B2-A6E3-1DE5D6850E36}" name="Item"/>
    <tableColumn id="2" xr3:uid="{8BF632E6-E4F3-463C-B089-3020D270D641}" name="Multiplier" dataDxfId="364"/>
    <tableColumn id="3" xr3:uid="{B4787AAE-526B-4DBB-9276-12E1F95A1010}" name="Base Value" dataDxfId="363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2F4C27-9409-41A0-85F5-932FC746B56D}" name="Tablo9" displayName="Tablo9" ref="L2:L32" totalsRowShown="0" headerRowDxfId="362" dataDxfId="361">
  <autoFilter ref="L2:L32" xr:uid="{1D2F4C27-9409-41A0-85F5-932FC746B56D}"/>
  <tableColumns count="1">
    <tableColumn id="1" xr3:uid="{A7A78E1F-9B48-460C-BA66-22CE5CB597A0}" name="Normal Dist." dataDxfId="360">
      <calculatedColumnFormula>_xlfn.NORM.DIST(J3,$S$31,$T$31,FALSE)</calculatedColumnFormula>
    </tableColumn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2B989E-0293-4340-B183-FAB228066E76}" name="Tablo10" displayName="Tablo10" ref="S30:T31" totalsRowShown="0" headerRowDxfId="359" dataDxfId="358">
  <autoFilter ref="S30:T31" xr:uid="{E72B989E-0293-4340-B183-FAB228066E76}"/>
  <tableColumns count="2">
    <tableColumn id="1" xr3:uid="{C1CC2BE6-CD3E-43B3-A735-99C04BF3606D}" name="Mean" dataDxfId="357">
      <calculatedColumnFormula>AVERAGE(Tablo1[Total Points])</calculatedColumnFormula>
    </tableColumn>
    <tableColumn id="2" xr3:uid="{5AFFA9A1-5632-4EC7-B0A4-3B1531CBC55E}" name="Variance" dataDxfId="356">
      <calculatedColumnFormula>_xlfn.STDEV.P(Tablo1[Total Points])</calculatedColumnFormula>
    </tableColumn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905CAB-6284-433A-AA9A-0A1F38AD940A}" name="Tablo2" displayName="Tablo2" ref="C34:I64" totalsRowShown="0" headerRowDxfId="355" dataDxfId="354">
  <autoFilter ref="C34:I64" xr:uid="{FF905CAB-6284-433A-AA9A-0A1F38AD940A}"/>
  <tableColumns count="7">
    <tableColumn id="1" xr3:uid="{B701DBB7-5A65-4032-A971-5F9D9B1B8079}" name="Student No" dataDxfId="353"/>
    <tableColumn id="2" xr3:uid="{F73A2A4E-DA03-492D-93C0-B035B411622A}" name="Student Name" dataDxfId="352"/>
    <tableColumn id="3" xr3:uid="{A45EBBFC-97F0-465D-87E3-8526299F6461}" name="Student Surname" dataDxfId="351"/>
    <tableColumn id="4" xr3:uid="{C9173E06-7CAE-4462-8440-7E252397ED41}" name="DÇ-1" dataDxfId="350">
      <calculatedColumnFormula>([1]MIDTERM!N5/[1]MIDTERM!$D$37+[1]FINAL!N5/[1]FINAL!$D$37+[1]HOMEWORK!L5/[1]HOMEWORK!$O$38+[1]LAB!U5/[1]LAB!$D$46)/4</calculatedColumnFormula>
    </tableColumn>
    <tableColumn id="5" xr3:uid="{F879D9F9-5ED8-459C-940A-03A163755F72}" name="DÇ-2" dataDxfId="349">
      <calculatedColumnFormula>([1]MIDTERM!O5/[1]MIDTERM!$D$38+[1]FINAL!O5/[1]FINAL!$D$38+[1]HOMEWORK!M5/[1]HOMEWORK!$O$39+[1]LAB!V5/[1]LAB!$D$47)/4</calculatedColumnFormula>
    </tableColumn>
    <tableColumn id="6" xr3:uid="{767C06A5-4E82-4627-8414-861B4753D556}" name="DÇ-3" dataDxfId="348">
      <calculatedColumnFormula>([1]MIDTERM!P5/[1]MIDTERM!$D$39+[1]FINAL!P5/[1]FINAL!$D$39+[1]HOMEWORK!N5/[1]HOMEWORK!$O$40+[1]LAB!W5/[1]LAB!$D$48)/4</calculatedColumnFormula>
    </tableColumn>
    <tableColumn id="7" xr3:uid="{B1B711A9-1CAA-45CA-A0D3-344245C43F46}" name="DÇ-4" dataDxfId="347">
      <calculatedColumnFormula>([1]MIDTERM!Q5/[1]MIDTERM!$D$40+[1]FINAL!Q5/[1]FINAL!$D$40+[1]HOMEWORK!O5/[1]HOMEWORK!$O$41+[1]LAB!X5/[1]LAB!$D$49)/4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A5ADAB-339C-40D0-9F64-73BA47148B25}" name="Tablo413" displayName="Tablo413" ref="M34:S38" totalsRowShown="0" headerRowDxfId="346" dataDxfId="345">
  <autoFilter ref="M34:S38" xr:uid="{41A5ADAB-339C-40D0-9F64-73BA47148B25}"/>
  <tableColumns count="7">
    <tableColumn id="1" xr3:uid="{26F9B25A-B7CD-4EA5-9977-1394729C4DC7}" name="DERS ÇIKTILARI" dataDxfId="344"/>
    <tableColumn id="2" xr3:uid="{BF0A704B-560C-444C-B329-E0B50B4B0659}" name="DERS ÇIKTISI ADI" dataDxfId="343"/>
    <tableColumn id="3" xr3:uid="{A34CE573-23CD-4187-B729-621AB09FA463}" name="DÇ KATSAYISI" dataDxfId="342">
      <calculatedColumnFormula>Tablo413[[#This Row],[Midterm]]+Tablo413[[#This Row],[FINAL]]+Tablo413[[#This Row],[HOMEWORK]]+Tablo413[[#This Row],[LAB]]</calculatedColumnFormula>
    </tableColumn>
    <tableColumn id="4" xr3:uid="{16F12FE2-BB7B-4D3D-994B-43334B449285}" name="Midterm" dataDxfId="341">
      <calculatedColumnFormula>[1]MIDTERM!J43</calculatedColumnFormula>
    </tableColumn>
    <tableColumn id="5" xr3:uid="{C4DDA0E1-0A2B-459B-AC3B-2ADD6258D7B8}" name="FINAL" dataDxfId="340">
      <calculatedColumnFormula>[1]FINAL!J43</calculatedColumnFormula>
    </tableColumn>
    <tableColumn id="6" xr3:uid="{C53F9558-4CCB-49CE-BF57-D334D6762914}" name="HOMEWORK" dataDxfId="339">
      <calculatedColumnFormula>[1]HOMEWORK!I38</calculatedColumnFormula>
    </tableColumn>
    <tableColumn id="7" xr3:uid="{A5F21E86-9766-4401-986D-B65BDCF24CB7}" name="LAB" dataDxfId="338">
      <calculatedColumnFormula>[1]LAB!Q37</calculatedColumnFormula>
    </tableColumn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2CC663-567A-4838-B33C-89E576712757}" name="Tablo41342" displayName="Tablo41342" ref="M40:S44" totalsRowShown="0" headerRowDxfId="337" dataDxfId="336">
  <autoFilter ref="M40:S44" xr:uid="{002CC663-567A-4838-B33C-89E576712757}"/>
  <tableColumns count="7">
    <tableColumn id="1" xr3:uid="{18714CE1-E77A-4381-A07E-2D440EB7ACC5}" name="DERS ÇIKTILARI" dataDxfId="335"/>
    <tableColumn id="2" xr3:uid="{3DECAB95-3D23-49E4-9B12-C42C69C78520}" name="DERS ÇIKTISI ADI" dataDxfId="334"/>
    <tableColumn id="3" xr3:uid="{016246B9-1FD4-478C-924B-37F8E2D9F331}" name="LAB" dataDxfId="333">
      <calculatedColumnFormula>[1]LAB!S37</calculatedColumnFormula>
    </tableColumn>
    <tableColumn id="4" xr3:uid="{9B3058ED-546D-4682-8128-E433AE5FF9FF}" name="Midterm" dataDxfId="332">
      <calculatedColumnFormula>[1]MIDTERM!L43</calculatedColumnFormula>
    </tableColumn>
    <tableColumn id="5" xr3:uid="{6B073197-1EA0-426B-AE6D-0927278E6D2E}" name="FINAL" dataDxfId="331">
      <calculatedColumnFormula>[1]FINAL!L43</calculatedColumnFormula>
    </tableColumn>
    <tableColumn id="6" xr3:uid="{842E9FC4-B83C-4DDD-87AC-875B5EF1FFD6}" name="HOMEWORK" dataDxfId="330">
      <calculatedColumnFormula>[1]HOMEWORK!K38</calculatedColumnFormula>
    </tableColumn>
    <tableColumn id="7" xr3:uid="{3D719F30-EB01-40B5-8CFA-998B155CFC55}" name="Toplam Katkı" dataDxfId="329">
      <calculatedColumnFormula>SUM(Tablo41342[[#This Row],[LAB]:[HOMEWORK]])</calculatedColumnFormula>
    </tableColumn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48694F-65FD-4CA9-9BB7-CB43E6433324}" name="Tablo4" displayName="Tablo4" ref="B36:E40" totalsRowShown="0">
  <autoFilter ref="B36:E40" xr:uid="{8448694F-65FD-4CA9-9BB7-CB43E6433324}"/>
  <tableColumns count="4">
    <tableColumn id="1" xr3:uid="{E280ACE6-1DAA-48AA-A984-247EC091D8A2}" name="DERS ÇIKTILARI" dataDxfId="296"/>
    <tableColumn id="2" xr3:uid="{22BC4B93-8723-4090-A82C-087482EE7935}" name="DERS ÇIKTISI ADI"/>
    <tableColumn id="3" xr3:uid="{0CF2880F-2E9A-40CE-BCD2-E126EFAADB46}" name="DERS ÇIKTISI KATSAYISI" dataDxfId="295">
      <calculatedColumnFormula>[1]MAIN!P35</calculatedColumnFormula>
    </tableColumn>
    <tableColumn id="4" xr3:uid="{27AED608-0459-44C5-897E-3F3F8A5AC72D}" name="KALAN KATSAYI" dataDxfId="294">
      <calculatedColumnFormula>Tablo4[[#This Row],[DERS ÇIKTISI KATSAYISI]]-J43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0E1B92-A0FC-40C7-98D9-5831BDBB55EC}" name="Tablo16" displayName="Tablo16" ref="B42:L46" totalsRowShown="0">
  <autoFilter ref="B42:L46" xr:uid="{1B0E1B92-A0FC-40C7-98D9-5831BDBB55EC}"/>
  <tableColumns count="11">
    <tableColumn id="1" xr3:uid="{29220F08-1B09-46AB-A70A-6E094C52F679}" name="Ders Çıktıları" dataDxfId="293"/>
    <tableColumn id="2" xr3:uid="{AAAE6944-30F7-4B14-B3C3-9C17299DBAD2}" name="Q1" dataDxfId="292">
      <calculatedColumnFormula>SUM(N5:N34)</calculatedColumnFormula>
    </tableColumn>
    <tableColumn id="3" xr3:uid="{8B0711EE-FF83-460C-840E-FD926DF4311C}" name="Q2" dataDxfId="291"/>
    <tableColumn id="4" xr3:uid="{24B4AEDC-CAE3-47C7-846D-8435945BBA69}" name="Q3" dataDxfId="290"/>
    <tableColumn id="5" xr3:uid="{34246F8E-B1BF-4315-842E-92A80C66B704}" name="Q4" dataDxfId="289"/>
    <tableColumn id="6" xr3:uid="{0D7631B1-4C5A-432B-8A6F-72E5A5581838}" name="Q5" dataDxfId="288"/>
    <tableColumn id="7" xr3:uid="{7062DA9A-07C5-4558-8108-4AA5D270E113}" name="Q6" dataDxfId="287"/>
    <tableColumn id="8" xr3:uid="{E9271699-89F2-425D-A645-6F062941B1BA}" name="Q7" dataDxfId="286"/>
    <tableColumn id="9" xr3:uid="{EF60ACD1-EDEC-4201-8350-D9CC1971615B}" name="TOPLAM" dataDxfId="285">
      <calculatedColumnFormula>SUM(Tablo16[[#This Row],[Q1]:[Q7]])</calculatedColumnFormula>
    </tableColumn>
    <tableColumn id="10" xr3:uid="{901E36F1-0637-4B8C-BE72-6F0DB106A9DC}" name="TOTAL DÇ" dataDxfId="284">
      <calculatedColumnFormula>SUM([1]!Tablo17[DÇ1])/(30*D37)</calculatedColumnFormula>
    </tableColumn>
    <tableColumn id="11" xr3:uid="{5B939B05-A60D-4A33-B8F3-DE4EFC13268B}" name="CONTRIBUTION" dataDxfId="283">
      <calculatedColumnFormula>$K43*$D37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833197E-D27A-4691-A795-7BF68ACB8415}" name="Tablo17" displayName="Tablo17" ref="C4:R34" headerRowDxfId="282" dataDxfId="281" totalsRowDxfId="280">
  <autoFilter ref="C4:R34" xr:uid="{1833197E-D27A-4691-A795-7BF68ACB8415}"/>
  <sortState xmlns:xlrd2="http://schemas.microsoft.com/office/spreadsheetml/2017/richdata2" ref="C5:R34">
    <sortCondition descending="1" ref="M4:M34"/>
  </sortState>
  <tableColumns count="16">
    <tableColumn id="1" xr3:uid="{D113EDDF-CBFB-4361-BABA-B595242CF600}" name="STUDENT ID" totalsRowLabel="Toplam" dataDxfId="279"/>
    <tableColumn id="16" xr3:uid="{3A22D508-1CDC-4CB4-BDD8-5B23C625C8A4}" name="Name" dataDxfId="278"/>
    <tableColumn id="2" xr3:uid="{03B86D56-C196-4E9D-89C4-4CB09C58F75C}" name="Surname" dataDxfId="277"/>
    <tableColumn id="3" xr3:uid="{F775F1BE-D40D-40C8-A7CC-C869A4B5564D}" name="Q1" dataDxfId="275" totalsRowDxfId="276"/>
    <tableColumn id="4" xr3:uid="{7F2DC400-9807-407D-B663-803174891871}" name="Q2" dataDxfId="273" totalsRowDxfId="274"/>
    <tableColumn id="5" xr3:uid="{D1502AD0-164F-4CA9-A222-75D544DE3FEB}" name="Q3" dataDxfId="271" totalsRowDxfId="272"/>
    <tableColumn id="6" xr3:uid="{6131ACE6-0D93-41E7-BECC-DEA8DA5A4332}" name="Q4" dataDxfId="269" totalsRowDxfId="270"/>
    <tableColumn id="7" xr3:uid="{DD0E226A-40E8-493B-B3F8-FBA638C95607}" name="Q5" dataDxfId="267" totalsRowDxfId="268"/>
    <tableColumn id="8" xr3:uid="{4A0A4A8C-9ACE-48F7-80D9-7092FCAC5885}" name="Q6" dataDxfId="265" totalsRowDxfId="266"/>
    <tableColumn id="9" xr3:uid="{FFDE0D30-C427-443E-BFCE-7D7E228E433D}" name="Q7" totalsRowFunction="sum" dataDxfId="263" totalsRowDxfId="264"/>
    <tableColumn id="10" xr3:uid="{C0586234-35BF-4C40-B918-8005463140DC}" name="TOTAL GRADE" dataDxfId="262">
      <calculatedColumnFormula>SUM(F5:L5)</calculatedColumnFormula>
    </tableColumn>
    <tableColumn id="11" xr3:uid="{FEC2A455-DDB5-4657-AD5E-3C8D4FCBC710}" name="DÇ1" dataDxfId="260" totalsRowDxfId="261">
      <calculatedColumnFormula array="1">Tablo17[[#This Row],[Q1]]/Tablo19[Q1]*$C$43+G5/Tablo19[Q2]*$D$43+H5/Tablo19[Q3]*$E$43+I5/Tablo19[Q4]*$F$43+J5/Tablo19[Q5]*$G$43+K5/Tablo19[Q6]*$H$43+L5/Tablo19[Q7]*$I$43</calculatedColumnFormula>
    </tableColumn>
    <tableColumn id="12" xr3:uid="{846F381E-EC78-4327-9EBE-A9A00FCCBAA9}" name="DÇ2" dataDxfId="259">
      <calculatedColumnFormula array="1">Tablo17[[#This Row],[Q1]]/Tablo19[Q1]*$C$44+G5/Tablo19[Q2]*$D$44+H5/Tablo19[Q3]*$E$44+I5/Tablo19[Q4]*$F$44+J5/Tablo19[Q5]*$G$44+K5/Tablo19[Q6]*$H$44+L5/Tablo19[Q7]*$I$44</calculatedColumnFormula>
    </tableColumn>
    <tableColumn id="13" xr3:uid="{A93E00CC-7CA8-4017-99D7-C48D4C7B602C}" name="DÇ3" dataDxfId="257" totalsRowDxfId="258">
      <calculatedColumnFormula array="1">Tablo17[[#This Row],[Q1]]/Tablo19[Q1]*$C$45+G5/Tablo19[Q2]*$D$45+H5/Tablo19[Q3]*$E$45+I5/Tablo19[Q4]*$F$45+J5/Tablo19[Q5]*$G$45+K5/Tablo19[Q6]*$H$45+L5/Tablo19[Q7]*$I$45</calculatedColumnFormula>
    </tableColumn>
    <tableColumn id="14" xr3:uid="{5F4195A9-9653-4015-BC78-3F18E54B6919}" name="DÇ4" dataDxfId="255" totalsRowDxfId="256">
      <calculatedColumnFormula array="1">Tablo17[[#This Row],[Q1]]/Tablo19[Q1]*$C$46+G5/Tablo19[Q2]*$D$46+H5/Tablo19[Q3]*$E$46+I5/Tablo19[Q4]*$F$46+J5/Tablo19[Q5]*$G$46+K5/Tablo19[Q6]*$H$46+L5/Tablo19[Q7]*$I$46</calculatedColumnFormula>
    </tableColumn>
    <tableColumn id="15" xr3:uid="{B900AB86-BAA4-4CF0-9DAB-55232F4CD750}" name="TOT" dataDxfId="253" totalsRowDxfId="254">
      <calculatedColumnFormula>SUM(N5:Q5)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A33AE40-8850-404C-9F3A-F05BE1F832D1}" name="Tablo19" displayName="Tablo19" ref="G36:O37" totalsRowShown="0" headerRowDxfId="252" dataDxfId="251">
  <autoFilter ref="G36:O37" xr:uid="{2A33AE40-8850-404C-9F3A-F05BE1F832D1}"/>
  <tableColumns count="9">
    <tableColumn id="1" xr3:uid="{AFDBC455-ABD7-434E-8335-D7156D8EBFFB}" name="Sütun1"/>
    <tableColumn id="2" xr3:uid="{58EF230B-42BA-42A1-BD9D-676CB9C5CBA0}" name="Q1" dataDxfId="250"/>
    <tableColumn id="3" xr3:uid="{D72D97B4-D5D9-429B-93C5-5E9D14790C6F}" name="Q2" dataDxfId="249"/>
    <tableColumn id="4" xr3:uid="{9774AFED-0EA6-4456-8B2C-7388A82E6948}" name="Q3" dataDxfId="248"/>
    <tableColumn id="5" xr3:uid="{2C32AB07-BE09-4A06-81D0-5FF32AC1AEA0}" name="Q4" dataDxfId="247"/>
    <tableColumn id="6" xr3:uid="{E866D746-A8AF-4406-B118-0936049BE1BF}" name="Q5" dataDxfId="246"/>
    <tableColumn id="7" xr3:uid="{AFD55C9B-E0D3-4B2A-9C03-26F5E8D65773}" name="Q6" dataDxfId="245"/>
    <tableColumn id="8" xr3:uid="{CA0BBDAA-A4A5-45C4-8828-9B3AF69182AF}" name="Q7" dataDxfId="244"/>
    <tableColumn id="9" xr3:uid="{C1D742FA-990E-49AC-A6E1-081A8CD2D92F}" name="TOTAL" dataDxfId="243">
      <calculatedColumnFormula>SUM(H37:N37)</calculatedColumnFormula>
    </tableColumn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3F50A4-D4B2-4223-B143-26382AACEC3D}" name="Tablo20" displayName="Tablo20" ref="N55:O56" totalsRowShown="0" headerRowDxfId="242" dataDxfId="241">
  <autoFilter ref="N55:O56" xr:uid="{B13F50A4-D4B2-4223-B143-26382AACEC3D}"/>
  <tableColumns count="2">
    <tableColumn id="1" xr3:uid="{BA429645-AA77-4BF4-BBFC-762F76DDCDAF}" name="Mean" dataDxfId="240">
      <calculatedColumnFormula>AVERAGE(Tablo17[TOTAL GRADE])</calculatedColumnFormula>
    </tableColumn>
    <tableColumn id="2" xr3:uid="{FED325CE-3291-41F6-A4CB-60349515A580}" name="Variance" dataDxfId="239">
      <calculatedColumnFormula>_xlfn.STDEV.P(Tablo17[TOTAL GRADE])</calculatedColumnFormula>
    </tableColumn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379CDB-A268-41F3-8F8C-D887754399CF}" name="Tablo21" displayName="Tablo21" ref="S4:S34" totalsRowShown="0" headerRowDxfId="238" dataDxfId="237">
  <autoFilter ref="S4:S34" xr:uid="{F2379CDB-A268-41F3-8F8C-D887754399CF}"/>
  <tableColumns count="1">
    <tableColumn id="1" xr3:uid="{01143C3B-4E45-46F4-8C73-06A4AE53F761}" name="Normal Dist" dataDxfId="236">
      <calculatedColumnFormula>_xlfn.NORM.DIST(Tablo17[[#This Row],[TOTAL GRADE]],$N$56,$O$56,FALSE)</calculatedColumnFormula>
    </tableColumn>
  </tableColumns>
  <tableStyleInfo name="TableStyleMedium1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7923A7-33E5-4D47-B6F7-89CECE5BA782}" name="Tablo436" displayName="Tablo436" ref="B36:E40" totalsRowShown="0">
  <autoFilter ref="B36:E40" xr:uid="{617923A7-33E5-4D47-B6F7-89CECE5BA782}"/>
  <tableColumns count="4">
    <tableColumn id="1" xr3:uid="{C65709E0-BDE6-4F6B-A280-39806A667394}" name="DERS ÇIKTILARI" dataDxfId="203"/>
    <tableColumn id="2" xr3:uid="{3EF8F992-9AEC-49F1-8D14-F609E8379D35}" name="DERS ÇIKTISI ADI" dataDxfId="202"/>
    <tableColumn id="3" xr3:uid="{233C34E4-5419-4BD9-8C7B-4C95C1A610B8}" name="DERS ÇIKTISI KATSAYISI" dataDxfId="201">
      <calculatedColumnFormula>[1]MAIN!Q35</calculatedColumnFormula>
    </tableColumn>
    <tableColumn id="4" xr3:uid="{9EB29182-37CB-458A-A26E-E2A02E60E14C}" name="KALAN KATSAYI" dataDxfId="200">
      <calculatedColumnFormula>Tablo436[[#This Row],[DERS ÇIKTISI KATSAYISI]]-J43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17E1BCF-CB1E-4D60-9DEE-1069F228AFD1}" name="Tablo1637" displayName="Tablo1637" ref="B42:L46" totalsRowShown="0">
  <autoFilter ref="B42:L46" xr:uid="{017E1BCF-CB1E-4D60-9DEE-1069F228AFD1}"/>
  <tableColumns count="11">
    <tableColumn id="1" xr3:uid="{6874FDC0-B7AA-40BC-8430-96677DACF575}" name="Ders Çıktıları" dataDxfId="199"/>
    <tableColumn id="2" xr3:uid="{6BE8CED2-85D0-406F-B362-A428A4948C64}" name="Q1" dataDxfId="198">
      <calculatedColumnFormula>SUM(N5:N34)</calculatedColumnFormula>
    </tableColumn>
    <tableColumn id="3" xr3:uid="{A1145478-4D19-4326-974B-E3BC1294F0A7}" name="Q2" dataDxfId="197"/>
    <tableColumn id="4" xr3:uid="{558C955E-88C1-4EB2-B917-B281CA6DB024}" name="Q3" dataDxfId="196"/>
    <tableColumn id="5" xr3:uid="{795B3F40-5955-4224-8923-314F65F75F61}" name="Q4" dataDxfId="195"/>
    <tableColumn id="6" xr3:uid="{15D73F82-C175-41C3-8BE7-421D567AD85C}" name="Q5" dataDxfId="194"/>
    <tableColumn id="7" xr3:uid="{F47C741C-7392-4807-A2A8-78ADC8045BB0}" name="Q6" dataDxfId="193"/>
    <tableColumn id="8" xr3:uid="{BF636356-D48D-4EF1-8D83-FF059F935E2B}" name="Q7" dataDxfId="192"/>
    <tableColumn id="9" xr3:uid="{69914636-605D-4F76-AEC2-A61E603EF15C}" name="TOPLAM" dataDxfId="191">
      <calculatedColumnFormula>SUM(Tablo1637[[#This Row],[Q1]:[Q7]])</calculatedColumnFormula>
    </tableColumn>
    <tableColumn id="10" xr3:uid="{F88E757F-6B38-42CD-81A9-C630A262B584}" name="TOTAL DÇ" dataDxfId="190">
      <calculatedColumnFormula>SUM([1]!Tablo17[DÇ1])/(30*D37)</calculatedColumnFormula>
    </tableColumn>
    <tableColumn id="11" xr3:uid="{D821C109-751D-4D19-8BAB-DEDA90D49915}" name="CONTRIBUTION" dataDxfId="189">
      <calculatedColumnFormula>$K43*$D37</calculatedColumnFormula>
    </tableColumn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C14BE7A-935B-45AE-8FD7-1BA219156941}" name="Tablo1738" displayName="Tablo1738" ref="C4:R34" headerRowDxfId="188" dataDxfId="187" totalsRowDxfId="186">
  <autoFilter ref="C4:R34" xr:uid="{2C14BE7A-935B-45AE-8FD7-1BA219156941}"/>
  <sortState xmlns:xlrd2="http://schemas.microsoft.com/office/spreadsheetml/2017/richdata2" ref="C5:R34">
    <sortCondition descending="1" ref="M4:M34"/>
  </sortState>
  <tableColumns count="16">
    <tableColumn id="1" xr3:uid="{9AADA41F-8BFE-420B-BE77-0ABCA275B3EE}" name="STUDENT ID" totalsRowLabel="Toplam" dataDxfId="185"/>
    <tableColumn id="16" xr3:uid="{7B1244BB-B936-4102-BAE4-111FF142F7A9}" name="Name" dataDxfId="184"/>
    <tableColumn id="2" xr3:uid="{97DC4D05-32CE-48A3-94B3-204C6C8F7AFB}" name="Surname" dataDxfId="183"/>
    <tableColumn id="3" xr3:uid="{B67F2739-A4D0-482F-8EFB-D36CE40A9D27}" name="Q1" dataDxfId="181" totalsRowDxfId="182"/>
    <tableColumn id="4" xr3:uid="{7B20AED2-EC0E-4E6B-9BD3-864ECD45DB91}" name="Q2" dataDxfId="179" totalsRowDxfId="180"/>
    <tableColumn id="5" xr3:uid="{ABDC029F-C47D-43BD-8866-867666D1315F}" name="Q3" dataDxfId="177" totalsRowDxfId="178"/>
    <tableColumn id="6" xr3:uid="{8CDE00D8-1877-4B72-9954-E3644E2AEEC7}" name="Q4" dataDxfId="175" totalsRowDxfId="176"/>
    <tableColumn id="7" xr3:uid="{33A59D83-CF84-4D2C-BB1C-BE41FCCEFFAB}" name="Q5" dataDxfId="173" totalsRowDxfId="174"/>
    <tableColumn id="8" xr3:uid="{8B76B823-EEE4-4BBA-AB43-E582BDFFBF11}" name="Q6" dataDxfId="171" totalsRowDxfId="172"/>
    <tableColumn id="9" xr3:uid="{AB49C488-E88A-4900-B5CF-C0387183DD74}" name="Q7" totalsRowFunction="sum" dataDxfId="169" totalsRowDxfId="170"/>
    <tableColumn id="10" xr3:uid="{8834256F-A739-497B-9BFD-35C448147CC9}" name="TOTAL GRADE" dataDxfId="168">
      <calculatedColumnFormula>SUM(F5:L5)</calculatedColumnFormula>
    </tableColumn>
    <tableColumn id="11" xr3:uid="{DF652822-0575-438F-AC5F-FB437DA17FA2}" name="DÇ1" dataDxfId="166" totalsRowDxfId="167">
      <calculatedColumnFormula array="1">Tablo1738[[#This Row],[Q1]]/Tablo1939[Q1]*$C$43+G5/Tablo1939[Q2]*$D$43+H5/Tablo1939[Q3]*$E$43+I5/Tablo1939[Q4]*$F$43+J5/Tablo1939[Q5]*$G$43+K5/Tablo1939[Q6]*$H$43+L5/Tablo1939[Q7]*$I$43</calculatedColumnFormula>
    </tableColumn>
    <tableColumn id="12" xr3:uid="{C6BDCDAD-F7B8-4E30-820D-F4BF1B449C74}" name="DÇ2" dataDxfId="165">
      <calculatedColumnFormula array="1">Tablo1738[[#This Row],[Q1]]/Tablo1939[Q1]*$C$44+G5/Tablo1939[Q2]*$D$44+H5/Tablo1939[Q3]*$E$44+I5/Tablo1939[Q4]*$F$44+J5/Tablo1939[Q5]*$G$44+K5/Tablo1939[Q6]*$H$44+L5/Tablo1939[Q7]*$I$44</calculatedColumnFormula>
    </tableColumn>
    <tableColumn id="13" xr3:uid="{B816FC0D-E867-4A49-BB76-73BD3676D6D9}" name="DÇ3" dataDxfId="163" totalsRowDxfId="164">
      <calculatedColumnFormula array="1">Tablo1738[[#This Row],[Q1]]/Tablo1939[Q1]*$C$45+G5/Tablo1939[Q2]*$D$45+H5/Tablo1939[Q3]*$E$45+I5/Tablo1939[Q4]*$F$45+J5/Tablo1939[Q5]*$G$45+K5/Tablo1939[Q6]*$H$45+L5/Tablo1939[Q7]*$I$45</calculatedColumnFormula>
    </tableColumn>
    <tableColumn id="14" xr3:uid="{2E3EF0D5-CF6C-47EB-B4DE-17DBA42C0573}" name="DÇ4" dataDxfId="161" totalsRowDxfId="162">
      <calculatedColumnFormula array="1">Tablo1738[[#This Row],[Q1]]/Tablo1939[Q1]*$C$46+G5/Tablo1939[Q2]*$D$46+H5/Tablo1939[Q3]*$E$46+I5/Tablo1939[Q4]*$F$46+J5/Tablo1939[Q5]*$G$46+K5/Tablo1939[Q6]*$H$46+L5/Tablo1939[Q7]*$I$46</calculatedColumnFormula>
    </tableColumn>
    <tableColumn id="15" xr3:uid="{2A209A59-B7E7-4385-8CA5-81C976F7C437}" name="TOT" dataDxfId="159" totalsRowDxfId="160">
      <calculatedColumnFormula>SUM(N5:Q5)</calculatedColumnFormula>
    </tableColumn>
  </tableColumns>
  <tableStyleInfo name="TableStyleMedium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6905071-83DD-42A0-8DF4-9F8E07B6DFC8}" name="Tablo1939" displayName="Tablo1939" ref="G36:O37" totalsRowShown="0" headerRowDxfId="158" dataDxfId="157">
  <autoFilter ref="G36:O37" xr:uid="{96905071-83DD-42A0-8DF4-9F8E07B6DFC8}"/>
  <tableColumns count="9">
    <tableColumn id="1" xr3:uid="{392B41C8-85F3-4B63-A2F8-498F87FCBC3C}" name="Sütun1"/>
    <tableColumn id="2" xr3:uid="{9FBF8937-9613-488D-B948-F8ECDC29029B}" name="Q1" dataDxfId="156"/>
    <tableColumn id="3" xr3:uid="{23080F7F-E9A8-450E-9D84-54E512E1A9D1}" name="Q2" dataDxfId="155"/>
    <tableColumn id="4" xr3:uid="{79EC56A5-024F-4FCB-89E2-68DF20C12359}" name="Q3" dataDxfId="154"/>
    <tableColumn id="5" xr3:uid="{253A8558-CAE2-46D5-9563-6D5502326AC4}" name="Q4" dataDxfId="153"/>
    <tableColumn id="6" xr3:uid="{EE897C09-C88A-4F37-8017-A1DF8BED4C26}" name="Q5" dataDxfId="152"/>
    <tableColumn id="7" xr3:uid="{BE64C81A-F978-4E2D-A09A-DB6EF2513D89}" name="Q6" dataDxfId="151"/>
    <tableColumn id="8" xr3:uid="{6E0ACBEB-44DB-4AEE-A623-627A05AEBC39}" name="Q7" dataDxfId="150"/>
    <tableColumn id="9" xr3:uid="{4599BD3A-F5C0-4F7D-813B-DCEA58FE0AFB}" name="TOTAL" dataDxfId="149">
      <calculatedColumnFormula>SUM(H37:N37)</calculatedColumnFormula>
    </tableColumn>
  </tableColumns>
  <tableStyleInfo name="TableStyleMedium1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83B8AD2-0916-4CE9-A1C3-52CE0DDDD1A1}" name="Tablo2040" displayName="Tablo2040" ref="N55:O56" totalsRowShown="0" headerRowDxfId="148" dataDxfId="147">
  <autoFilter ref="N55:O56" xr:uid="{D83B8AD2-0916-4CE9-A1C3-52CE0DDDD1A1}"/>
  <tableColumns count="2">
    <tableColumn id="1" xr3:uid="{414DC1A8-741E-4250-AF98-BD0BBDF3D5CF}" name="Mean" dataDxfId="146">
      <calculatedColumnFormula>AVERAGE(Tablo1738[TOTAL GRADE])</calculatedColumnFormula>
    </tableColumn>
    <tableColumn id="2" xr3:uid="{5B96B729-A009-44A1-AA6B-DC242EBD70C6}" name="Variance" dataDxfId="145">
      <calculatedColumnFormula>_xlfn.STDEV.P(Tablo1738[TOTAL GRADE])</calculatedColumnFormula>
    </tableColumn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4330F3A-1855-4179-AE65-4FB64CB7D22C}" name="Tablo2141" displayName="Tablo2141" ref="S4:S34" totalsRowShown="0" headerRowDxfId="144" dataDxfId="143">
  <autoFilter ref="S4:S34" xr:uid="{34330F3A-1855-4179-AE65-4FB64CB7D22C}"/>
  <tableColumns count="1">
    <tableColumn id="1" xr3:uid="{A2677A0B-2EE1-4C4E-BABC-3C9382CC39F7}" name="Normal Dist" dataDxfId="142">
      <calculatedColumnFormula>_xlfn.NORM.DIST(Tablo1738[[#This Row],[TOTAL GRADE]],$N$56,$O$56,FALSE)</calculatedColumnFormula>
    </tableColumn>
  </tableColumns>
  <tableStyleInfo name="TableStyleMedium1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B54ACE3-641A-4431-BE1E-A543927F60F0}" name="Tablo3" displayName="Tablo3" ref="C4:P34" totalsRowShown="0" headerRowDxfId="87" tableBorderDxfId="86">
  <autoFilter ref="C4:P34" xr:uid="{3B54ACE3-641A-4431-BE1E-A543927F60F0}"/>
  <sortState xmlns:xlrd2="http://schemas.microsoft.com/office/spreadsheetml/2017/richdata2" ref="C5:P34">
    <sortCondition ref="K4:K34"/>
  </sortState>
  <tableColumns count="14">
    <tableColumn id="1" xr3:uid="{A5ADE139-97CF-485E-AA49-54ECA2143553}" name="Student No" dataDxfId="85"/>
    <tableColumn id="2" xr3:uid="{E0E7AA3C-F3A2-4237-A3BD-F19013AD7E0C}" name="Name" dataDxfId="84"/>
    <tableColumn id="3" xr3:uid="{EE7EA9D6-BCB4-4374-AC56-130CCFE32BD6}" name="Surname" dataDxfId="83"/>
    <tableColumn id="4" xr3:uid="{3FC526B7-92B1-43A7-B505-679180A5B0A0}" name="HW1"/>
    <tableColumn id="5" xr3:uid="{9361A646-818F-4308-B57D-DD84995490C9}" name="HW2"/>
    <tableColumn id="6" xr3:uid="{B9D2C766-CF99-4C05-B127-94D222F6827A}" name="HW3"/>
    <tableColumn id="7" xr3:uid="{40E2BF75-D87D-47C0-B573-B56B8A37E3B3}" name="HW4"/>
    <tableColumn id="8" xr3:uid="{CE8CBDC5-59E9-4C75-B4A1-FA81DB8CCBA5}" name="HW5"/>
    <tableColumn id="9" xr3:uid="{0769C50C-1E31-4BDE-9AFF-4E3CFD689F04}" name="TOTAL" dataDxfId="82">
      <calculatedColumnFormula>(Tablo3[[#This Row],[HW1]]+Tablo3[[#This Row],[HW2]]+Tablo3[[#This Row],[HW3]]+Tablo3[[#This Row],[HW4]]+Tablo3[[#This Row],[HW5]])/5</calculatedColumnFormula>
    </tableColumn>
    <tableColumn id="10" xr3:uid="{A31BB8C8-AF7F-4A38-BB8D-E7E444CD82EB}" name="DÇ1" dataDxfId="81">
      <calculatedColumnFormula array="1">Tablo3[[#This Row],[HW1]]*$D$38/Tablo11[HW1]+Tablo3[[#This Row],[HW2]]*$E$38/Tablo11[HW2]+Tablo3[[#This Row],[HW3]]*$F$38/Tablo11[HW3]+Tablo3[[#This Row],[HW4]]*$G$38/Tablo11[HW4]+Tablo3[[#This Row],[HW5]]*$H$38/Tablo11[HW5]</calculatedColumnFormula>
    </tableColumn>
    <tableColumn id="11" xr3:uid="{1BB64FFC-9256-4E08-AEE9-D275D97C26A8}" name="DÇ2" dataDxfId="80">
      <calculatedColumnFormula array="1">Tablo3[[#This Row],[HW1]]*$D$39/Tablo11[HW1]+Tablo3[[#This Row],[HW2]]*$E$39/Tablo11[HW2]+Tablo3[[#This Row],[HW3]]*$F$39/Tablo11[HW3]+Tablo3[[#This Row],[HW4]]*$G$39/Tablo11[HW4]+Tablo3[[#This Row],[HW5]]*$H$39/Tablo11[HW5]</calculatedColumnFormula>
    </tableColumn>
    <tableColumn id="12" xr3:uid="{47E6FF3E-6E57-44FB-AF16-F29B57A03D9A}" name="DÇ3" dataDxfId="79">
      <calculatedColumnFormula array="1">Tablo3[[#This Row],[HW1]]*$D$40/Tablo11[HW1]+Tablo3[[#This Row],[HW2]]*$E$40/Tablo11[HW2]+Tablo3[[#This Row],[HW3]]*$F$40/Tablo11[HW3]+Tablo3[[#This Row],[HW4]]*$G$40/Tablo11[HW4]+Tablo3[[#This Row],[HW5]]*$H$40/Tablo11[HW5]</calculatedColumnFormula>
    </tableColumn>
    <tableColumn id="13" xr3:uid="{9500D8DD-2CAF-45A9-A02E-C182144E131C}" name="DÇ4" dataDxfId="78">
      <calculatedColumnFormula array="1">Tablo3[[#This Row],[HW1]]*$D$41/Tablo11[HW1]+Tablo3[[#This Row],[HW2]]*$E$41/Tablo11[HW2]+Tablo3[[#This Row],[HW3]]*$F$41/Tablo11[HW3]+Tablo3[[#This Row],[HW4]]*$G$41/Tablo11[HW4]+Tablo3[[#This Row],[HW5]]*$H$41/Tablo11[HW5]</calculatedColumnFormula>
    </tableColumn>
    <tableColumn id="14" xr3:uid="{0F91CE32-97D8-4F3E-83D3-DA09AA0B33C8}" name="TOT" dataDxfId="77">
      <calculatedColumnFormula>SUM(L5,M5,N5,O5)</calculatedColumnFormula>
    </tableColumn>
  </tableColumns>
  <tableStyleInfo name="TableStyleMedium1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3975D8C-7CBF-4CB3-BE59-AD0EF35CE3C3}" name="Tablo415" displayName="Tablo415" ref="M37:P41" totalsRowShown="0">
  <autoFilter ref="M37:P41" xr:uid="{B3975D8C-7CBF-4CB3-BE59-AD0EF35CE3C3}"/>
  <tableColumns count="4">
    <tableColumn id="1" xr3:uid="{BCA7C82D-FD2B-46B5-A639-528FCF3B05C2}" name="DERS ÇIKTILARI" dataDxfId="76"/>
    <tableColumn id="2" xr3:uid="{2924A421-7426-4896-9370-4AECB6690781}" name="DERS ÇIKTISI ADI"/>
    <tableColumn id="3" xr3:uid="{EA731076-D33C-4D87-B991-31C5AC3BE5E9}" name="DERS ÇIKTISI KATSAYISI" dataDxfId="75">
      <calculatedColumnFormula>[1]MAIN!AJ3</calculatedColumnFormula>
    </tableColumn>
    <tableColumn id="4" xr3:uid="{72137E15-4188-4784-99BB-91F150CD91A8}" name="KALAN KATSAYI" dataDxfId="74">
      <calculatedColumnFormula>Tablo415[[#This Row],[DERS ÇIKTISI KATSAYISI]]-Tablo163719[[#This Row],[TOPLAM]]</calculatedColumnFormula>
    </tableColumn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46A994C-E97C-44B5-BE2C-58510268C338}" name="Tablo15" displayName="Tablo15" ref="Q4:Q34" totalsRowShown="0" headerRowDxfId="73">
  <autoFilter ref="Q4:Q34" xr:uid="{F46A994C-E97C-44B5-BE2C-58510268C338}"/>
  <tableColumns count="1">
    <tableColumn id="1" xr3:uid="{E4B0DC01-5912-4572-9CED-37FD84830CA4}" name="Normal Dist.">
      <calculatedColumnFormula>_xlfn.NORM.DIST(Tablo3[[#This Row],[TOTAL]],$T$4,$U$4,FALSE)</calculatedColumnFormula>
    </tableColumn>
  </tableColumns>
  <tableStyleInfo name="TableStyleMedium1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349881D-EF02-4D0E-897E-408B1455D26B}" name="Tablo5" displayName="Tablo5" ref="T3:U4" totalsRowShown="0" headerRowDxfId="72" dataDxfId="71">
  <autoFilter ref="T3:U4" xr:uid="{D349881D-EF02-4D0E-897E-408B1455D26B}"/>
  <tableColumns count="2">
    <tableColumn id="1" xr3:uid="{1BAC7682-FF1A-4FCF-AD3F-785C111F1541}" name="MEAN" dataDxfId="70">
      <calculatedColumnFormula>AVERAGE(Tablo3[TOTAL])</calculatedColumnFormula>
    </tableColumn>
    <tableColumn id="2" xr3:uid="{7B4FE456-0616-4F4D-9DD3-0B20DEFC80BF}" name="VARIANCE" dataDxfId="69">
      <calculatedColumnFormula>_xlfn.STDEV.P(Tablo3[TOTAL])</calculatedColumnFormula>
    </tableColumn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AA5FF4B-E137-46DB-8735-B017F3E4BC63}" name="Tablo163719" displayName="Tablo163719" ref="C37:K41" totalsRowShown="0">
  <autoFilter ref="C37:K41" xr:uid="{6AA5FF4B-E137-46DB-8735-B017F3E4BC63}"/>
  <tableColumns count="9">
    <tableColumn id="1" xr3:uid="{25FD2978-1D96-4286-B886-CC5040E8C855}" name="Ders Çıktıları" dataDxfId="68"/>
    <tableColumn id="2" xr3:uid="{AB6B4081-1B30-4D28-BE0A-79E9E61D45E2}" name="HW1" dataDxfId="67">
      <calculatedColumnFormula>SUM(#REF!)</calculatedColumnFormula>
    </tableColumn>
    <tableColumn id="3" xr3:uid="{2AA23B61-407B-4E6B-99F7-25A55842C80C}" name="HW2" dataDxfId="66"/>
    <tableColumn id="4" xr3:uid="{4E525CB8-93C2-4D24-92CA-F02486D274C5}" name="HW3" dataDxfId="65"/>
    <tableColumn id="5" xr3:uid="{70855FEE-FBDA-4A9F-89F7-FC204ABFA882}" name="HW4" dataDxfId="64"/>
    <tableColumn id="6" xr3:uid="{3BD894A0-1AFC-46CC-939B-1853DD316F52}" name="HW5" dataDxfId="63"/>
    <tableColumn id="9" xr3:uid="{695658B4-75D9-470D-9C84-3EB48B269B5A}" name="TOPLAM" dataDxfId="62">
      <calculatedColumnFormula>SUM(Tablo163719[[#This Row],[HW1]:[HW5]])</calculatedColumnFormula>
    </tableColumn>
    <tableColumn id="10" xr3:uid="{08FA5A4C-1527-497F-A5C4-2D360F0F0338}" name="TOTAL DÇ" dataDxfId="61">
      <calculatedColumnFormula>SUM([1]!Tablo17[DÇ1])/(30*E32)</calculatedColumnFormula>
    </tableColumn>
    <tableColumn id="11" xr3:uid="{13E53791-62ED-421B-8A27-ABA42EFCA11A}" name="CONTRIBUTION" dataDxfId="60">
      <calculatedColumnFormula>$J38*Tablo415[[#This Row],[DERS ÇIKTISI KATSAYISI]]</calculatedColumnFormula>
    </tableColumn>
  </tableColumns>
  <tableStyleInfo name="TableStyleMedium1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BDE929B-D057-4C43-9377-E6A710FAFE85}" name="Tablo11" displayName="Tablo11" ref="C44:H45" totalsRowShown="0" headerRowDxfId="59" dataDxfId="58">
  <autoFilter ref="C44:H45" xr:uid="{2BDE929B-D057-4C43-9377-E6A710FAFE85}"/>
  <tableColumns count="6">
    <tableColumn id="1" xr3:uid="{4619891E-FB15-48A3-AF65-35A67F24290E}" name="HW1" dataDxfId="57"/>
    <tableColumn id="2" xr3:uid="{850346FC-41C5-47EA-8002-CFF0DD432294}" name="HW2" dataDxfId="56"/>
    <tableColumn id="3" xr3:uid="{4496BBA3-9928-40A0-B638-439EEEA574B7}" name="HW3" dataDxfId="55"/>
    <tableColumn id="4" xr3:uid="{F5A4AB8A-17A7-4926-BD21-651ACF431202}" name="HW4" dataDxfId="54"/>
    <tableColumn id="5" xr3:uid="{2F0155A1-0661-466F-BAB1-0D774B1BC48B}" name="HW5" dataDxfId="53"/>
    <tableColumn id="6" xr3:uid="{989E72B1-C0DD-4BC8-8AC6-2A93D256751F}" name="TOTAL" dataDxfId="52">
      <calculatedColumnFormula>SUM(C45,D45,E45,F45,G45)</calculatedColumnFormula>
    </tableColumn>
  </tableColumns>
  <tableStyleInfo name="TableStyleMedium1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6A97C05-C6F1-40C8-95FE-DD5ACDE6EB74}" name="Tablo314" displayName="Tablo314" ref="C4:Y34" totalsRowShown="0" headerRowDxfId="29" tableBorderDxfId="28">
  <autoFilter ref="C4:Y34" xr:uid="{36A97C05-C6F1-40C8-95FE-DD5ACDE6EB74}"/>
  <sortState xmlns:xlrd2="http://schemas.microsoft.com/office/spreadsheetml/2017/richdata2" ref="C5:Y34">
    <sortCondition ref="T4:T34"/>
  </sortState>
  <tableColumns count="23">
    <tableColumn id="1" xr3:uid="{7CCF7C64-C745-4103-91FE-CDEAF0C85B1B}" name="Student No" dataDxfId="27"/>
    <tableColumn id="2" xr3:uid="{555BED64-9D3F-42D5-B8B9-960C1A6CA24D}" name="Name" dataDxfId="26"/>
    <tableColumn id="3" xr3:uid="{F91266A2-7704-4D47-9B4C-FD2FFE63BB70}" name="Surname" dataDxfId="25"/>
    <tableColumn id="4" xr3:uid="{B5D579D0-1373-4BEA-9F75-F1D40FB1E069}" name="LW1"/>
    <tableColumn id="5" xr3:uid="{AD058B0E-41D0-4FD3-99FE-8D3239451C0A}" name="LW2"/>
    <tableColumn id="6" xr3:uid="{68EA088C-3903-4B7A-8F64-DA81DEEE804C}" name="LW3"/>
    <tableColumn id="7" xr3:uid="{D70C5E3A-2388-471A-BD19-1A48F55138D2}" name="LW4"/>
    <tableColumn id="8" xr3:uid="{93F3414A-6609-484B-94A8-3DD7899AA54C}" name="LW5"/>
    <tableColumn id="9" xr3:uid="{9E174EC3-28CB-4A63-9D27-5A4BD6CE97FC}" name="LW6"/>
    <tableColumn id="10" xr3:uid="{1DF6983E-74A6-4AEB-926D-5BA8D7EC002A}" name="LW7"/>
    <tableColumn id="11" xr3:uid="{222C0582-B98A-4BAF-867F-2F59A4F494B0}" name="LW8"/>
    <tableColumn id="12" xr3:uid="{069D232B-6FF0-4FED-8F15-DE15872723F3}" name="LW9"/>
    <tableColumn id="13" xr3:uid="{CD779B49-B070-44E2-A5A4-C9EEBBE7B1E4}" name="LW10"/>
    <tableColumn id="14" xr3:uid="{A7159527-54C2-45E4-BF5C-27C0384879F8}" name="LW11"/>
    <tableColumn id="15" xr3:uid="{A68B9933-3EE3-4FD2-808A-3A070C35BCE4}" name="LW12"/>
    <tableColumn id="16" xr3:uid="{CE28C3CA-723A-424F-BBAB-1A5AEA06D677}" name="LW13"/>
    <tableColumn id="17" xr3:uid="{C41DDA98-1769-4B56-A292-B5A0605D0014}" name="LW14"/>
    <tableColumn id="18" xr3:uid="{FCA2B517-69F5-4A9B-A933-858C55C8D2DB}" name="TOTAL" dataDxfId="24">
      <calculatedColumnFormula>SUM(Tablo314[[#This Row],[LW1]:[LW14]])</calculatedColumnFormula>
    </tableColumn>
    <tableColumn id="19" xr3:uid="{A89E18E3-574B-48BB-AAAD-E28BB3536731}" name="DÇ1" dataDxfId="23">
      <calculatedColumnFormula array="1">F5/Tablo27[LW1]*$C$37+Tablo314[[#This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calculatedColumnFormula>
    </tableColumn>
    <tableColumn id="20" xr3:uid="{2C7F4145-D551-4D50-A6D4-52BA76389F82}" name="DÇ2" dataDxfId="22">
      <calculatedColumnFormula array="1">F5/Tablo27[LW1]*$C$38+Tablo314[[#This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calculatedColumnFormula>
    </tableColumn>
    <tableColumn id="21" xr3:uid="{B48A68B7-D077-4C3D-ADBD-E2F8C73A9F92}" name="DÇ3" dataDxfId="21">
      <calculatedColumnFormula array="1">F5/Tablo27[LW1]*$C$39+Tablo314[[#This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calculatedColumnFormula>
    </tableColumn>
    <tableColumn id="22" xr3:uid="{AE1D948D-377C-437E-9E44-542572718780}" name="DÇ4" dataDxfId="20">
      <calculatedColumnFormula array="1">F5/Tablo27[LW1]*$C$40+Tablo314[[#This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calculatedColumnFormula>
    </tableColumn>
    <tableColumn id="23" xr3:uid="{7E493823-9284-4B28-8E0D-83093029F718}" name="TOTAL2" dataDxfId="19">
      <calculatedColumnFormula>SUM(Tablo314[[#This Row],[DÇ1]],Tablo314[[#This Row],[DÇ2]],Tablo314[[#This Row],[DÇ3]],Tablo314[[#This Row],[DÇ4]])</calculatedColumnFormula>
    </tableColumn>
  </tableColumns>
  <tableStyleInfo name="TableStyleMedium1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E2601C9-B677-4A0F-9C17-A5847E3522D9}" name="Tablo41525" displayName="Tablo41525" ref="B45:E49" totalsRowShown="0">
  <autoFilter ref="B45:E49" xr:uid="{EE2601C9-B677-4A0F-9C17-A5847E3522D9}"/>
  <tableColumns count="4">
    <tableColumn id="1" xr3:uid="{31C9DBE0-F6E8-4DE8-985B-17C4ABB31568}" name="DERS ÇIKTILARI" dataDxfId="18"/>
    <tableColumn id="2" xr3:uid="{B47109F4-39E1-4B0B-83F8-E4334F6BD687}" name="DERS ÇIKTISI ADI"/>
    <tableColumn id="3" xr3:uid="{AC418920-D047-41E9-9586-DFA41697FA36}" name="DERS ÇIKTISI KATSAYISI" dataDxfId="17">
      <calculatedColumnFormula>[1]MAIN!AI3</calculatedColumnFormula>
    </tableColumn>
    <tableColumn id="4" xr3:uid="{F66BA8EB-35E4-43D2-BA9F-8F126E361EA3}" name="KALAN KATSAYI" dataDxfId="16">
      <calculatedColumnFormula>Tablo41525[[#This Row],[DERS ÇIKTISI KATSAYISI]]-Q37</calculatedColumnFormula>
    </tableColumn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76E97BB-39A5-4EB0-BF7C-738C7F6467BF}" name="Tablo26" displayName="Tablo26" ref="B36:S40" totalsRowShown="0" headerRowDxfId="15">
  <autoFilter ref="B36:S40" xr:uid="{176E97BB-39A5-4EB0-BF7C-738C7F6467BF}"/>
  <tableColumns count="18">
    <tableColumn id="1" xr3:uid="{901EBD56-1F0D-4099-A1A5-0E4D703C30BC}" name="Ders Çıktıları"/>
    <tableColumn id="2" xr3:uid="{539EEFAB-B329-449B-9F8D-7D18A748161E}" name="LW1"/>
    <tableColumn id="3" xr3:uid="{2A6D999F-070D-40EF-A470-2BB7EDB19A03}" name="LW2"/>
    <tableColumn id="4" xr3:uid="{CD7F7A0B-E945-48D9-BD92-851CC3727415}" name="LW3"/>
    <tableColumn id="5" xr3:uid="{5954FB00-2D10-4839-96E4-EE7E4D64A1C9}" name="LW4"/>
    <tableColumn id="6" xr3:uid="{3B8BC8ED-7626-42DB-B635-92B9DEA195AB}" name="LW5"/>
    <tableColumn id="7" xr3:uid="{8F4170CC-04CC-4D1F-A3E9-60E6436AAF13}" name="LW6"/>
    <tableColumn id="8" xr3:uid="{994924E0-2D9B-4490-A9AE-C02DF70597DF}" name="LW7"/>
    <tableColumn id="9" xr3:uid="{AF8A5179-7B9E-4D15-9DC7-3ECB504B0E5B}" name="LW8"/>
    <tableColumn id="10" xr3:uid="{711FC59F-9F2D-43E6-8A21-9FE3D7F1D280}" name="LW9"/>
    <tableColumn id="11" xr3:uid="{0F9A7B0E-2D54-42BB-AD9A-9FF3873F57DC}" name="LW10"/>
    <tableColumn id="12" xr3:uid="{45DF7A83-5B81-481F-8010-39BF2A3EBC03}" name="LW11"/>
    <tableColumn id="13" xr3:uid="{EE79A907-8471-42DA-A086-183E9969153B}" name="LW12"/>
    <tableColumn id="14" xr3:uid="{F40B7273-10E1-4248-BEE4-E92B4BDA7764}" name="LW13"/>
    <tableColumn id="15" xr3:uid="{78D0A2A8-FAA6-4F2D-9184-BE971941DB92}" name="LW14"/>
    <tableColumn id="16" xr3:uid="{08DE50BC-F8BE-4BB0-ACE7-7D0AAEBCEC96}" name="TOPLAM" dataDxfId="14">
      <calculatedColumnFormula>SUM(Tablo26[[#This Row],[LW1]:[LW14]])</calculatedColumnFormula>
    </tableColumn>
    <tableColumn id="17" xr3:uid="{EE7177C9-46D0-4A36-A684-E1920A9F8E2B}" name="TOTAL DÇ" dataDxfId="13">
      <calculatedColumnFormula>IF(Q37=0,"0",SUM([1]!Tablo314[DÇ1])/(30*D46))</calculatedColumnFormula>
    </tableColumn>
    <tableColumn id="18" xr3:uid="{8870523E-7C74-4087-B7FF-8CC933BD1805}" name="CONTRIBUTION" dataDxfId="12">
      <calculatedColumnFormula>Tablo26[[#This Row],[TOTAL DÇ]]*D46</calculatedColumnFormula>
    </tableColumn>
  </tableColumns>
  <tableStyleInfo name="TableStyleMedium1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4778D12-B784-4605-B2BC-C12AF662E3DF}" name="Tablo27" displayName="Tablo27" ref="B42:Q43" totalsRowShown="0">
  <autoFilter ref="B42:Q43" xr:uid="{34778D12-B784-4605-B2BC-C12AF662E3DF}"/>
  <tableColumns count="16">
    <tableColumn id="1" xr3:uid="{79B199A1-205D-47C4-AB4D-A2136F967622}" name="-"/>
    <tableColumn id="2" xr3:uid="{66A94A9A-3E9B-48BA-AF3A-6BB30C0E2A02}" name="LW1"/>
    <tableColumn id="3" xr3:uid="{3642BD62-6B45-4789-A03A-41368470CA23}" name="LW2"/>
    <tableColumn id="4" xr3:uid="{914102CA-61F0-4074-8B69-8B8F0A3C2897}" name="LW3"/>
    <tableColumn id="5" xr3:uid="{D4D5F595-B0FD-4ECD-8040-9602C8422439}" name="LW4"/>
    <tableColumn id="6" xr3:uid="{9C6FA73C-02A8-463D-8F6A-013F1B9A0A73}" name="LW5" dataDxfId="11"/>
    <tableColumn id="7" xr3:uid="{B27C3697-E329-48B7-B0A4-35B308DD10ED}" name="LW6" dataDxfId="10"/>
    <tableColumn id="8" xr3:uid="{65836DF3-243D-4672-97DD-4287F26ABD88}" name="LW7" dataDxfId="9"/>
    <tableColumn id="9" xr3:uid="{9731EE0B-FE38-42CB-B379-60568E9CDBFA}" name="LW8" dataDxfId="8"/>
    <tableColumn id="10" xr3:uid="{85091CE6-E96F-4D06-A48E-4E1B380F7F1E}" name="LW9" dataDxfId="7"/>
    <tableColumn id="11" xr3:uid="{48BB9258-D2FA-4ECE-A888-C7F3BE4C6783}" name="LW10" dataDxfId="6"/>
    <tableColumn id="12" xr3:uid="{77CCF531-8412-475D-996A-4C66ACDBF242}" name="LW11" dataDxfId="5"/>
    <tableColumn id="13" xr3:uid="{C807C439-6B84-4208-963F-F41BC2AF6631}" name="LW12" dataDxfId="4"/>
    <tableColumn id="14" xr3:uid="{A0884298-D1BD-4B74-9C6C-9061C4E3F9F0}" name="LW13" dataDxfId="3"/>
    <tableColumn id="15" xr3:uid="{2F180B5C-669C-4B8F-B226-DFB094423905}" name="LW14"/>
    <tableColumn id="16" xr3:uid="{DF428218-F821-43D4-B8D4-32709B3DFA91}" name="TOPLAM">
      <calculatedColumnFormula>SUM(Tablo27[[#This Row],[LW1]:[LW14]])</calculatedColumnFormula>
    </tableColumn>
  </tableColumns>
  <tableStyleInfo name="TableStyleMedium1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BBB2F29-5D48-4C18-BBD8-381721B0C4D9}" name="Tablo28" displayName="Tablo28" ref="Z4:Z34" totalsRowShown="0" headerRowDxfId="2">
  <autoFilter ref="Z4:Z34" xr:uid="{1BBB2F29-5D48-4C18-BBD8-381721B0C4D9}"/>
  <tableColumns count="1">
    <tableColumn id="1" xr3:uid="{A181EAE4-A877-4B2D-8017-6D1A3D6348EF}" name="Normal Dist." dataDxfId="1">
      <calculatedColumnFormula array="1">_xlfn.NORM.DIST(Tablo314[[#This Row],[TOTAL]],Tablo29[Mean],Tablo29[Variance],FALSE)</calculatedColumnFormula>
    </tableColumn>
  </tableColumns>
  <tableStyleInfo name="TableStyleMedium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F44C8D2-2E81-4CA8-887D-15EFC55EA720}" name="Tablo29" displayName="Tablo29" ref="X36:Y37" totalsRowShown="0" headerRowDxfId="0">
  <autoFilter ref="X36:Y37" xr:uid="{EF44C8D2-2E81-4CA8-887D-15EFC55EA720}"/>
  <tableColumns count="2">
    <tableColumn id="1" xr3:uid="{FED39C44-B8EA-4941-807E-C7BA4B787E38}" name="Mean">
      <calculatedColumnFormula>AVERAGE(Tablo314[TOTAL])</calculatedColumnFormula>
    </tableColumn>
    <tableColumn id="2" xr3:uid="{49A5C11C-FA2D-4B9B-8F1D-E3C191CBCD4C}" name="Variance">
      <calculatedColumnFormula>_xlfn.VAR.P(Tablo314[TOTAL])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Relationship Id="rId9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2.xml"/><Relationship Id="rId3" Type="http://schemas.openxmlformats.org/officeDocument/2006/relationships/table" Target="../tables/table27.xml"/><Relationship Id="rId7" Type="http://schemas.openxmlformats.org/officeDocument/2006/relationships/table" Target="../tables/table3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Relationship Id="rId9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zoomScale="55" zoomScaleNormal="55" workbookViewId="0">
      <selection activeCell="H19" sqref="H19"/>
    </sheetView>
  </sheetViews>
  <sheetFormatPr defaultColWidth="8.5546875" defaultRowHeight="14.4" x14ac:dyDescent="0.3"/>
  <cols>
    <col min="1" max="1" width="16.109375" style="2" customWidth="1"/>
    <col min="2" max="2" width="16.44140625" customWidth="1"/>
    <col min="3" max="3" width="15.6640625" customWidth="1"/>
    <col min="4" max="4" width="18.21875" customWidth="1"/>
    <col min="5" max="5" width="15.21875" bestFit="1" customWidth="1"/>
    <col min="6" max="6" width="12.44140625" bestFit="1" customWidth="1"/>
    <col min="7" max="7" width="13.33203125" bestFit="1" customWidth="1"/>
    <col min="8" max="8" width="18.33203125" style="2" customWidth="1"/>
    <col min="9" max="9" width="16.88671875" style="23" bestFit="1" customWidth="1"/>
    <col min="10" max="10" width="17.33203125" customWidth="1"/>
    <col min="11" max="11" width="15" bestFit="1" customWidth="1"/>
    <col min="12" max="13" width="16.88671875" bestFit="1" customWidth="1"/>
    <col min="14" max="14" width="18.21875" bestFit="1" customWidth="1"/>
    <col min="15" max="15" width="15.6640625" bestFit="1" customWidth="1"/>
    <col min="16" max="16" width="15.21875" bestFit="1" customWidth="1"/>
    <col min="17" max="17" width="12.44140625" bestFit="1" customWidth="1"/>
    <col min="18" max="18" width="18.33203125" bestFit="1" customWidth="1"/>
    <col min="19" max="19" width="19.6640625" bestFit="1" customWidth="1"/>
    <col min="20" max="20" width="14.88671875" bestFit="1" customWidth="1"/>
  </cols>
  <sheetData>
    <row r="1" spans="1:24" ht="33.6" x14ac:dyDescent="0.3">
      <c r="A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thickBot="1" x14ac:dyDescent="0.35">
      <c r="B2" s="3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4" t="s">
        <v>10</v>
      </c>
      <c r="L2" s="7" t="s">
        <v>11</v>
      </c>
    </row>
    <row r="3" spans="1:24" ht="15.6" thickTop="1" x14ac:dyDescent="0.3">
      <c r="B3" s="8">
        <v>1</v>
      </c>
      <c r="C3" s="9">
        <v>1</v>
      </c>
      <c r="D3" s="10" t="s">
        <v>3</v>
      </c>
      <c r="E3" s="10" t="s">
        <v>4</v>
      </c>
      <c r="F3" s="2">
        <f>VLOOKUP(Tablo1[[#This Row],[Student No]],[1]!Tablo17[[STUDENT ID]:[TOTAL GRADE]],11,FALSE)</f>
        <v>0</v>
      </c>
      <c r="G3" s="2">
        <f>VLOOKUP(Tablo1[[#This Row],[Student No]],[1]!Tablo1738[[STUDENT ID]:[TOTAL GRADE]],11,FALSE)</f>
        <v>0</v>
      </c>
      <c r="H3" s="11">
        <f>VLOOKUP(Tablo1[[#This Row],[Student No]],[1]!Tablo3[[Student No]:[TOTAL]],9,FALSE)</f>
        <v>5.6</v>
      </c>
      <c r="I3" s="11">
        <f>VLOOKUP(Tablo1[[#This Row],[Student No]],[1]!Tablo314[[Student No]:[TOTAL]],18,FALSE)</f>
        <v>35</v>
      </c>
      <c r="J3" s="12">
        <f t="shared" ref="J3:J32" si="0">F3*$O$21%*100/$P$21+G3*$O$22%*100/$P$22+H3*$O$19%*100/$P$19+I3*$O$20%*100/$P$20</f>
        <v>7.56</v>
      </c>
      <c r="K3" s="2" t="str" cm="1">
        <f t="array" ref="K3">_xlfn.IFS(AND(J3&gt;$O$6,J3&lt;$P$6),"AA",AND(J3&gt;$O$7,J3&lt;$P$7),"AB",AND(J3&gt;$O$8,J3&lt;$P$8),"BB",AND(J3&gt;$O$9,J3&lt;$P$9),"CB",AND(J3&gt;$O$10,J3&lt;$P$10),"CC",AND(J3&gt;$O$11,J3&lt;$P$11),"DC",AND(J3&gt;$O$12,J3&lt;$P$12),"DD",AND(J3&gt;$O$13,J3&lt;$P$13),"FD",AND(J3&gt;$O$14,J3&lt;$P$14),"FF")</f>
        <v>FF</v>
      </c>
      <c r="L3" s="7">
        <f t="shared" ref="L3:L32" si="1">_xlfn.NORM.DIST(J3,$S$31,$T$31,FALSE)</f>
        <v>2.5835198658602518E-3</v>
      </c>
    </row>
    <row r="4" spans="1:24" ht="15" x14ac:dyDescent="0.3">
      <c r="B4" s="13">
        <v>2</v>
      </c>
      <c r="C4" s="9">
        <v>2</v>
      </c>
      <c r="D4" s="14" t="s">
        <v>3</v>
      </c>
      <c r="E4" s="10" t="s">
        <v>4</v>
      </c>
      <c r="F4" s="2">
        <f>VLOOKUP(Tablo1[[#This Row],[Student No]],[1]!Tablo17[[STUDENT ID]:[TOTAL GRADE]],11,FALSE)</f>
        <v>0</v>
      </c>
      <c r="G4" s="2">
        <f>VLOOKUP(Tablo1[[#This Row],[Student No]],[1]!Tablo1738[[STUDENT ID]:[TOTAL GRADE]],11,FALSE)</f>
        <v>0</v>
      </c>
      <c r="H4" s="11">
        <f>VLOOKUP(Tablo1[[#This Row],[Student No]],[1]!Tablo3[[Student No]:[TOTAL]],9,FALSE)</f>
        <v>6</v>
      </c>
      <c r="I4" s="11">
        <f>VLOOKUP(Tablo1[[#This Row],[Student No]],[1]!Tablo314[[Student No]:[TOTAL]],18,FALSE)</f>
        <v>35</v>
      </c>
      <c r="J4" s="12">
        <f t="shared" si="0"/>
        <v>7.6</v>
      </c>
      <c r="K4" s="2" t="str" cm="1">
        <f t="array" ref="K4">_xlfn.IFS(AND(J4&gt;$O$6,J4&lt;$P$6),"AA",AND(J4&gt;$O$7,J4&lt;$P$7),"AB",AND(J4&gt;$O$8,J4&lt;$P$8),"BB",AND(J4&gt;$O$9,J4&lt;$P$9),"CB",AND(J4&gt;$O$10,J4&lt;$P$10),"CC",AND(J4&gt;$O$11,J4&lt;$P$11),"DC",AND(J4&gt;$O$12,J4&lt;$P$12),"DD",AND(J4&gt;$O$13,J4&lt;$P$13),"FD",AND(J4&gt;$O$14,J4&lt;$P$14),"FF")</f>
        <v>FF</v>
      </c>
      <c r="L4" s="7">
        <f t="shared" si="1"/>
        <v>2.6004063125194665E-3</v>
      </c>
      <c r="N4" s="15" t="s">
        <v>12</v>
      </c>
      <c r="O4" s="15"/>
      <c r="P4" s="15"/>
    </row>
    <row r="5" spans="1:24" ht="15" x14ac:dyDescent="0.3">
      <c r="B5" s="8">
        <v>3</v>
      </c>
      <c r="C5" s="9">
        <v>3</v>
      </c>
      <c r="D5" s="14" t="s">
        <v>3</v>
      </c>
      <c r="E5" s="10" t="s">
        <v>4</v>
      </c>
      <c r="F5" s="2">
        <f>VLOOKUP(Tablo1[[#This Row],[Student No]],[1]!Tablo17[[STUDENT ID]:[TOTAL GRADE]],11,FALSE)</f>
        <v>0</v>
      </c>
      <c r="G5" s="2">
        <f>VLOOKUP(Tablo1[[#This Row],[Student No]],[1]!Tablo1738[[STUDENT ID]:[TOTAL GRADE]],11,FALSE)</f>
        <v>0</v>
      </c>
      <c r="H5" s="11">
        <f>VLOOKUP(Tablo1[[#This Row],[Student No]],[1]!Tablo3[[Student No]:[TOTAL]],9,FALSE)</f>
        <v>4.2</v>
      </c>
      <c r="I5" s="11">
        <f>VLOOKUP(Tablo1[[#This Row],[Student No]],[1]!Tablo314[[Student No]:[TOTAL]],18,FALSE)</f>
        <v>40</v>
      </c>
      <c r="J5" s="12">
        <f t="shared" si="0"/>
        <v>8.42</v>
      </c>
      <c r="K5" s="2" t="str" cm="1">
        <f t="array" ref="K5">_xlfn.IFS(AND(J5&gt;$O$6,J5&lt;$P$6),"AA",AND(J5&gt;$O$7,J5&lt;$P$7),"AB",AND(J5&gt;$O$8,J5&lt;$P$8),"BB",AND(J5&gt;$O$9,J5&lt;$P$9),"CB",AND(J5&gt;$O$10,J5&lt;$P$10),"CC",AND(J5&gt;$O$11,J5&lt;$P$11),"DC",AND(J5&gt;$O$12,J5&lt;$P$12),"DD",AND(J5&gt;$O$13,J5&lt;$P$13),"FD",AND(J5&gt;$O$14,J5&lt;$P$14),"FF")</f>
        <v>FF</v>
      </c>
      <c r="L5" s="7">
        <f t="shared" si="1"/>
        <v>2.966255095607051E-3</v>
      </c>
      <c r="N5" t="s">
        <v>13</v>
      </c>
      <c r="O5" t="s">
        <v>14</v>
      </c>
      <c r="P5" t="s">
        <v>15</v>
      </c>
    </row>
    <row r="6" spans="1:24" ht="15" x14ac:dyDescent="0.3">
      <c r="B6" s="13">
        <v>4</v>
      </c>
      <c r="C6" s="9">
        <v>30</v>
      </c>
      <c r="D6" s="10" t="s">
        <v>3</v>
      </c>
      <c r="E6" s="10" t="s">
        <v>4</v>
      </c>
      <c r="F6" s="2">
        <f>VLOOKUP(Tablo1[[#This Row],[Student No]],[1]!Tablo17[[STUDENT ID]:[TOTAL GRADE]],11,FALSE)</f>
        <v>17</v>
      </c>
      <c r="G6" s="2">
        <f>VLOOKUP(Tablo1[[#This Row],[Student No]],[1]!Tablo1738[[STUDENT ID]:[TOTAL GRADE]],11,FALSE)</f>
        <v>17</v>
      </c>
      <c r="H6" s="11">
        <f>VLOOKUP(Tablo1[[#This Row],[Student No]],[1]!Tablo3[[Student No]:[TOTAL]],9,FALSE)</f>
        <v>5.8</v>
      </c>
      <c r="I6" s="11">
        <f>VLOOKUP(Tablo1[[#This Row],[Student No]],[1]!Tablo314[[Student No]:[TOTAL]],18,FALSE)</f>
        <v>45</v>
      </c>
      <c r="J6" s="12">
        <f t="shared" si="0"/>
        <v>21.48</v>
      </c>
      <c r="K6" s="2" t="str" cm="1">
        <f t="array" ref="K6">_xlfn.IFS(AND(J6&gt;$O$6,J6&lt;$P$6),"AA",AND(J6&gt;$O$7,J6&lt;$P$7),"AB",AND(J6&gt;$O$8,J6&lt;$P$8),"BB",AND(J6&gt;$O$9,J6&lt;$P$9),"CB",AND(J6&gt;$O$10,J6&lt;$P$10),"CC",AND(J6&gt;$O$11,J6&lt;$P$11),"DC",AND(J6&gt;$O$12,J6&lt;$P$12),"DD",AND(J6&gt;$O$13,J6&lt;$P$13),"FD",AND(J6&gt;$O$14,J6&lt;$P$14),"FF")</f>
        <v>FF</v>
      </c>
      <c r="L6" s="7">
        <f t="shared" si="1"/>
        <v>1.4720569026309553E-2</v>
      </c>
      <c r="N6" t="s">
        <v>16</v>
      </c>
      <c r="O6" s="12">
        <v>90</v>
      </c>
      <c r="P6" s="12">
        <v>100</v>
      </c>
    </row>
    <row r="7" spans="1:24" ht="15" x14ac:dyDescent="0.3">
      <c r="B7" s="8">
        <v>5</v>
      </c>
      <c r="C7" s="9">
        <v>29</v>
      </c>
      <c r="D7" s="10" t="s">
        <v>3</v>
      </c>
      <c r="E7" s="10" t="s">
        <v>4</v>
      </c>
      <c r="F7" s="2">
        <f>VLOOKUP(Tablo1[[#This Row],[Student No]],[1]!Tablo17[[STUDENT ID]:[TOTAL GRADE]],11,FALSE)</f>
        <v>21</v>
      </c>
      <c r="G7" s="2">
        <f>VLOOKUP(Tablo1[[#This Row],[Student No]],[1]!Tablo1738[[STUDENT ID]:[TOTAL GRADE]],11,FALSE)</f>
        <v>21</v>
      </c>
      <c r="H7" s="11">
        <f>VLOOKUP(Tablo1[[#This Row],[Student No]],[1]!Tablo3[[Student No]:[TOTAL]],9,FALSE)</f>
        <v>4.2</v>
      </c>
      <c r="I7" s="11">
        <f>VLOOKUP(Tablo1[[#This Row],[Student No]],[1]!Tablo314[[Student No]:[TOTAL]],18,FALSE)</f>
        <v>47</v>
      </c>
      <c r="J7" s="12">
        <f t="shared" si="0"/>
        <v>24.52</v>
      </c>
      <c r="K7" s="2" t="str" cm="1">
        <f t="array" ref="K7">_xlfn.IFS(AND(J7&gt;$O$6,J7&lt;$P$6),"AA",AND(J7&gt;$O$7,J7&lt;$P$7),"AB",AND(J7&gt;$O$8,J7&lt;$P$8),"BB",AND(J7&gt;$O$9,J7&lt;$P$9),"CB",AND(J7&gt;$O$10,J7&lt;$P$10),"CC",AND(J7&gt;$O$11,J7&lt;$P$11),"DC",AND(J7&gt;$O$12,J7&lt;$P$12),"DD",AND(J7&gt;$O$13,J7&lt;$P$13),"FD",AND(J7&gt;$O$14,J7&lt;$P$14),"FF")</f>
        <v>FF</v>
      </c>
      <c r="L7" s="7">
        <f t="shared" si="1"/>
        <v>1.8701540010571848E-2</v>
      </c>
      <c r="N7" t="s">
        <v>17</v>
      </c>
      <c r="O7" s="12">
        <v>85</v>
      </c>
      <c r="P7" s="12">
        <v>90</v>
      </c>
    </row>
    <row r="8" spans="1:24" ht="15" x14ac:dyDescent="0.3">
      <c r="B8" s="13">
        <v>6</v>
      </c>
      <c r="C8" s="9">
        <v>28</v>
      </c>
      <c r="D8" s="10" t="s">
        <v>3</v>
      </c>
      <c r="E8" s="10" t="s">
        <v>4</v>
      </c>
      <c r="F8" s="2">
        <f>VLOOKUP(Tablo1[[#This Row],[Student No]],[1]!Tablo17[[STUDENT ID]:[TOTAL GRADE]],11,FALSE)</f>
        <v>22</v>
      </c>
      <c r="G8" s="2">
        <f>VLOOKUP(Tablo1[[#This Row],[Student No]],[1]!Tablo1738[[STUDENT ID]:[TOTAL GRADE]],11,FALSE)</f>
        <v>22</v>
      </c>
      <c r="H8" s="11">
        <f>VLOOKUP(Tablo1[[#This Row],[Student No]],[1]!Tablo3[[Student No]:[TOTAL]],9,FALSE)</f>
        <v>5</v>
      </c>
      <c r="I8" s="11">
        <f>VLOOKUP(Tablo1[[#This Row],[Student No]],[1]!Tablo314[[Student No]:[TOTAL]],18,FALSE)</f>
        <v>58</v>
      </c>
      <c r="J8" s="12">
        <f t="shared" si="0"/>
        <v>27.5</v>
      </c>
      <c r="K8" s="2" t="str" cm="1">
        <f t="array" ref="K8">_xlfn.IFS(AND(J8&gt;$O$6,J8&lt;$P$6),"AA",AND(J8&gt;$O$7,J8&lt;$P$7),"AB",AND(J8&gt;$O$8,J8&lt;$P$8),"BB",AND(J8&gt;$O$9,J8&lt;$P$9),"CB",AND(J8&gt;$O$10,J8&lt;$P$10),"CC",AND(J8&gt;$O$11,J8&lt;$P$11),"DC",AND(J8&gt;$O$12,J8&lt;$P$12),"DD",AND(J8&gt;$O$13,J8&lt;$P$13),"FD",AND(J8&gt;$O$14,J8&lt;$P$14),"FF")</f>
        <v>FF</v>
      </c>
      <c r="L8" s="7">
        <f t="shared" si="1"/>
        <v>2.2517649931579547E-2</v>
      </c>
      <c r="N8" t="s">
        <v>18</v>
      </c>
      <c r="O8" s="12">
        <v>80</v>
      </c>
      <c r="P8" s="12">
        <v>85</v>
      </c>
    </row>
    <row r="9" spans="1:24" ht="15" x14ac:dyDescent="0.3">
      <c r="B9" s="8">
        <v>7</v>
      </c>
      <c r="C9" s="9">
        <v>27</v>
      </c>
      <c r="D9" s="10" t="s">
        <v>3</v>
      </c>
      <c r="E9" s="10" t="s">
        <v>4</v>
      </c>
      <c r="F9" s="2">
        <f>VLOOKUP(Tablo1[[#This Row],[Student No]],[1]!Tablo17[[STUDENT ID]:[TOTAL GRADE]],11,FALSE)</f>
        <v>24</v>
      </c>
      <c r="G9" s="2">
        <f>VLOOKUP(Tablo1[[#This Row],[Student No]],[1]!Tablo1738[[STUDENT ID]:[TOTAL GRADE]],11,FALSE)</f>
        <v>24</v>
      </c>
      <c r="H9" s="11">
        <f>VLOOKUP(Tablo1[[#This Row],[Student No]],[1]!Tablo3[[Student No]:[TOTAL]],9,FALSE)</f>
        <v>4</v>
      </c>
      <c r="I9" s="11">
        <f>VLOOKUP(Tablo1[[#This Row],[Student No]],[1]!Tablo314[[Student No]:[TOTAL]],18,FALSE)</f>
        <v>55</v>
      </c>
      <c r="J9" s="12">
        <f t="shared" si="0"/>
        <v>28.2</v>
      </c>
      <c r="K9" s="2" t="str" cm="1">
        <f t="array" ref="K9">_xlfn.IFS(AND(J9&gt;$O$6,J9&lt;$P$6),"AA",AND(J9&gt;$O$7,J9&lt;$P$7),"AB",AND(J9&gt;$O$8,J9&lt;$P$8),"BB",AND(J9&gt;$O$9,J9&lt;$P$9),"CB",AND(J9&gt;$O$10,J9&lt;$P$10),"CC",AND(J9&gt;$O$11,J9&lt;$P$11),"DC",AND(J9&gt;$O$12,J9&lt;$P$12),"DD",AND(J9&gt;$O$13,J9&lt;$P$13),"FD",AND(J9&gt;$O$14,J9&lt;$P$14),"FF")</f>
        <v>FF</v>
      </c>
      <c r="L9" s="7">
        <f t="shared" si="1"/>
        <v>2.3356865475674778E-2</v>
      </c>
      <c r="N9" t="s">
        <v>19</v>
      </c>
      <c r="O9" s="12">
        <v>75</v>
      </c>
      <c r="P9" s="12">
        <v>80</v>
      </c>
    </row>
    <row r="10" spans="1:24" ht="15" x14ac:dyDescent="0.3">
      <c r="B10" s="13">
        <v>8</v>
      </c>
      <c r="C10" s="9">
        <v>26</v>
      </c>
      <c r="D10" s="10" t="s">
        <v>3</v>
      </c>
      <c r="E10" s="10" t="s">
        <v>4</v>
      </c>
      <c r="F10" s="2">
        <f>VLOOKUP(Tablo1[[#This Row],[Student No]],[1]!Tablo17[[STUDENT ID]:[TOTAL GRADE]],11,FALSE)</f>
        <v>25</v>
      </c>
      <c r="G10" s="2">
        <f>VLOOKUP(Tablo1[[#This Row],[Student No]],[1]!Tablo1738[[STUDENT ID]:[TOTAL GRADE]],11,FALSE)</f>
        <v>25</v>
      </c>
      <c r="H10" s="11">
        <f>VLOOKUP(Tablo1[[#This Row],[Student No]],[1]!Tablo3[[Student No]:[TOTAL]],9,FALSE)</f>
        <v>5.2</v>
      </c>
      <c r="I10" s="11">
        <f>VLOOKUP(Tablo1[[#This Row],[Student No]],[1]!Tablo314[[Student No]:[TOTAL]],18,FALSE)</f>
        <v>59</v>
      </c>
      <c r="J10" s="12">
        <f t="shared" si="0"/>
        <v>29.82</v>
      </c>
      <c r="K10" s="2" t="str" cm="1">
        <f t="array" ref="K10">_xlfn.IFS(AND(J10&gt;$O$6,J10&lt;$P$6),"AA",AND(J10&gt;$O$7,J10&lt;$P$7),"AB",AND(J10&gt;$O$8,J10&lt;$P$8),"BB",AND(J10&gt;$O$9,J10&lt;$P$9),"CB",AND(J10&gt;$O$10,J10&lt;$P$10),"CC",AND(J10&gt;$O$11,J10&lt;$P$11),"DC",AND(J10&gt;$O$12,J10&lt;$P$12),"DD",AND(J10&gt;$O$13,J10&lt;$P$13),"FD",AND(J10&gt;$O$14,J10&lt;$P$14),"FF")</f>
        <v>FF</v>
      </c>
      <c r="L10" s="7">
        <f t="shared" si="1"/>
        <v>2.5161640685374652E-2</v>
      </c>
      <c r="N10" t="s">
        <v>20</v>
      </c>
      <c r="O10" s="12">
        <v>70</v>
      </c>
      <c r="P10" s="12">
        <v>75</v>
      </c>
    </row>
    <row r="11" spans="1:24" ht="15" x14ac:dyDescent="0.3">
      <c r="B11" s="8">
        <v>9</v>
      </c>
      <c r="C11" s="9">
        <v>25</v>
      </c>
      <c r="D11" s="10" t="s">
        <v>3</v>
      </c>
      <c r="E11" s="10" t="s">
        <v>4</v>
      </c>
      <c r="F11" s="2">
        <f>VLOOKUP(Tablo1[[#This Row],[Student No]],[1]!Tablo17[[STUDENT ID]:[TOTAL GRADE]],11,FALSE)</f>
        <v>28</v>
      </c>
      <c r="G11" s="2">
        <f>VLOOKUP(Tablo1[[#This Row],[Student No]],[1]!Tablo1738[[STUDENT ID]:[TOTAL GRADE]],11,FALSE)</f>
        <v>28</v>
      </c>
      <c r="H11" s="11">
        <f>VLOOKUP(Tablo1[[#This Row],[Student No]],[1]!Tablo3[[Student No]:[TOTAL]],9,FALSE)</f>
        <v>2.2000000000000002</v>
      </c>
      <c r="I11" s="11">
        <f>VLOOKUP(Tablo1[[#This Row],[Student No]],[1]!Tablo314[[Student No]:[TOTAL]],18,FALSE)</f>
        <v>56</v>
      </c>
      <c r="J11" s="12">
        <f t="shared" si="0"/>
        <v>31.02</v>
      </c>
      <c r="K11" s="2" t="str" cm="1">
        <f t="array" ref="K11">_xlfn.IFS(AND(J11&gt;$O$6,J11&lt;$P$6),"AA",AND(J11&gt;$O$7,J11&lt;$P$7),"AB",AND(J11&gt;$O$8,J11&lt;$P$8),"BB",AND(J11&gt;$O$9,J11&lt;$P$9),"CB",AND(J11&gt;$O$10,J11&lt;$P$10),"CC",AND(J11&gt;$O$11,J11&lt;$P$11),"DC",AND(J11&gt;$O$12,J11&lt;$P$12),"DD",AND(J11&gt;$O$13,J11&lt;$P$13),"FD",AND(J11&gt;$O$14,J11&lt;$P$14),"FF")</f>
        <v>FF</v>
      </c>
      <c r="L11" s="7">
        <f t="shared" si="1"/>
        <v>2.6343500813529274E-2</v>
      </c>
      <c r="N11" t="s">
        <v>21</v>
      </c>
      <c r="O11" s="12">
        <v>65</v>
      </c>
      <c r="P11" s="12">
        <v>70</v>
      </c>
    </row>
    <row r="12" spans="1:24" ht="15" x14ac:dyDescent="0.3">
      <c r="B12" s="13">
        <v>10</v>
      </c>
      <c r="C12" s="9">
        <v>22</v>
      </c>
      <c r="D12" s="10" t="s">
        <v>3</v>
      </c>
      <c r="E12" s="10" t="s">
        <v>4</v>
      </c>
      <c r="F12" s="2">
        <f>VLOOKUP(Tablo1[[#This Row],[Student No]],[1]!Tablo17[[STUDENT ID]:[TOTAL GRADE]],11,FALSE)</f>
        <v>36</v>
      </c>
      <c r="G12" s="2">
        <f>VLOOKUP(Tablo1[[#This Row],[Student No]],[1]!Tablo1738[[STUDENT ID]:[TOTAL GRADE]],11,FALSE)</f>
        <v>36</v>
      </c>
      <c r="H12" s="11">
        <f>VLOOKUP(Tablo1[[#This Row],[Student No]],[1]!Tablo3[[Student No]:[TOTAL]],9,FALSE)</f>
        <v>4.4000000000000004</v>
      </c>
      <c r="I12" s="11">
        <f>VLOOKUP(Tablo1[[#This Row],[Student No]],[1]!Tablo314[[Student No]:[TOTAL]],18,FALSE)</f>
        <v>42</v>
      </c>
      <c r="J12" s="12">
        <f t="shared" si="0"/>
        <v>34.040000000000006</v>
      </c>
      <c r="K12" s="2" t="str" cm="1">
        <f t="array" ref="K12">_xlfn.IFS(AND(J12&gt;$O$6,J12&lt;$P$6),"AA",AND(J12&gt;$O$7,J12&lt;$P$7),"AB",AND(J12&gt;$O$8,J12&lt;$P$8),"BB",AND(J12&gt;$O$9,J12&lt;$P$9),"CB",AND(J12&gt;$O$10,J12&lt;$P$10),"CC",AND(J12&gt;$O$11,J12&lt;$P$11),"DC",AND(J12&gt;$O$12,J12&lt;$P$12),"DD",AND(J12&gt;$O$13,J12&lt;$P$13),"FD",AND(J12&gt;$O$14,J12&lt;$P$14),"FF")</f>
        <v>FF</v>
      </c>
      <c r="L12" s="7">
        <f t="shared" si="1"/>
        <v>2.855894170296823E-2</v>
      </c>
      <c r="N12" t="s">
        <v>22</v>
      </c>
      <c r="O12" s="12">
        <v>60</v>
      </c>
      <c r="P12" s="12">
        <v>65</v>
      </c>
    </row>
    <row r="13" spans="1:24" ht="15" x14ac:dyDescent="0.3">
      <c r="B13" s="8">
        <v>11</v>
      </c>
      <c r="C13" s="9">
        <v>24</v>
      </c>
      <c r="D13" s="10" t="s">
        <v>3</v>
      </c>
      <c r="E13" s="10" t="s">
        <v>4</v>
      </c>
      <c r="F13" s="2">
        <f>VLOOKUP(Tablo1[[#This Row],[Student No]],[1]!Tablo17[[STUDENT ID]:[TOTAL GRADE]],11,FALSE)</f>
        <v>35</v>
      </c>
      <c r="G13" s="2">
        <f>VLOOKUP(Tablo1[[#This Row],[Student No]],[1]!Tablo1738[[STUDENT ID]:[TOTAL GRADE]],11,FALSE)</f>
        <v>35</v>
      </c>
      <c r="H13" s="11">
        <f>VLOOKUP(Tablo1[[#This Row],[Student No]],[1]!Tablo3[[Student No]:[TOTAL]],9,FALSE)</f>
        <v>5.6</v>
      </c>
      <c r="I13" s="11">
        <f>VLOOKUP(Tablo1[[#This Row],[Student No]],[1]!Tablo314[[Student No]:[TOTAL]],18,FALSE)</f>
        <v>57</v>
      </c>
      <c r="J13" s="12">
        <f t="shared" si="0"/>
        <v>36.46</v>
      </c>
      <c r="K13" s="2" t="str" cm="1">
        <f t="array" ref="K13">_xlfn.IFS(AND(J13&gt;$O$6,J13&lt;$P$6),"AA",AND(J13&gt;$O$7,J13&lt;$P$7),"AB",AND(J13&gt;$O$8,J13&lt;$P$8),"BB",AND(J13&gt;$O$9,J13&lt;$P$9),"CB",AND(J13&gt;$O$10,J13&lt;$P$10),"CC",AND(J13&gt;$O$11,J13&lt;$P$11),"DC",AND(J13&gt;$O$12,J13&lt;$P$12),"DD",AND(J13&gt;$O$13,J13&lt;$P$13),"FD",AND(J13&gt;$O$14,J13&lt;$P$14),"FF")</f>
        <v>FF</v>
      </c>
      <c r="L13" s="7">
        <f t="shared" si="1"/>
        <v>2.9393100692773337E-2</v>
      </c>
      <c r="N13" t="s">
        <v>23</v>
      </c>
      <c r="O13" s="12">
        <v>50</v>
      </c>
      <c r="P13" s="12">
        <v>60</v>
      </c>
    </row>
    <row r="14" spans="1:24" ht="15" x14ac:dyDescent="0.3">
      <c r="B14" s="13">
        <v>12</v>
      </c>
      <c r="C14" s="9">
        <v>17</v>
      </c>
      <c r="D14" s="10" t="s">
        <v>3</v>
      </c>
      <c r="E14" s="10" t="s">
        <v>4</v>
      </c>
      <c r="F14" s="2">
        <f>VLOOKUP(Tablo1[[#This Row],[Student No]],[1]!Tablo17[[STUDENT ID]:[TOTAL GRADE]],11,FALSE)</f>
        <v>42</v>
      </c>
      <c r="G14" s="2">
        <f>VLOOKUP(Tablo1[[#This Row],[Student No]],[1]!Tablo1738[[STUDENT ID]:[TOTAL GRADE]],11,FALSE)</f>
        <v>42</v>
      </c>
      <c r="H14" s="11">
        <f>VLOOKUP(Tablo1[[#This Row],[Student No]],[1]!Tablo3[[Student No]:[TOTAL]],9,FALSE)</f>
        <v>5</v>
      </c>
      <c r="I14" s="11">
        <f>VLOOKUP(Tablo1[[#This Row],[Student No]],[1]!Tablo314[[Student No]:[TOTAL]],18,FALSE)</f>
        <v>33</v>
      </c>
      <c r="J14" s="12">
        <f t="shared" si="0"/>
        <v>36.5</v>
      </c>
      <c r="K14" s="2" t="str" cm="1">
        <f t="array" ref="K14">_xlfn.IFS(AND(J14&gt;$O$6,J14&lt;$P$6),"AA",AND(J14&gt;$O$7,J14&lt;$P$7),"AB",AND(J14&gt;$O$8,J14&lt;$P$8),"BB",AND(J14&gt;$O$9,J14&lt;$P$9),"CB",AND(J14&gt;$O$10,J14&lt;$P$10),"CC",AND(J14&gt;$O$11,J14&lt;$P$11),"DC",AND(J14&gt;$O$12,J14&lt;$P$12),"DD",AND(J14&gt;$O$13,J14&lt;$P$13),"FD",AND(J14&gt;$O$14,J14&lt;$P$14),"FF")</f>
        <v>FF</v>
      </c>
      <c r="L14" s="7">
        <f t="shared" si="1"/>
        <v>2.9399197861535199E-2</v>
      </c>
      <c r="N14" t="s">
        <v>24</v>
      </c>
      <c r="O14" s="12">
        <v>0</v>
      </c>
      <c r="P14" s="12">
        <v>50</v>
      </c>
    </row>
    <row r="15" spans="1:24" ht="15" x14ac:dyDescent="0.3">
      <c r="B15" s="8">
        <v>13</v>
      </c>
      <c r="C15" s="9">
        <v>21</v>
      </c>
      <c r="D15" s="10" t="s">
        <v>3</v>
      </c>
      <c r="E15" s="10" t="s">
        <v>4</v>
      </c>
      <c r="F15" s="2">
        <f>VLOOKUP(Tablo1[[#This Row],[Student No]],[1]!Tablo17[[STUDENT ID]:[TOTAL GRADE]],11,FALSE)</f>
        <v>37</v>
      </c>
      <c r="G15" s="2">
        <f>VLOOKUP(Tablo1[[#This Row],[Student No]],[1]!Tablo1738[[STUDENT ID]:[TOTAL GRADE]],11,FALSE)</f>
        <v>37</v>
      </c>
      <c r="H15" s="11">
        <f>VLOOKUP(Tablo1[[#This Row],[Student No]],[1]!Tablo3[[Student No]:[TOTAL]],9,FALSE)</f>
        <v>6</v>
      </c>
      <c r="I15" s="11">
        <f>VLOOKUP(Tablo1[[#This Row],[Student No]],[1]!Tablo314[[Student No]:[TOTAL]],18,FALSE)</f>
        <v>53</v>
      </c>
      <c r="J15" s="12">
        <f t="shared" si="0"/>
        <v>37.1</v>
      </c>
      <c r="K15" s="2" t="str" cm="1">
        <f t="array" ref="K15">_xlfn.IFS(AND(J15&gt;$O$6,J15&lt;$P$6),"AA",AND(J15&gt;$O$7,J15&lt;$P$7),"AB",AND(J15&gt;$O$8,J15&lt;$P$8),"BB",AND(J15&gt;$O$9,J15&lt;$P$9),"CB",AND(J15&gt;$O$10,J15&lt;$P$10),"CC",AND(J15&gt;$O$11,J15&lt;$P$11),"DC",AND(J15&gt;$O$12,J15&lt;$P$12),"DD",AND(J15&gt;$O$13,J15&lt;$P$13),"FD",AND(J15&gt;$O$14,J15&lt;$P$14),"FF")</f>
        <v>FF</v>
      </c>
      <c r="L15" s="7">
        <f t="shared" si="1"/>
        <v>2.9459928382259248E-2</v>
      </c>
      <c r="N15" t="s">
        <v>25</v>
      </c>
      <c r="O15" s="2" t="s">
        <v>26</v>
      </c>
      <c r="P15" s="2" t="s">
        <v>26</v>
      </c>
    </row>
    <row r="16" spans="1:24" ht="15" x14ac:dyDescent="0.3">
      <c r="B16" s="13">
        <v>14</v>
      </c>
      <c r="C16" s="9">
        <v>20</v>
      </c>
      <c r="D16" s="10" t="s">
        <v>3</v>
      </c>
      <c r="E16" s="10" t="s">
        <v>4</v>
      </c>
      <c r="F16" s="2">
        <f>VLOOKUP(Tablo1[[#This Row],[Student No]],[1]!Tablo17[[STUDENT ID]:[TOTAL GRADE]],11,FALSE)</f>
        <v>40</v>
      </c>
      <c r="G16" s="2">
        <f>VLOOKUP(Tablo1[[#This Row],[Student No]],[1]!Tablo1738[[STUDENT ID]:[TOTAL GRADE]],11,FALSE)</f>
        <v>40</v>
      </c>
      <c r="H16" s="11">
        <f>VLOOKUP(Tablo1[[#This Row],[Student No]],[1]!Tablo3[[Student No]:[TOTAL]],9,FALSE)</f>
        <v>2</v>
      </c>
      <c r="I16" s="11">
        <f>VLOOKUP(Tablo1[[#This Row],[Student No]],[1]!Tablo314[[Student No]:[TOTAL]],18,FALSE)</f>
        <v>56</v>
      </c>
      <c r="J16" s="12">
        <f t="shared" si="0"/>
        <v>39.4</v>
      </c>
      <c r="K16" s="2" t="str" cm="1">
        <f t="array" ref="K16">_xlfn.IFS(AND(J16&gt;$O$6,J16&lt;$P$6),"AA",AND(J16&gt;$O$7,J16&lt;$P$7),"AB",AND(J16&gt;$O$8,J16&lt;$P$8),"BB",AND(J16&gt;$O$9,J16&lt;$P$9),"CB",AND(J16&gt;$O$10,J16&lt;$P$10),"CC",AND(J16&gt;$O$11,J16&lt;$P$11),"DC",AND(J16&gt;$O$12,J16&lt;$P$12),"DD",AND(J16&gt;$O$13,J16&lt;$P$13),"FD",AND(J16&gt;$O$14,J16&lt;$P$14),"FF")</f>
        <v>FF</v>
      </c>
      <c r="L16" s="7">
        <f t="shared" si="1"/>
        <v>2.9158442590746642E-2</v>
      </c>
    </row>
    <row r="17" spans="2:25" ht="15" x14ac:dyDescent="0.3">
      <c r="B17" s="8">
        <v>15</v>
      </c>
      <c r="C17" s="9">
        <v>18</v>
      </c>
      <c r="D17" s="10" t="s">
        <v>3</v>
      </c>
      <c r="E17" s="10" t="s">
        <v>4</v>
      </c>
      <c r="F17" s="2">
        <f>VLOOKUP(Tablo1[[#This Row],[Student No]],[1]!Tablo17[[STUDENT ID]:[TOTAL GRADE]],11,FALSE)</f>
        <v>42</v>
      </c>
      <c r="G17" s="2">
        <f>VLOOKUP(Tablo1[[#This Row],[Student No]],[1]!Tablo1738[[STUDENT ID]:[TOTAL GRADE]],11,FALSE)</f>
        <v>42</v>
      </c>
      <c r="H17" s="11">
        <f>VLOOKUP(Tablo1[[#This Row],[Student No]],[1]!Tablo3[[Student No]:[TOTAL]],9,FALSE)</f>
        <v>2.8</v>
      </c>
      <c r="I17" s="11">
        <f>VLOOKUP(Tablo1[[#This Row],[Student No]],[1]!Tablo314[[Student No]:[TOTAL]],18,FALSE)</f>
        <v>49</v>
      </c>
      <c r="J17" s="12">
        <f t="shared" si="0"/>
        <v>39.480000000000004</v>
      </c>
      <c r="K17" s="2" t="str" cm="1">
        <f t="array" ref="K17">_xlfn.IFS(AND(J17&gt;$O$6,J17&lt;$P$6),"AA",AND(J17&gt;$O$7,J17&lt;$P$7),"AB",AND(J17&gt;$O$8,J17&lt;$P$8),"BB",AND(J17&gt;$O$9,J17&lt;$P$9),"CB",AND(J17&gt;$O$10,J17&lt;$P$10),"CC",AND(J17&gt;$O$11,J17&lt;$P$11),"DC",AND(J17&gt;$O$12,J17&lt;$P$12),"DD",AND(J17&gt;$O$13,J17&lt;$P$13),"FD",AND(J17&gt;$O$14,J17&lt;$P$14),"FF")</f>
        <v>FF</v>
      </c>
      <c r="L17" s="7">
        <f t="shared" si="1"/>
        <v>2.9132875007177667E-2</v>
      </c>
      <c r="N17" s="16" t="s">
        <v>27</v>
      </c>
      <c r="O17" s="16"/>
      <c r="P17" s="16"/>
    </row>
    <row r="18" spans="2:25" ht="15" x14ac:dyDescent="0.3">
      <c r="B18" s="13">
        <v>16</v>
      </c>
      <c r="C18" s="9">
        <v>23</v>
      </c>
      <c r="D18" s="10" t="s">
        <v>3</v>
      </c>
      <c r="E18" s="10" t="s">
        <v>4</v>
      </c>
      <c r="F18" s="2">
        <f>VLOOKUP(Tablo1[[#This Row],[Student No]],[1]!Tablo17[[STUDENT ID]:[TOTAL GRADE]],11,FALSE)</f>
        <v>36</v>
      </c>
      <c r="G18" s="2">
        <f>VLOOKUP(Tablo1[[#This Row],[Student No]],[1]!Tablo1738[[STUDENT ID]:[TOTAL GRADE]],11,FALSE)</f>
        <v>36</v>
      </c>
      <c r="H18" s="11">
        <f>VLOOKUP(Tablo1[[#This Row],[Student No]],[1]!Tablo3[[Student No]:[TOTAL]],9,FALSE)</f>
        <v>6.2</v>
      </c>
      <c r="I18" s="11">
        <f>VLOOKUP(Tablo1[[#This Row],[Student No]],[1]!Tablo314[[Student No]:[TOTAL]],18,FALSE)</f>
        <v>69</v>
      </c>
      <c r="J18" s="12">
        <f t="shared" si="0"/>
        <v>39.620000000000005</v>
      </c>
      <c r="K18" s="2" t="str" cm="1">
        <f t="array" ref="K18">_xlfn.IFS(AND(J18&gt;$O$6,J18&lt;$P$6),"AA",AND(J18&gt;$O$7,J18&lt;$P$7),"AB",AND(J18&gt;$O$8,J18&lt;$P$8),"BB",AND(J18&gt;$O$9,J18&lt;$P$9),"CB",AND(J18&gt;$O$10,J18&lt;$P$10),"CC",AND(J18&gt;$O$11,J18&lt;$P$11),"DC",AND(J18&gt;$O$12,J18&lt;$P$12),"DD",AND(J18&gt;$O$13,J18&lt;$P$13),"FD",AND(J18&gt;$O$14,J18&lt;$P$14),"FF")</f>
        <v>FF</v>
      </c>
      <c r="L18" s="7">
        <f t="shared" si="1"/>
        <v>2.908574155866496E-2</v>
      </c>
      <c r="N18" t="s">
        <v>28</v>
      </c>
      <c r="O18" t="s">
        <v>29</v>
      </c>
      <c r="P18" s="7" t="s">
        <v>30</v>
      </c>
    </row>
    <row r="19" spans="2:25" ht="15" x14ac:dyDescent="0.3">
      <c r="B19" s="8">
        <v>17</v>
      </c>
      <c r="C19" s="9">
        <v>12</v>
      </c>
      <c r="D19" s="10" t="s">
        <v>3</v>
      </c>
      <c r="E19" s="10" t="s">
        <v>4</v>
      </c>
      <c r="F19" s="2">
        <f>VLOOKUP(Tablo1[[#This Row],[Student No]],[1]!Tablo17[[STUDENT ID]:[TOTAL GRADE]],11,FALSE)</f>
        <v>48</v>
      </c>
      <c r="G19" s="2">
        <f>VLOOKUP(Tablo1[[#This Row],[Student No]],[1]!Tablo1738[[STUDENT ID]:[TOTAL GRADE]],11,FALSE)</f>
        <v>48</v>
      </c>
      <c r="H19" s="11">
        <f>VLOOKUP(Tablo1[[#This Row],[Student No]],[1]!Tablo3[[Student No]:[TOTAL]],9,FALSE)</f>
        <v>5</v>
      </c>
      <c r="I19" s="11">
        <f>VLOOKUP(Tablo1[[#This Row],[Student No]],[1]!Tablo314[[Student No]:[TOTAL]],18,FALSE)</f>
        <v>36</v>
      </c>
      <c r="J19" s="12">
        <f t="shared" si="0"/>
        <v>41.300000000000004</v>
      </c>
      <c r="K19" s="2" t="str" cm="1">
        <f t="array" ref="K19">_xlfn.IFS(AND(J19&gt;$O$6,J19&lt;$P$6),"AA",AND(J19&gt;$O$7,J19&lt;$P$7),"AB",AND(J19&gt;$O$8,J19&lt;$P$8),"BB",AND(J19&gt;$O$9,J19&lt;$P$9),"CB",AND(J19&gt;$O$10,J19&lt;$P$10),"CC",AND(J19&gt;$O$11,J19&lt;$P$11),"DC",AND(J19&gt;$O$12,J19&lt;$P$12),"DD",AND(J19&gt;$O$13,J19&lt;$P$13),"FD",AND(J19&gt;$O$14,J19&lt;$P$14),"FF")</f>
        <v>FF</v>
      </c>
      <c r="L19" s="7">
        <f t="shared" si="1"/>
        <v>2.8289088090760511E-2</v>
      </c>
      <c r="N19" t="s">
        <v>31</v>
      </c>
      <c r="O19" s="9">
        <v>10</v>
      </c>
      <c r="P19" s="9" cm="1">
        <f t="array" ref="P19">[1]!Tablo11[TOTAL]</f>
        <v>100</v>
      </c>
    </row>
    <row r="20" spans="2:25" ht="15" x14ac:dyDescent="0.3">
      <c r="B20" s="13">
        <v>18</v>
      </c>
      <c r="C20" s="9">
        <v>19</v>
      </c>
      <c r="D20" s="10" t="s">
        <v>3</v>
      </c>
      <c r="E20" s="10" t="s">
        <v>4</v>
      </c>
      <c r="F20" s="2">
        <f>VLOOKUP(Tablo1[[#This Row],[Student No]],[1]!Tablo17[[STUDENT ID]:[TOTAL GRADE]],11,FALSE)</f>
        <v>40</v>
      </c>
      <c r="G20" s="2">
        <f>VLOOKUP(Tablo1[[#This Row],[Student No]],[1]!Tablo1738[[STUDENT ID]:[TOTAL GRADE]],11,FALSE)</f>
        <v>40</v>
      </c>
      <c r="H20" s="11">
        <f>VLOOKUP(Tablo1[[#This Row],[Student No]],[1]!Tablo3[[Student No]:[TOTAL]],9,FALSE)</f>
        <v>5</v>
      </c>
      <c r="I20" s="11">
        <f>VLOOKUP(Tablo1[[#This Row],[Student No]],[1]!Tablo314[[Student No]:[TOTAL]],18,FALSE)</f>
        <v>66</v>
      </c>
      <c r="J20" s="12">
        <f t="shared" si="0"/>
        <v>41.7</v>
      </c>
      <c r="K20" s="2" t="str" cm="1">
        <f t="array" ref="K20">_xlfn.IFS(AND(J20&gt;$O$6,J20&lt;$P$6),"AA",AND(J20&gt;$O$7,J20&lt;$P$7),"AB",AND(J20&gt;$O$8,J20&lt;$P$8),"BB",AND(J20&gt;$O$9,J20&lt;$P$9),"CB",AND(J20&gt;$O$10,J20&lt;$P$10),"CC",AND(J20&gt;$O$11,J20&lt;$P$11),"DC",AND(J20&gt;$O$12,J20&lt;$P$12),"DD",AND(J20&gt;$O$13,J20&lt;$P$13),"FD",AND(J20&gt;$O$14,J20&lt;$P$14),"FF")</f>
        <v>FF</v>
      </c>
      <c r="L20" s="7">
        <f t="shared" si="1"/>
        <v>2.8038931309781329E-2</v>
      </c>
      <c r="N20" t="s">
        <v>32</v>
      </c>
      <c r="O20" s="9">
        <v>20</v>
      </c>
      <c r="P20" s="9" cm="1">
        <f t="array" ref="P20">[1]!Tablo27[TOPLAM]</f>
        <v>100</v>
      </c>
    </row>
    <row r="21" spans="2:25" ht="15" x14ac:dyDescent="0.3">
      <c r="B21" s="8">
        <v>19</v>
      </c>
      <c r="C21" s="9">
        <v>16</v>
      </c>
      <c r="D21" s="10" t="s">
        <v>3</v>
      </c>
      <c r="E21" s="10" t="s">
        <v>4</v>
      </c>
      <c r="F21" s="2">
        <f>VLOOKUP(Tablo1[[#This Row],[Student No]],[1]!Tablo17[[STUDENT ID]:[TOTAL GRADE]],11,FALSE)</f>
        <v>43</v>
      </c>
      <c r="G21" s="2">
        <f>VLOOKUP(Tablo1[[#This Row],[Student No]],[1]!Tablo1738[[STUDENT ID]:[TOTAL GRADE]],11,FALSE)</f>
        <v>43</v>
      </c>
      <c r="H21" s="11">
        <f>VLOOKUP(Tablo1[[#This Row],[Student No]],[1]!Tablo3[[Student No]:[TOTAL]],9,FALSE)</f>
        <v>10</v>
      </c>
      <c r="I21" s="11">
        <f>VLOOKUP(Tablo1[[#This Row],[Student No]],[1]!Tablo314[[Student No]:[TOTAL]],18,FALSE)</f>
        <v>56</v>
      </c>
      <c r="J21" s="12">
        <f t="shared" si="0"/>
        <v>42.3</v>
      </c>
      <c r="K21" s="2" t="str" cm="1">
        <f t="array" ref="K21">_xlfn.IFS(AND(J21&gt;$O$6,J21&lt;$P$6),"AA",AND(J21&gt;$O$7,J21&lt;$P$7),"AB",AND(J21&gt;$O$8,J21&lt;$P$8),"BB",AND(J21&gt;$O$9,J21&lt;$P$9),"CB",AND(J21&gt;$O$10,J21&lt;$P$10),"CC",AND(J21&gt;$O$11,J21&lt;$P$11),"DC",AND(J21&gt;$O$12,J21&lt;$P$12),"DD",AND(J21&gt;$O$13,J21&lt;$P$13),"FD",AND(J21&gt;$O$14,J21&lt;$P$14),"FF")</f>
        <v>FF</v>
      </c>
      <c r="L21" s="7">
        <f t="shared" si="1"/>
        <v>2.7622585181342061E-2</v>
      </c>
      <c r="N21" t="s">
        <v>5</v>
      </c>
      <c r="O21" s="9">
        <v>30</v>
      </c>
      <c r="P21" s="9" cm="1">
        <f t="array" ref="P21">[1]!Tablo19[TOTAL]</f>
        <v>100</v>
      </c>
    </row>
    <row r="22" spans="2:25" ht="15" x14ac:dyDescent="0.3">
      <c r="B22" s="13">
        <v>20</v>
      </c>
      <c r="C22" s="9">
        <v>15</v>
      </c>
      <c r="D22" s="10" t="s">
        <v>3</v>
      </c>
      <c r="E22" s="10" t="s">
        <v>4</v>
      </c>
      <c r="F22" s="2">
        <f>VLOOKUP(Tablo1[[#This Row],[Student No]],[1]!Tablo17[[STUDENT ID]:[TOTAL GRADE]],11,FALSE)</f>
        <v>44</v>
      </c>
      <c r="G22" s="2">
        <f>VLOOKUP(Tablo1[[#This Row],[Student No]],[1]!Tablo1738[[STUDENT ID]:[TOTAL GRADE]],11,FALSE)</f>
        <v>44</v>
      </c>
      <c r="H22" s="11">
        <f>VLOOKUP(Tablo1[[#This Row],[Student No]],[1]!Tablo3[[Student No]:[TOTAL]],9,FALSE)</f>
        <v>6.7</v>
      </c>
      <c r="I22" s="11">
        <f>VLOOKUP(Tablo1[[#This Row],[Student No]],[1]!Tablo314[[Student No]:[TOTAL]],18,FALSE)</f>
        <v>62</v>
      </c>
      <c r="J22" s="12">
        <f t="shared" si="0"/>
        <v>43.870000000000005</v>
      </c>
      <c r="K22" s="2" t="str" cm="1">
        <f t="array" ref="K22">_xlfn.IFS(AND(J22&gt;$O$6,J22&lt;$P$6),"AA",AND(J22&gt;$O$7,J22&lt;$P$7),"AB",AND(J22&gt;$O$8,J22&lt;$P$8),"BB",AND(J22&gt;$O$9,J22&lt;$P$9),"CB",AND(J22&gt;$O$10,J22&lt;$P$10),"CC",AND(J22&gt;$O$11,J22&lt;$P$11),"DC",AND(J22&gt;$O$12,J22&lt;$P$12),"DD",AND(J22&gt;$O$13,J22&lt;$P$13),"FD",AND(J22&gt;$O$14,J22&lt;$P$14),"FF")</f>
        <v>FF</v>
      </c>
      <c r="L22" s="7">
        <f t="shared" si="1"/>
        <v>2.631642468448479E-2</v>
      </c>
      <c r="N22" t="s">
        <v>33</v>
      </c>
      <c r="O22" s="9">
        <v>40</v>
      </c>
      <c r="P22" s="9" cm="1">
        <f t="array" ref="P22">[1]!Tablo1939[TOTAL]</f>
        <v>100</v>
      </c>
    </row>
    <row r="23" spans="2:25" ht="15" x14ac:dyDescent="0.3">
      <c r="B23" s="8">
        <v>21</v>
      </c>
      <c r="C23" s="9">
        <v>11</v>
      </c>
      <c r="D23" s="10" t="s">
        <v>3</v>
      </c>
      <c r="E23" s="10" t="s">
        <v>4</v>
      </c>
      <c r="F23" s="2">
        <f>VLOOKUP(Tablo1[[#This Row],[Student No]],[1]!Tablo17[[STUDENT ID]:[TOTAL GRADE]],11,FALSE)</f>
        <v>50</v>
      </c>
      <c r="G23" s="2">
        <f>VLOOKUP(Tablo1[[#This Row],[Student No]],[1]!Tablo1738[[STUDENT ID]:[TOTAL GRADE]],11,FALSE)</f>
        <v>50</v>
      </c>
      <c r="H23" s="11">
        <f>VLOOKUP(Tablo1[[#This Row],[Student No]],[1]!Tablo3[[Student No]:[TOTAL]],9,FALSE)</f>
        <v>4.8</v>
      </c>
      <c r="I23" s="11">
        <f>VLOOKUP(Tablo1[[#This Row],[Student No]],[1]!Tablo314[[Student No]:[TOTAL]],18,FALSE)</f>
        <v>43</v>
      </c>
      <c r="J23" s="12">
        <f t="shared" si="0"/>
        <v>44.08</v>
      </c>
      <c r="K23" s="2" t="str" cm="1">
        <f t="array" ref="K23">_xlfn.IFS(AND(J23&gt;$O$6,J23&lt;$P$6),"AA",AND(J23&gt;$O$7,J23&lt;$P$7),"AB",AND(J23&gt;$O$8,J23&lt;$P$8),"BB",AND(J23&gt;$O$9,J23&lt;$P$9),"CB",AND(J23&gt;$O$10,J23&lt;$P$10),"CC",AND(J23&gt;$O$11,J23&lt;$P$11),"DC",AND(J23&gt;$O$12,J23&lt;$P$12),"DD",AND(J23&gt;$O$13,J23&lt;$P$13),"FD",AND(J23&gt;$O$14,J23&lt;$P$14),"FF")</f>
        <v>FF</v>
      </c>
      <c r="L23" s="7">
        <f t="shared" si="1"/>
        <v>2.6119813534685173E-2</v>
      </c>
      <c r="N23" t="s">
        <v>34</v>
      </c>
      <c r="O23" s="17">
        <f>SUM(O19,O20,O21,O22)</f>
        <v>100</v>
      </c>
      <c r="P23" s="18" t="s">
        <v>35</v>
      </c>
    </row>
    <row r="24" spans="2:25" ht="15" x14ac:dyDescent="0.3">
      <c r="B24" s="13">
        <v>22</v>
      </c>
      <c r="C24" s="9">
        <v>14</v>
      </c>
      <c r="D24" s="10" t="s">
        <v>3</v>
      </c>
      <c r="E24" s="10" t="s">
        <v>4</v>
      </c>
      <c r="F24" s="2">
        <f>VLOOKUP(Tablo1[[#This Row],[Student No]],[1]!Tablo17[[STUDENT ID]:[TOTAL GRADE]],11,FALSE)</f>
        <v>47</v>
      </c>
      <c r="G24" s="2">
        <f>VLOOKUP(Tablo1[[#This Row],[Student No]],[1]!Tablo1738[[STUDENT ID]:[TOTAL GRADE]],11,FALSE)</f>
        <v>47</v>
      </c>
      <c r="H24" s="11">
        <f>VLOOKUP(Tablo1[[#This Row],[Student No]],[1]!Tablo3[[Student No]:[TOTAL]],9,FALSE)</f>
        <v>3.4</v>
      </c>
      <c r="I24" s="11">
        <f>VLOOKUP(Tablo1[[#This Row],[Student No]],[1]!Tablo314[[Student No]:[TOTAL]],18,FALSE)</f>
        <v>60</v>
      </c>
      <c r="J24" s="12">
        <f t="shared" si="0"/>
        <v>45.24</v>
      </c>
      <c r="K24" s="2" t="str" cm="1">
        <f t="array" ref="K24">_xlfn.IFS(AND(J24&gt;$O$6,J24&lt;$P$6),"AA",AND(J24&gt;$O$7,J24&lt;$P$7),"AB",AND(J24&gt;$O$8,J24&lt;$P$8),"BB",AND(J24&gt;$O$9,J24&lt;$P$9),"CB",AND(J24&gt;$O$10,J24&lt;$P$10),"CC",AND(J24&gt;$O$11,J24&lt;$P$11),"DC",AND(J24&gt;$O$12,J24&lt;$P$12),"DD",AND(J24&gt;$O$13,J24&lt;$P$13),"FD",AND(J24&gt;$O$14,J24&lt;$P$14),"FF")</f>
        <v>FF</v>
      </c>
      <c r="L24" s="7">
        <f t="shared" si="1"/>
        <v>2.4951526469312774E-2</v>
      </c>
    </row>
    <row r="25" spans="2:25" ht="15" x14ac:dyDescent="0.3">
      <c r="B25" s="8">
        <v>23</v>
      </c>
      <c r="C25" s="9">
        <v>13</v>
      </c>
      <c r="D25" s="10" t="s">
        <v>3</v>
      </c>
      <c r="E25" s="10" t="s">
        <v>4</v>
      </c>
      <c r="F25" s="2">
        <f>VLOOKUP(Tablo1[[#This Row],[Student No]],[1]!Tablo17[[STUDENT ID]:[TOTAL GRADE]],11,FALSE)</f>
        <v>48</v>
      </c>
      <c r="G25" s="2">
        <f>VLOOKUP(Tablo1[[#This Row],[Student No]],[1]!Tablo1738[[STUDENT ID]:[TOTAL GRADE]],11,FALSE)</f>
        <v>48</v>
      </c>
      <c r="H25" s="11">
        <f>VLOOKUP(Tablo1[[#This Row],[Student No]],[1]!Tablo3[[Student No]:[TOTAL]],9,FALSE)</f>
        <v>4.4000000000000004</v>
      </c>
      <c r="I25" s="11">
        <f>VLOOKUP(Tablo1[[#This Row],[Student No]],[1]!Tablo314[[Student No]:[TOTAL]],18,FALSE)</f>
        <v>61</v>
      </c>
      <c r="J25" s="12">
        <f t="shared" si="0"/>
        <v>46.239999999999995</v>
      </c>
      <c r="K25" s="2" t="str" cm="1">
        <f t="array" ref="K25">_xlfn.IFS(AND(J25&gt;$O$6,J25&lt;$P$6),"AA",AND(J25&gt;$O$7,J25&lt;$P$7),"AB",AND(J25&gt;$O$8,J25&lt;$P$8),"BB",AND(J25&gt;$O$9,J25&lt;$P$9),"CB",AND(J25&gt;$O$10,J25&lt;$P$10),"CC",AND(J25&gt;$O$11,J25&lt;$P$11),"DC",AND(J25&gt;$O$12,J25&lt;$P$12),"DD",AND(J25&gt;$O$13,J25&lt;$P$13),"FD",AND(J25&gt;$O$14,J25&lt;$P$14),"FF")</f>
        <v>FF</v>
      </c>
      <c r="L25" s="7">
        <f t="shared" si="1"/>
        <v>2.384547790320761E-2</v>
      </c>
    </row>
    <row r="26" spans="2:25" ht="15" x14ac:dyDescent="0.3">
      <c r="B26" s="13">
        <v>24</v>
      </c>
      <c r="C26" s="9">
        <v>10</v>
      </c>
      <c r="D26" s="10" t="s">
        <v>3</v>
      </c>
      <c r="E26" s="10" t="s">
        <v>4</v>
      </c>
      <c r="F26" s="2">
        <f>VLOOKUP(Tablo1[[#This Row],[Student No]],[1]!Tablo17[[STUDENT ID]:[TOTAL GRADE]],11,FALSE)</f>
        <v>50</v>
      </c>
      <c r="G26" s="2">
        <f>VLOOKUP(Tablo1[[#This Row],[Student No]],[1]!Tablo1738[[STUDENT ID]:[TOTAL GRADE]],11,FALSE)</f>
        <v>50</v>
      </c>
      <c r="H26" s="11">
        <f>VLOOKUP(Tablo1[[#This Row],[Student No]],[1]!Tablo3[[Student No]:[TOTAL]],9,FALSE)</f>
        <v>5.8</v>
      </c>
      <c r="I26" s="11">
        <f>VLOOKUP(Tablo1[[#This Row],[Student No]],[1]!Tablo314[[Student No]:[TOTAL]],18,FALSE)</f>
        <v>54</v>
      </c>
      <c r="J26" s="12">
        <f t="shared" si="0"/>
        <v>46.379999999999995</v>
      </c>
      <c r="K26" s="2" t="str" cm="1">
        <f t="array" ref="K26">_xlfn.IFS(AND(J26&gt;$O$6,J26&lt;$P$6),"AA",AND(J26&gt;$O$7,J26&lt;$P$7),"AB",AND(J26&gt;$O$8,J26&lt;$P$8),"BB",AND(J26&gt;$O$9,J26&lt;$P$9),"CB",AND(J26&gt;$O$10,J26&lt;$P$10),"CC",AND(J26&gt;$O$11,J26&lt;$P$11),"DC",AND(J26&gt;$O$12,J26&lt;$P$12),"DD",AND(J26&gt;$O$13,J26&lt;$P$13),"FD",AND(J26&gt;$O$14,J26&lt;$P$14),"FF")</f>
        <v>FF</v>
      </c>
      <c r="L26" s="7">
        <f t="shared" si="1"/>
        <v>2.3684279603739766E-2</v>
      </c>
    </row>
    <row r="27" spans="2:25" ht="15" x14ac:dyDescent="0.3">
      <c r="B27" s="8">
        <v>25</v>
      </c>
      <c r="C27" s="9">
        <v>9</v>
      </c>
      <c r="D27" s="10" t="s">
        <v>3</v>
      </c>
      <c r="E27" s="10" t="s">
        <v>4</v>
      </c>
      <c r="F27" s="2">
        <f>VLOOKUP(Tablo1[[#This Row],[Student No]],[1]!Tablo17[[STUDENT ID]:[TOTAL GRADE]],11,FALSE)</f>
        <v>53</v>
      </c>
      <c r="G27" s="2">
        <f>VLOOKUP(Tablo1[[#This Row],[Student No]],[1]!Tablo1738[[STUDENT ID]:[TOTAL GRADE]],11,FALSE)</f>
        <v>53</v>
      </c>
      <c r="H27" s="11">
        <f>VLOOKUP(Tablo1[[#This Row],[Student No]],[1]!Tablo3[[Student No]:[TOTAL]],9,FALSE)</f>
        <v>4</v>
      </c>
      <c r="I27" s="11">
        <f>VLOOKUP(Tablo1[[#This Row],[Student No]],[1]!Tablo314[[Student No]:[TOTAL]],18,FALSE)</f>
        <v>49</v>
      </c>
      <c r="J27" s="12">
        <f t="shared" si="0"/>
        <v>47.3</v>
      </c>
      <c r="K27" s="2" t="str" cm="1">
        <f t="array" ref="K27">_xlfn.IFS(AND(J27&gt;$O$6,J27&lt;$P$6),"AA",AND(J27&gt;$O$7,J27&lt;$P$7),"AB",AND(J27&gt;$O$8,J27&lt;$P$8),"BB",AND(J27&gt;$O$9,J27&lt;$P$9),"CB",AND(J27&gt;$O$10,J27&lt;$P$10),"CC",AND(J27&gt;$O$11,J27&lt;$P$11),"DC",AND(J27&gt;$O$12,J27&lt;$P$12),"DD",AND(J27&gt;$O$13,J27&lt;$P$13),"FD",AND(J27&gt;$O$14,J27&lt;$P$14),"FF")</f>
        <v>FF</v>
      </c>
      <c r="L27" s="7">
        <f t="shared" si="1"/>
        <v>2.2591563133072187E-2</v>
      </c>
      <c r="R27" s="19" t="s">
        <v>36</v>
      </c>
      <c r="S27" s="19"/>
      <c r="T27" s="19"/>
      <c r="U27" s="19"/>
      <c r="V27" s="19"/>
      <c r="W27" s="19"/>
      <c r="X27" s="19"/>
    </row>
    <row r="28" spans="2:25" ht="15" x14ac:dyDescent="0.3">
      <c r="B28" s="13">
        <v>26</v>
      </c>
      <c r="C28" s="9">
        <v>8</v>
      </c>
      <c r="D28" s="10" t="s">
        <v>3</v>
      </c>
      <c r="E28" s="10" t="s">
        <v>4</v>
      </c>
      <c r="F28" s="2">
        <f>VLOOKUP(Tablo1[[#This Row],[Student No]],[1]!Tablo17[[STUDENT ID]:[TOTAL GRADE]],11,FALSE)</f>
        <v>55</v>
      </c>
      <c r="G28" s="2">
        <f>VLOOKUP(Tablo1[[#This Row],[Student No]],[1]!Tablo1738[[STUDENT ID]:[TOTAL GRADE]],11,FALSE)</f>
        <v>55</v>
      </c>
      <c r="H28" s="11">
        <f>VLOOKUP(Tablo1[[#This Row],[Student No]],[1]!Tablo3[[Student No]:[TOTAL]],9,FALSE)</f>
        <v>5.4</v>
      </c>
      <c r="I28" s="11">
        <f>VLOOKUP(Tablo1[[#This Row],[Student No]],[1]!Tablo314[[Student No]:[TOTAL]],18,FALSE)</f>
        <v>50</v>
      </c>
      <c r="J28" s="12">
        <f t="shared" si="0"/>
        <v>49.04</v>
      </c>
      <c r="K28" s="2" t="str" cm="1">
        <f t="array" ref="K28">_xlfn.IFS(AND(J28&gt;$O$6,J28&lt;$P$6),"AA",AND(J28&gt;$O$7,J28&lt;$P$7),"AB",AND(J28&gt;$O$8,J28&lt;$P$8),"BB",AND(J28&gt;$O$9,J28&lt;$P$9),"CB",AND(J28&gt;$O$10,J28&lt;$P$10),"CC",AND(J28&gt;$O$11,J28&lt;$P$11),"DC",AND(J28&gt;$O$12,J28&lt;$P$12),"DD",AND(J28&gt;$O$13,J28&lt;$P$13),"FD",AND(J28&gt;$O$14,J28&lt;$P$14),"FF")</f>
        <v>FF</v>
      </c>
      <c r="L28" s="7">
        <f t="shared" si="1"/>
        <v>2.0401607494210355E-2</v>
      </c>
      <c r="R28" s="19"/>
      <c r="S28" s="19"/>
      <c r="T28" s="19"/>
      <c r="U28" s="19"/>
      <c r="V28" s="19"/>
      <c r="W28" s="19"/>
      <c r="X28" s="19"/>
      <c r="Y28" s="20"/>
    </row>
    <row r="29" spans="2:25" ht="15" x14ac:dyDescent="0.3">
      <c r="B29" s="8">
        <v>27</v>
      </c>
      <c r="C29" s="9">
        <v>7</v>
      </c>
      <c r="D29" s="10" t="s">
        <v>3</v>
      </c>
      <c r="E29" s="10" t="s">
        <v>4</v>
      </c>
      <c r="F29" s="2">
        <f>VLOOKUP(Tablo1[[#This Row],[Student No]],[1]!Tablo17[[STUDENT ID]:[TOTAL GRADE]],11,FALSE)</f>
        <v>57</v>
      </c>
      <c r="G29" s="2">
        <f>VLOOKUP(Tablo1[[#This Row],[Student No]],[1]!Tablo1738[[STUDENT ID]:[TOTAL GRADE]],11,FALSE)</f>
        <v>57</v>
      </c>
      <c r="H29" s="11">
        <f>VLOOKUP(Tablo1[[#This Row],[Student No]],[1]!Tablo3[[Student No]:[TOTAL]],9,FALSE)</f>
        <v>5.4</v>
      </c>
      <c r="I29" s="11">
        <f>VLOOKUP(Tablo1[[#This Row],[Student No]],[1]!Tablo314[[Student No]:[TOTAL]],18,FALSE)</f>
        <v>62</v>
      </c>
      <c r="J29" s="12">
        <f t="shared" si="0"/>
        <v>52.839999999999996</v>
      </c>
      <c r="K29" s="2" t="str" cm="1">
        <f t="array" ref="K29">_xlfn.IFS(AND(J29&gt;$O$6,J29&lt;$P$6),"AA",AND(J29&gt;$O$7,J29&lt;$P$7),"AB",AND(J29&gt;$O$8,J29&lt;$P$8),"BB",AND(J29&gt;$O$9,J29&lt;$P$9),"CB",AND(J29&gt;$O$10,J29&lt;$P$10),"CC",AND(J29&gt;$O$11,J29&lt;$P$11),"DC",AND(J29&gt;$O$12,J29&lt;$P$12),"DD",AND(J29&gt;$O$13,J29&lt;$P$13),"FD",AND(J29&gt;$O$14,J29&lt;$P$14),"FF")</f>
        <v>FD</v>
      </c>
      <c r="L29" s="7">
        <f t="shared" si="1"/>
        <v>1.5417492944803013E-2</v>
      </c>
    </row>
    <row r="30" spans="2:25" ht="15" x14ac:dyDescent="0.3">
      <c r="B30" s="13">
        <v>28</v>
      </c>
      <c r="C30" s="9">
        <v>6</v>
      </c>
      <c r="D30" s="10" t="s">
        <v>3</v>
      </c>
      <c r="E30" s="10" t="s">
        <v>4</v>
      </c>
      <c r="F30" s="2">
        <f>VLOOKUP(Tablo1[[#This Row],[Student No]],[1]!Tablo17[[STUDENT ID]:[TOTAL GRADE]],11,FALSE)</f>
        <v>62</v>
      </c>
      <c r="G30" s="2">
        <f>VLOOKUP(Tablo1[[#This Row],[Student No]],[1]!Tablo1738[[STUDENT ID]:[TOTAL GRADE]],11,FALSE)</f>
        <v>62</v>
      </c>
      <c r="H30" s="11">
        <f>VLOOKUP(Tablo1[[#This Row],[Student No]],[1]!Tablo3[[Student No]:[TOTAL]],9,FALSE)</f>
        <v>0</v>
      </c>
      <c r="I30" s="11">
        <f>VLOOKUP(Tablo1[[#This Row],[Student No]],[1]!Tablo314[[Student No]:[TOTAL]],18,FALSE)</f>
        <v>49</v>
      </c>
      <c r="J30" s="12">
        <f t="shared" si="0"/>
        <v>53.2</v>
      </c>
      <c r="K30" s="2" t="str" cm="1">
        <f t="array" ref="K30">_xlfn.IFS(AND(J30&gt;$O$6,J30&lt;$P$6),"AA",AND(J30&gt;$O$7,J30&lt;$P$7),"AB",AND(J30&gt;$O$8,J30&lt;$P$8),"BB",AND(J30&gt;$O$9,J30&lt;$P$9),"CB",AND(J30&gt;$O$10,J30&lt;$P$10),"CC",AND(J30&gt;$O$11,J30&lt;$P$11),"DC",AND(J30&gt;$O$12,J30&lt;$P$12),"DD",AND(J30&gt;$O$13,J30&lt;$P$13),"FD",AND(J30&gt;$O$14,J30&lt;$P$14),"FF")</f>
        <v>FD</v>
      </c>
      <c r="L30" s="7">
        <f t="shared" si="1"/>
        <v>1.4952525787742199E-2</v>
      </c>
      <c r="S30" s="21" t="s">
        <v>37</v>
      </c>
      <c r="T30" s="21" t="s">
        <v>38</v>
      </c>
    </row>
    <row r="31" spans="2:25" ht="15" x14ac:dyDescent="0.3">
      <c r="B31" s="8">
        <v>29</v>
      </c>
      <c r="C31" s="9">
        <v>5</v>
      </c>
      <c r="D31" s="10" t="s">
        <v>3</v>
      </c>
      <c r="E31" s="10" t="s">
        <v>4</v>
      </c>
      <c r="F31" s="2">
        <f>VLOOKUP(Tablo1[[#This Row],[Student No]],[1]!Tablo17[[STUDENT ID]:[TOTAL GRADE]],11,FALSE)</f>
        <v>67</v>
      </c>
      <c r="G31" s="2">
        <f>VLOOKUP(Tablo1[[#This Row],[Student No]],[1]!Tablo1738[[STUDENT ID]:[TOTAL GRADE]],11,FALSE)</f>
        <v>67</v>
      </c>
      <c r="H31" s="11">
        <f>VLOOKUP(Tablo1[[#This Row],[Student No]],[1]!Tablo3[[Student No]:[TOTAL]],9,FALSE)</f>
        <v>0</v>
      </c>
      <c r="I31" s="11">
        <f>VLOOKUP(Tablo1[[#This Row],[Student No]],[1]!Tablo314[[Student No]:[TOTAL]],18,FALSE)</f>
        <v>54</v>
      </c>
      <c r="J31" s="12">
        <f t="shared" si="0"/>
        <v>57.7</v>
      </c>
      <c r="K31" s="2" t="str" cm="1">
        <f t="array" ref="K31">_xlfn.IFS(AND(J31&gt;$O$6,J31&lt;$P$6),"AA",AND(J31&gt;$O$7,J31&lt;$P$7),"AB",AND(J31&gt;$O$8,J31&lt;$P$8),"BB",AND(J31&gt;$O$9,J31&lt;$P$9),"CB",AND(J31&gt;$O$10,J31&lt;$P$10),"CC",AND(J31&gt;$O$11,J31&lt;$P$11),"DC",AND(J31&gt;$O$12,J31&lt;$P$12),"DD",AND(J31&gt;$O$13,J31&lt;$P$13),"FD",AND(J31&gt;$O$14,J31&lt;$P$14),"FF")</f>
        <v>FD</v>
      </c>
      <c r="L31" s="7">
        <f t="shared" si="1"/>
        <v>9.6064371118935454E-3</v>
      </c>
      <c r="S31" s="9">
        <f>AVERAGE(Tablo1[Total Points])</f>
        <v>37.430333333333337</v>
      </c>
      <c r="T31" s="9">
        <f>_xlfn.STDEV.P(Tablo1[Total Points])</f>
        <v>13.537831062946861</v>
      </c>
    </row>
    <row r="32" spans="2:25" ht="15" x14ac:dyDescent="0.3">
      <c r="B32" s="22">
        <v>30</v>
      </c>
      <c r="C32" s="9">
        <v>4</v>
      </c>
      <c r="D32" s="10" t="s">
        <v>3</v>
      </c>
      <c r="E32" s="10" t="s">
        <v>4</v>
      </c>
      <c r="F32" s="2">
        <f>VLOOKUP(Tablo1[[#This Row],[Student No]],[1]!Tablo17[[STUDENT ID]:[TOTAL GRADE]],11,FALSE)</f>
        <v>71</v>
      </c>
      <c r="G32" s="2">
        <f>VLOOKUP(Tablo1[[#This Row],[Student No]],[1]!Tablo1738[[STUDENT ID]:[TOTAL GRADE]],11,FALSE)</f>
        <v>71</v>
      </c>
      <c r="H32" s="11">
        <f>VLOOKUP(Tablo1[[#This Row],[Student No]],[1]!Tablo3[[Student No]:[TOTAL]],9,FALSE)</f>
        <v>5</v>
      </c>
      <c r="I32" s="11">
        <f>VLOOKUP(Tablo1[[#This Row],[Student No]],[1]!Tablo314[[Student No]:[TOTAL]],18,FALSE)</f>
        <v>64</v>
      </c>
      <c r="J32" s="12">
        <f t="shared" si="0"/>
        <v>63</v>
      </c>
      <c r="K32" s="2" t="str" cm="1">
        <f t="array" ref="K32">_xlfn.IFS(AND(J32&gt;$O$6,J32&lt;$P$6),"AA",AND(J32&gt;$O$7,J32&lt;$P$7),"AB",AND(J32&gt;$O$8,J32&lt;$P$8),"BB",AND(J32&gt;$O$9,J32&lt;$P$9),"CB",AND(J32&gt;$O$10,J32&lt;$P$10),"CC",AND(J32&gt;$O$11,J32&lt;$P$11),"DC",AND(J32&gt;$O$12,J32&lt;$P$12),"DD",AND(J32&gt;$O$13,J32&lt;$P$13),"FD",AND(J32&gt;$O$14,J32&lt;$P$14),"FF")</f>
        <v>DD</v>
      </c>
      <c r="L32" s="7">
        <f t="shared" si="1"/>
        <v>4.9511906617681943E-3</v>
      </c>
    </row>
    <row r="33" spans="1:20" ht="15" x14ac:dyDescent="0.3">
      <c r="A33" s="14"/>
      <c r="D33" s="2"/>
      <c r="E33" s="2"/>
      <c r="F33" s="11"/>
      <c r="G33" s="11"/>
    </row>
    <row r="34" spans="1:20" ht="15" thickBot="1" x14ac:dyDescent="0.35">
      <c r="A34" s="14"/>
      <c r="B34" s="24" t="s">
        <v>1</v>
      </c>
      <c r="C34" s="7" t="s">
        <v>2</v>
      </c>
      <c r="D34" s="7" t="s">
        <v>39</v>
      </c>
      <c r="E34" s="25" t="s">
        <v>40</v>
      </c>
      <c r="F34" s="25" t="s">
        <v>41</v>
      </c>
      <c r="G34" s="25" t="s">
        <v>42</v>
      </c>
      <c r="H34" s="25" t="s">
        <v>43</v>
      </c>
      <c r="I34" s="25" t="s">
        <v>44</v>
      </c>
      <c r="M34" s="26" t="s">
        <v>45</v>
      </c>
      <c r="N34" s="26" t="s">
        <v>46</v>
      </c>
      <c r="O34" s="21" t="s">
        <v>47</v>
      </c>
      <c r="P34" s="4" t="s">
        <v>5</v>
      </c>
      <c r="Q34" s="4" t="s">
        <v>6</v>
      </c>
      <c r="R34" s="4" t="s">
        <v>7</v>
      </c>
      <c r="S34" s="4" t="s">
        <v>8</v>
      </c>
    </row>
    <row r="35" spans="1:20" ht="15.6" thickTop="1" x14ac:dyDescent="0.3">
      <c r="A35" s="14"/>
      <c r="B35" s="27">
        <v>1</v>
      </c>
      <c r="C35" s="2">
        <v>1</v>
      </c>
      <c r="D35" s="2" t="s">
        <v>3</v>
      </c>
      <c r="E35" s="2" t="s">
        <v>4</v>
      </c>
      <c r="F35" s="2">
        <f>([1]MIDTERM!N5/[1]MIDTERM!$D$37+[1]FINAL!N5/[1]FINAL!$D$37+[1]HOMEWORK!L5/[1]HOMEWORK!$O$38+[1]LAB!U5/[1]LAB!$D$46)/4</f>
        <v>0.46293650793650787</v>
      </c>
      <c r="G35" s="2">
        <f>([1]MIDTERM!O5/[1]MIDTERM!$D$38+[1]FINAL!O5/[1]FINAL!$D$38+[1]HOMEWORK!M5/[1]HOMEWORK!$O$39+[1]LAB!V5/[1]LAB!$D$47)/4</f>
        <v>0.37812499999999999</v>
      </c>
      <c r="H35" s="11">
        <f>([1]MIDTERM!P5/[1]MIDTERM!$D$39+[1]FINAL!P5/[1]FINAL!$D$39+[1]HOMEWORK!N5/[1]HOMEWORK!$O$40+[1]LAB!W5/[1]LAB!$D$48)/4</f>
        <v>0.43208333333333332</v>
      </c>
      <c r="I35" s="2">
        <f>([1]MIDTERM!Q5/[1]MIDTERM!$D$40+[1]FINAL!Q5/[1]FINAL!$D$40+[1]HOMEWORK!O5/[1]HOMEWORK!$O$41+[1]LAB!X5/[1]LAB!$D$49)/4</f>
        <v>0.39195075757575759</v>
      </c>
      <c r="M35" s="28">
        <v>1</v>
      </c>
      <c r="N35" s="9" t="s">
        <v>48</v>
      </c>
      <c r="O35" s="9">
        <f>Tablo413[[#This Row],[Midterm]]+Tablo413[[#This Row],[FINAL]]+Tablo413[[#This Row],[HOMEWORK]]+Tablo413[[#This Row],[LAB]]</f>
        <v>170</v>
      </c>
      <c r="P35" s="29">
        <f>[1]MIDTERM!J43</f>
        <v>30</v>
      </c>
      <c r="Q35" s="29">
        <f>[1]FINAL!J43</f>
        <v>70</v>
      </c>
      <c r="R35" s="29">
        <f>[1]HOMEWORK!I38</f>
        <v>45</v>
      </c>
      <c r="S35" s="29">
        <f>[1]LAB!Q37</f>
        <v>25</v>
      </c>
    </row>
    <row r="36" spans="1:20" ht="15" x14ac:dyDescent="0.3">
      <c r="A36" s="14"/>
      <c r="B36" s="30">
        <v>2</v>
      </c>
      <c r="C36" s="2">
        <v>2</v>
      </c>
      <c r="D36" s="2" t="s">
        <v>3</v>
      </c>
      <c r="E36" s="2" t="s">
        <v>4</v>
      </c>
      <c r="F36" s="2">
        <f>([1]MIDTERM!N6/[1]MIDTERM!$D$37+[1]FINAL!N6/[1]FINAL!$D$37+[1]HOMEWORK!L6/[1]HOMEWORK!$O$38+[1]LAB!U6/[1]LAB!$D$46)/4</f>
        <v>0.4084523809523809</v>
      </c>
      <c r="G36" s="11">
        <f>([1]MIDTERM!O6/[1]MIDTERM!$D$38+[1]FINAL!O6/[1]FINAL!$D$38+[1]HOMEWORK!M6/[1]HOMEWORK!$O$39+[1]LAB!V6/[1]LAB!$D$47)/4</f>
        <v>0.47187500000000004</v>
      </c>
      <c r="H36" s="11">
        <f>([1]MIDTERM!P6/[1]MIDTERM!$D$39+[1]FINAL!P6/[1]FINAL!$D$39+[1]HOMEWORK!N6/[1]HOMEWORK!$O$40+[1]LAB!W6/[1]LAB!$D$48)/4</f>
        <v>0.37421875000000004</v>
      </c>
      <c r="I36" s="2">
        <f>([1]MIDTERM!Q6/[1]MIDTERM!$D$40+[1]FINAL!Q6/[1]FINAL!$D$40+[1]HOMEWORK!O6/[1]HOMEWORK!$O$41+[1]LAB!X6/[1]LAB!$D$49)/4</f>
        <v>0.44621212121212123</v>
      </c>
      <c r="M36" s="28">
        <v>2</v>
      </c>
      <c r="N36" s="9" t="s">
        <v>49</v>
      </c>
      <c r="O36" s="9">
        <f>Tablo413[[#This Row],[Midterm]]+Tablo413[[#This Row],[FINAL]]+Tablo413[[#This Row],[HOMEWORK]]+Tablo413[[#This Row],[LAB]]</f>
        <v>65</v>
      </c>
      <c r="P36" s="29">
        <f>[1]MIDTERM!J44</f>
        <v>10</v>
      </c>
      <c r="Q36" s="29">
        <f>[1]FINAL!J44</f>
        <v>5</v>
      </c>
      <c r="R36" s="29">
        <f>[1]HOMEWORK!I39</f>
        <v>10</v>
      </c>
      <c r="S36" s="29">
        <f>[1]LAB!Q38</f>
        <v>40</v>
      </c>
    </row>
    <row r="37" spans="1:20" ht="15" x14ac:dyDescent="0.3">
      <c r="A37" s="14"/>
      <c r="B37" s="27">
        <v>3</v>
      </c>
      <c r="C37" s="2">
        <v>3</v>
      </c>
      <c r="D37" s="2" t="s">
        <v>3</v>
      </c>
      <c r="E37" s="2" t="s">
        <v>4</v>
      </c>
      <c r="F37" s="2">
        <f>([1]MIDTERM!N7/[1]MIDTERM!$D$37+[1]FINAL!N7/[1]FINAL!$D$37+[1]HOMEWORK!L7/[1]HOMEWORK!$O$38+[1]LAB!U7/[1]LAB!$D$46)/4</f>
        <v>0.48957671957671955</v>
      </c>
      <c r="G37" s="11">
        <f>([1]MIDTERM!O7/[1]MIDTERM!$D$38+[1]FINAL!O7/[1]FINAL!$D$38+[1]HOMEWORK!M7/[1]HOMEWORK!$O$39+[1]LAB!V7/[1]LAB!$D$47)/4</f>
        <v>0.36145833333333333</v>
      </c>
      <c r="H37" s="11">
        <f>([1]MIDTERM!P7/[1]MIDTERM!$D$39+[1]FINAL!P7/[1]FINAL!$D$39+[1]HOMEWORK!N7/[1]HOMEWORK!$O$40+[1]LAB!W7/[1]LAB!$D$48)/4</f>
        <v>0.45020833333333332</v>
      </c>
      <c r="I37" s="2">
        <f>([1]MIDTERM!Q7/[1]MIDTERM!$D$40+[1]FINAL!Q7/[1]FINAL!$D$40+[1]HOMEWORK!O7/[1]HOMEWORK!$O$41+[1]LAB!X7/[1]LAB!$D$49)/4</f>
        <v>0.35615530303030307</v>
      </c>
      <c r="M37" s="28">
        <v>3</v>
      </c>
      <c r="N37" s="9" t="s">
        <v>50</v>
      </c>
      <c r="O37" s="9">
        <f>Tablo413[[#This Row],[Midterm]]+Tablo413[[#This Row],[FINAL]]+Tablo413[[#This Row],[HOMEWORK]]+Tablo413[[#This Row],[LAB]]</f>
        <v>115</v>
      </c>
      <c r="P37" s="29">
        <f>[1]MIDTERM!J45</f>
        <v>5</v>
      </c>
      <c r="Q37" s="29">
        <f>[1]FINAL!J45</f>
        <v>40</v>
      </c>
      <c r="R37" s="29">
        <f>[1]HOMEWORK!I40</f>
        <v>20</v>
      </c>
      <c r="S37" s="29">
        <f>[1]LAB!Q39</f>
        <v>50</v>
      </c>
    </row>
    <row r="38" spans="1:20" ht="15" x14ac:dyDescent="0.3">
      <c r="A38" s="14"/>
      <c r="B38" s="30">
        <v>4</v>
      </c>
      <c r="C38" s="2">
        <v>4</v>
      </c>
      <c r="D38" s="2" t="s">
        <v>3</v>
      </c>
      <c r="E38" s="2" t="s">
        <v>4</v>
      </c>
      <c r="F38" s="2">
        <f>([1]MIDTERM!N8/[1]MIDTERM!$D$37+[1]FINAL!N8/[1]FINAL!$D$37+[1]HOMEWORK!L8/[1]HOMEWORK!$O$38+[1]LAB!U8/[1]LAB!$D$46)/4</f>
        <v>0.41357142857142859</v>
      </c>
      <c r="G38" s="11">
        <f>([1]MIDTERM!O8/[1]MIDTERM!$D$38+[1]FINAL!O8/[1]FINAL!$D$38+[1]HOMEWORK!M8/[1]HOMEWORK!$O$39+[1]LAB!V8/[1]LAB!$D$47)/4</f>
        <v>0.27291666666666664</v>
      </c>
      <c r="H38" s="11">
        <f>([1]MIDTERM!P8/[1]MIDTERM!$D$39+[1]FINAL!P8/[1]FINAL!$D$39+[1]HOMEWORK!N8/[1]HOMEWORK!$O$40+[1]LAB!W8/[1]LAB!$D$48)/4</f>
        <v>0.41437500000000005</v>
      </c>
      <c r="I38" s="2">
        <f>([1]MIDTERM!Q8/[1]MIDTERM!$D$40+[1]FINAL!Q8/[1]FINAL!$D$40+[1]HOMEWORK!O8/[1]HOMEWORK!$O$41+[1]LAB!X8/[1]LAB!$D$49)/4</f>
        <v>0.38011363636363638</v>
      </c>
      <c r="M38" s="2">
        <v>4</v>
      </c>
      <c r="N38" s="9" t="s">
        <v>51</v>
      </c>
      <c r="O38" s="9">
        <f>Tablo413[[#This Row],[Midterm]]+Tablo413[[#This Row],[FINAL]]+Tablo413[[#This Row],[HOMEWORK]]+Tablo413[[#This Row],[LAB]]</f>
        <v>125</v>
      </c>
      <c r="P38" s="29">
        <f>[1]MIDTERM!J46</f>
        <v>40</v>
      </c>
      <c r="Q38" s="29">
        <f>[1]FINAL!J46</f>
        <v>20</v>
      </c>
      <c r="R38" s="29">
        <f>[1]HOMEWORK!I41</f>
        <v>10</v>
      </c>
      <c r="S38" s="29">
        <f>[1]LAB!Q40</f>
        <v>55</v>
      </c>
    </row>
    <row r="39" spans="1:20" ht="15" x14ac:dyDescent="0.3">
      <c r="A39" s="14"/>
      <c r="B39" s="27">
        <v>5</v>
      </c>
      <c r="C39" s="2">
        <v>5</v>
      </c>
      <c r="D39" s="2" t="s">
        <v>3</v>
      </c>
      <c r="E39" s="2" t="s">
        <v>4</v>
      </c>
      <c r="F39" s="2">
        <f>([1]MIDTERM!N9/[1]MIDTERM!$D$37+[1]FINAL!N9/[1]FINAL!$D$37+[1]HOMEWORK!L9/[1]HOMEWORK!$O$38+[1]LAB!U9/[1]LAB!$D$46)/4</f>
        <v>0.43134920634920637</v>
      </c>
      <c r="G39" s="11">
        <f>([1]MIDTERM!O9/[1]MIDTERM!$D$38+[1]FINAL!O9/[1]FINAL!$D$38+[1]HOMEWORK!M9/[1]HOMEWORK!$O$39+[1]LAB!V9/[1]LAB!$D$47)/4</f>
        <v>0.45625000000000004</v>
      </c>
      <c r="H39" s="11">
        <f>([1]MIDTERM!P9/[1]MIDTERM!$D$39+[1]FINAL!P9/[1]FINAL!$D$39+[1]HOMEWORK!N9/[1]HOMEWORK!$O$40+[1]LAB!W9/[1]LAB!$D$48)/4</f>
        <v>0.36843750000000003</v>
      </c>
      <c r="I39" s="2">
        <f>([1]MIDTERM!Q9/[1]MIDTERM!$D$40+[1]FINAL!Q9/[1]FINAL!$D$40+[1]HOMEWORK!O9/[1]HOMEWORK!$O$41+[1]LAB!X9/[1]LAB!$D$49)/4</f>
        <v>0.26126893939393936</v>
      </c>
    </row>
    <row r="40" spans="1:20" ht="15.6" x14ac:dyDescent="0.3">
      <c r="A40" s="14"/>
      <c r="B40" s="30">
        <v>6</v>
      </c>
      <c r="C40" s="2">
        <v>6</v>
      </c>
      <c r="D40" s="2" t="s">
        <v>3</v>
      </c>
      <c r="E40" s="2" t="s">
        <v>4</v>
      </c>
      <c r="F40" s="2">
        <f>([1]MIDTERM!N10/[1]MIDTERM!$D$37+[1]FINAL!N10/[1]FINAL!$D$37+[1]HOMEWORK!L10/[1]HOMEWORK!$O$38+[1]LAB!U10/[1]LAB!$D$46)/4</f>
        <v>0.43865079365079362</v>
      </c>
      <c r="G40" s="11">
        <f>([1]MIDTERM!O10/[1]MIDTERM!$D$38+[1]FINAL!O10/[1]FINAL!$D$38+[1]HOMEWORK!M10/[1]HOMEWORK!$O$39+[1]LAB!V10/[1]LAB!$D$47)/4</f>
        <v>0.41875000000000001</v>
      </c>
      <c r="H40" s="11">
        <f>([1]MIDTERM!P10/[1]MIDTERM!$D$39+[1]FINAL!P10/[1]FINAL!$D$39+[1]HOMEWORK!N10/[1]HOMEWORK!$O$40+[1]LAB!W10/[1]LAB!$D$48)/4</f>
        <v>0.4223958333333333</v>
      </c>
      <c r="I40" s="2">
        <f>([1]MIDTERM!Q10/[1]MIDTERM!$D$40+[1]FINAL!Q10/[1]FINAL!$D$40+[1]HOMEWORK!O10/[1]HOMEWORK!$O$41+[1]LAB!X10/[1]LAB!$D$49)/4</f>
        <v>0.27102272727272725</v>
      </c>
      <c r="M40" s="26" t="s">
        <v>45</v>
      </c>
      <c r="N40" s="26" t="s">
        <v>46</v>
      </c>
      <c r="O40" s="4" t="s">
        <v>8</v>
      </c>
      <c r="P40" s="4" t="s">
        <v>5</v>
      </c>
      <c r="Q40" s="4" t="s">
        <v>6</v>
      </c>
      <c r="R40" s="4" t="s">
        <v>7</v>
      </c>
      <c r="S40" s="31" t="s">
        <v>52</v>
      </c>
      <c r="T40" s="9"/>
    </row>
    <row r="41" spans="1:20" ht="15" x14ac:dyDescent="0.3">
      <c r="A41" s="14"/>
      <c r="B41" s="27">
        <v>7</v>
      </c>
      <c r="C41" s="2">
        <v>7</v>
      </c>
      <c r="D41" s="2" t="s">
        <v>3</v>
      </c>
      <c r="E41" s="2" t="s">
        <v>4</v>
      </c>
      <c r="F41" s="2">
        <f>([1]MIDTERM!N11/[1]MIDTERM!$D$37+[1]FINAL!N11/[1]FINAL!$D$37+[1]HOMEWORK!L11/[1]HOMEWORK!$O$38+[1]LAB!U11/[1]LAB!$D$46)/4</f>
        <v>0.45185185185185184</v>
      </c>
      <c r="G41" s="11">
        <f>([1]MIDTERM!O11/[1]MIDTERM!$D$38+[1]FINAL!O11/[1]FINAL!$D$38+[1]HOMEWORK!M11/[1]HOMEWORK!$O$39+[1]LAB!V11/[1]LAB!$D$47)/4</f>
        <v>0.4</v>
      </c>
      <c r="H41" s="11">
        <f>([1]MIDTERM!P11/[1]MIDTERM!$D$39+[1]FINAL!P11/[1]FINAL!$D$39+[1]HOMEWORK!N11/[1]HOMEWORK!$O$40+[1]LAB!W11/[1]LAB!$D$48)/4</f>
        <v>0.46677083333333336</v>
      </c>
      <c r="I41" s="2">
        <f>([1]MIDTERM!Q11/[1]MIDTERM!$D$40+[1]FINAL!Q11/[1]FINAL!$D$40+[1]HOMEWORK!O11/[1]HOMEWORK!$O$41+[1]LAB!X11/[1]LAB!$D$49)/4</f>
        <v>0.19043560606060606</v>
      </c>
      <c r="M41" s="28">
        <v>1</v>
      </c>
      <c r="N41" s="9" t="s">
        <v>48</v>
      </c>
      <c r="O41" s="9">
        <f>[1]LAB!S37</f>
        <v>14.816666666666666</v>
      </c>
      <c r="P41" s="29">
        <f>[1]MIDTERM!L43</f>
        <v>9.3305555555555539</v>
      </c>
      <c r="Q41" s="29">
        <f>[1]FINAL!L43</f>
        <v>28.197222222222219</v>
      </c>
      <c r="R41" s="9">
        <f>[1]HOMEWORK!K38</f>
        <v>11.697222222222226</v>
      </c>
      <c r="S41" s="9">
        <f>SUM(Tablo41342[[#This Row],[LAB]:[HOMEWORK]])</f>
        <v>64.041666666666657</v>
      </c>
      <c r="T41" s="9"/>
    </row>
    <row r="42" spans="1:20" ht="15" x14ac:dyDescent="0.3">
      <c r="A42" s="14"/>
      <c r="B42" s="30">
        <v>8</v>
      </c>
      <c r="C42" s="2">
        <v>8</v>
      </c>
      <c r="D42" s="2" t="s">
        <v>3</v>
      </c>
      <c r="E42" s="2" t="s">
        <v>4</v>
      </c>
      <c r="F42" s="2">
        <f>([1]MIDTERM!N12/[1]MIDTERM!$D$37+[1]FINAL!N12/[1]FINAL!$D$37+[1]HOMEWORK!L12/[1]HOMEWORK!$O$38+[1]LAB!U12/[1]LAB!$D$46)/4</f>
        <v>0.47145502645502646</v>
      </c>
      <c r="G42" s="11">
        <f>([1]MIDTERM!O12/[1]MIDTERM!$D$38+[1]FINAL!O12/[1]FINAL!$D$38+[1]HOMEWORK!M12/[1]HOMEWORK!$O$39+[1]LAB!V12/[1]LAB!$D$47)/4</f>
        <v>0.35624999999999996</v>
      </c>
      <c r="H42" s="11">
        <f>([1]MIDTERM!P12/[1]MIDTERM!$D$39+[1]FINAL!P12/[1]FINAL!$D$39+[1]HOMEWORK!N12/[1]HOMEWORK!$O$40+[1]LAB!W12/[1]LAB!$D$48)/4</f>
        <v>0.42625000000000002</v>
      </c>
      <c r="I42" s="2">
        <f>([1]MIDTERM!Q12/[1]MIDTERM!$D$40+[1]FINAL!Q12/[1]FINAL!$D$40+[1]HOMEWORK!O12/[1]HOMEWORK!$O$41+[1]LAB!X12/[1]LAB!$D$49)/4</f>
        <v>0.2824810606060606</v>
      </c>
      <c r="M42" s="28">
        <v>2</v>
      </c>
      <c r="N42" s="9" t="s">
        <v>49</v>
      </c>
      <c r="O42" s="9">
        <f>[1]LAB!S38</f>
        <v>22.866666666666667</v>
      </c>
      <c r="P42" s="29">
        <f>[1]MIDTERM!L44</f>
        <v>2.8055555555555554</v>
      </c>
      <c r="Q42" s="29">
        <f>[1]FINAL!L44</f>
        <v>2.0458333333333334</v>
      </c>
      <c r="R42" s="9">
        <f>[1]HOMEWORK!K39</f>
        <v>1.7833333333333334</v>
      </c>
      <c r="S42" s="9">
        <f>SUM(Tablo41342[[#This Row],[LAB]:[HOMEWORK]])</f>
        <v>29.501388888888894</v>
      </c>
      <c r="T42" s="9"/>
    </row>
    <row r="43" spans="1:20" ht="15" x14ac:dyDescent="0.3">
      <c r="A43" s="14"/>
      <c r="B43" s="27">
        <v>9</v>
      </c>
      <c r="C43" s="2">
        <v>9</v>
      </c>
      <c r="D43" s="2" t="s">
        <v>3</v>
      </c>
      <c r="E43" s="2" t="s">
        <v>4</v>
      </c>
      <c r="F43" s="2">
        <f>([1]MIDTERM!N13/[1]MIDTERM!$D$37+[1]FINAL!N13/[1]FINAL!$D$37+[1]HOMEWORK!L13/[1]HOMEWORK!$O$38+[1]LAB!U13/[1]LAB!$D$46)/4</f>
        <v>0.3543121693121693</v>
      </c>
      <c r="G43" s="11">
        <f>([1]MIDTERM!O13/[1]MIDTERM!$D$38+[1]FINAL!O13/[1]FINAL!$D$38+[1]HOMEWORK!M13/[1]HOMEWORK!$O$39+[1]LAB!V13/[1]LAB!$D$47)/4</f>
        <v>0.36145833333333333</v>
      </c>
      <c r="H43" s="11">
        <f>([1]MIDTERM!P13/[1]MIDTERM!$D$39+[1]FINAL!P13/[1]FINAL!$D$39+[1]HOMEWORK!N13/[1]HOMEWORK!$O$40+[1]LAB!W13/[1]LAB!$D$48)/4</f>
        <v>0.40427083333333336</v>
      </c>
      <c r="I43" s="2">
        <f>([1]MIDTERM!Q13/[1]MIDTERM!$D$40+[1]FINAL!Q13/[1]FINAL!$D$40+[1]HOMEWORK!O13/[1]HOMEWORK!$O$41+[1]LAB!X13/[1]LAB!$D$49)/4</f>
        <v>0.31534090909090906</v>
      </c>
      <c r="M43" s="28">
        <v>3</v>
      </c>
      <c r="N43" s="9" t="s">
        <v>50</v>
      </c>
      <c r="O43" s="9">
        <f>[1]LAB!S39</f>
        <v>25.933333333333337</v>
      </c>
      <c r="P43" s="29">
        <f>[1]MIDTERM!L45</f>
        <v>2.0222222222222217</v>
      </c>
      <c r="Q43" s="29">
        <f>[1]FINAL!L45</f>
        <v>15.698611111111109</v>
      </c>
      <c r="R43" s="9">
        <f>[1]HOMEWORK!K40</f>
        <v>4.0388888888888888</v>
      </c>
      <c r="S43" s="9">
        <f>SUM(Tablo41342[[#This Row],[LAB]:[HOMEWORK]])</f>
        <v>47.69305555555556</v>
      </c>
      <c r="T43" s="9"/>
    </row>
    <row r="44" spans="1:20" ht="15" x14ac:dyDescent="0.3">
      <c r="A44" s="14"/>
      <c r="B44" s="30">
        <v>10</v>
      </c>
      <c r="C44" s="2">
        <v>10</v>
      </c>
      <c r="D44" s="2" t="s">
        <v>3</v>
      </c>
      <c r="E44" s="2" t="s">
        <v>4</v>
      </c>
      <c r="F44" s="2">
        <f>([1]MIDTERM!N14/[1]MIDTERM!$D$37+[1]FINAL!N14/[1]FINAL!$D$37+[1]HOMEWORK!L14/[1]HOMEWORK!$O$38+[1]LAB!U14/[1]LAB!$D$46)/4</f>
        <v>0.43232804232804234</v>
      </c>
      <c r="G44" s="11">
        <f>([1]MIDTERM!O14/[1]MIDTERM!$D$38+[1]FINAL!O14/[1]FINAL!$D$38+[1]HOMEWORK!M14/[1]HOMEWORK!$O$39+[1]LAB!V14/[1]LAB!$D$47)/4</f>
        <v>0.28020833333333334</v>
      </c>
      <c r="H44" s="11">
        <f>([1]MIDTERM!P14/[1]MIDTERM!$D$39+[1]FINAL!P14/[1]FINAL!$D$39+[1]HOMEWORK!N14/[1]HOMEWORK!$O$40+[1]LAB!W14/[1]LAB!$D$48)/4</f>
        <v>0.43666666666666665</v>
      </c>
      <c r="I44" s="2">
        <f>([1]MIDTERM!Q14/[1]MIDTERM!$D$40+[1]FINAL!Q14/[1]FINAL!$D$40+[1]HOMEWORK!O14/[1]HOMEWORK!$O$41+[1]LAB!X14/[1]LAB!$D$49)/4</f>
        <v>0.52670454545454548</v>
      </c>
      <c r="M44" s="2">
        <v>4</v>
      </c>
      <c r="N44" s="9" t="s">
        <v>51</v>
      </c>
      <c r="O44" s="9">
        <f>[1]LAB!S40</f>
        <v>28.93333333333333</v>
      </c>
      <c r="P44" s="29">
        <f>[1]MIDTERM!L46</f>
        <v>16.522222222222226</v>
      </c>
      <c r="Q44" s="29">
        <f>[1]FINAL!L46</f>
        <v>3.5333333333333332</v>
      </c>
      <c r="R44" s="9">
        <f>[1]HOMEWORK!K41</f>
        <v>1.05</v>
      </c>
      <c r="S44" s="9">
        <f>SUM(Tablo41342[[#This Row],[LAB]:[HOMEWORK]])</f>
        <v>50.038888888888884</v>
      </c>
      <c r="T44" s="9"/>
    </row>
    <row r="45" spans="1:20" ht="15" x14ac:dyDescent="0.3">
      <c r="A45" s="14"/>
      <c r="B45" s="27">
        <v>11</v>
      </c>
      <c r="C45" s="2">
        <v>11</v>
      </c>
      <c r="D45" s="2" t="s">
        <v>3</v>
      </c>
      <c r="E45" s="2" t="s">
        <v>4</v>
      </c>
      <c r="F45" s="2">
        <f>([1]MIDTERM!N15/[1]MIDTERM!$D$37+[1]FINAL!N15/[1]FINAL!$D$37+[1]HOMEWORK!L15/[1]HOMEWORK!$O$38+[1]LAB!U15/[1]LAB!$D$46)/4</f>
        <v>0.42190476190476189</v>
      </c>
      <c r="G45" s="11">
        <f>([1]MIDTERM!O15/[1]MIDTERM!$D$38+[1]FINAL!O15/[1]FINAL!$D$38+[1]HOMEWORK!M15/[1]HOMEWORK!$O$39+[1]LAB!V15/[1]LAB!$D$47)/4</f>
        <v>0.29270833333333335</v>
      </c>
      <c r="H45" s="11">
        <f>([1]MIDTERM!P15/[1]MIDTERM!$D$39+[1]FINAL!P15/[1]FINAL!$D$39+[1]HOMEWORK!N15/[1]HOMEWORK!$O$40+[1]LAB!W15/[1]LAB!$D$48)/4</f>
        <v>0.38635416666666661</v>
      </c>
      <c r="I45" s="2">
        <f>([1]MIDTERM!Q15/[1]MIDTERM!$D$40+[1]FINAL!Q15/[1]FINAL!$D$40+[1]HOMEWORK!O15/[1]HOMEWORK!$O$41+[1]LAB!X15/[1]LAB!$D$49)/4</f>
        <v>0.36174242424242425</v>
      </c>
    </row>
    <row r="46" spans="1:20" ht="15" x14ac:dyDescent="0.3">
      <c r="A46" s="14"/>
      <c r="B46" s="30">
        <v>12</v>
      </c>
      <c r="C46" s="2">
        <v>12</v>
      </c>
      <c r="D46" s="2" t="s">
        <v>3</v>
      </c>
      <c r="E46" s="2" t="s">
        <v>4</v>
      </c>
      <c r="F46" s="2">
        <f>([1]MIDTERM!N16/[1]MIDTERM!$D$37+[1]FINAL!N16/[1]FINAL!$D$37+[1]HOMEWORK!L16/[1]HOMEWORK!$O$38+[1]LAB!U16/[1]LAB!$D$46)/4</f>
        <v>0.42708994708994708</v>
      </c>
      <c r="G46" s="11">
        <f>([1]MIDTERM!O16/[1]MIDTERM!$D$38+[1]FINAL!O16/[1]FINAL!$D$38+[1]HOMEWORK!M16/[1]HOMEWORK!$O$39+[1]LAB!V16/[1]LAB!$D$47)/4</f>
        <v>0.41666666666666663</v>
      </c>
      <c r="H46" s="11">
        <f>([1]MIDTERM!P16/[1]MIDTERM!$D$39+[1]FINAL!P16/[1]FINAL!$D$39+[1]HOMEWORK!N16/[1]HOMEWORK!$O$40+[1]LAB!W16/[1]LAB!$D$48)/4</f>
        <v>0.41062499999999996</v>
      </c>
      <c r="I46" s="2">
        <f>([1]MIDTERM!Q16/[1]MIDTERM!$D$40+[1]FINAL!Q16/[1]FINAL!$D$40+[1]HOMEWORK!O16/[1]HOMEWORK!$O$41+[1]LAB!X16/[1]LAB!$D$49)/4</f>
        <v>0.3130681818181818</v>
      </c>
    </row>
    <row r="47" spans="1:20" ht="15" x14ac:dyDescent="0.3">
      <c r="A47" s="14"/>
      <c r="B47" s="27">
        <v>13</v>
      </c>
      <c r="C47" s="2">
        <v>13</v>
      </c>
      <c r="D47" s="2" t="s">
        <v>3</v>
      </c>
      <c r="E47" s="2" t="s">
        <v>4</v>
      </c>
      <c r="F47" s="2">
        <f>([1]MIDTERM!N17/[1]MIDTERM!$D$37+[1]FINAL!N17/[1]FINAL!$D$37+[1]HOMEWORK!L17/[1]HOMEWORK!$O$38+[1]LAB!U17/[1]LAB!$D$46)/4</f>
        <v>0.40748677248677245</v>
      </c>
      <c r="G47" s="11">
        <f>([1]MIDTERM!O17/[1]MIDTERM!$D$38+[1]FINAL!O17/[1]FINAL!$D$38+[1]HOMEWORK!M17/[1]HOMEWORK!$O$39+[1]LAB!V17/[1]LAB!$D$47)/4</f>
        <v>0.45729166666666665</v>
      </c>
      <c r="H47" s="11">
        <f>([1]MIDTERM!P17/[1]MIDTERM!$D$39+[1]FINAL!P17/[1]FINAL!$D$39+[1]HOMEWORK!N17/[1]HOMEWORK!$O$40+[1]LAB!W17/[1]LAB!$D$48)/4</f>
        <v>0.38083333333333336</v>
      </c>
      <c r="I47" s="2">
        <f>([1]MIDTERM!Q17/[1]MIDTERM!$D$40+[1]FINAL!Q17/[1]FINAL!$D$40+[1]HOMEWORK!O17/[1]HOMEWORK!$O$41+[1]LAB!X17/[1]LAB!$D$49)/4</f>
        <v>0.3040719696969697</v>
      </c>
    </row>
    <row r="48" spans="1:20" ht="15" x14ac:dyDescent="0.3">
      <c r="A48" s="14"/>
      <c r="B48" s="30">
        <v>14</v>
      </c>
      <c r="C48" s="2">
        <v>14</v>
      </c>
      <c r="D48" s="2" t="s">
        <v>3</v>
      </c>
      <c r="E48" s="2" t="s">
        <v>4</v>
      </c>
      <c r="F48" s="2">
        <f>([1]MIDTERM!N18/[1]MIDTERM!$D$37+[1]FINAL!N18/[1]FINAL!$D$37+[1]HOMEWORK!L18/[1]HOMEWORK!$O$38+[1]LAB!U18/[1]LAB!$D$46)/4</f>
        <v>0.47039682539682548</v>
      </c>
      <c r="G48" s="11">
        <f>([1]MIDTERM!O18/[1]MIDTERM!$D$38+[1]FINAL!O18/[1]FINAL!$D$38+[1]HOMEWORK!M18/[1]HOMEWORK!$O$39+[1]LAB!V18/[1]LAB!$D$47)/4</f>
        <v>0.35729166666666667</v>
      </c>
      <c r="H48" s="11">
        <f>([1]MIDTERM!P18/[1]MIDTERM!$D$39+[1]FINAL!P18/[1]FINAL!$D$39+[1]HOMEWORK!N18/[1]HOMEWORK!$O$40+[1]LAB!W18/[1]LAB!$D$48)/4</f>
        <v>0.41114583333333332</v>
      </c>
      <c r="I48" s="2">
        <f>([1]MIDTERM!Q18/[1]MIDTERM!$D$40+[1]FINAL!Q18/[1]FINAL!$D$40+[1]HOMEWORK!O18/[1]HOMEWORK!$O$41+[1]LAB!X18/[1]LAB!$D$49)/4</f>
        <v>0.34678030303030305</v>
      </c>
    </row>
    <row r="49" spans="1:10" ht="15" x14ac:dyDescent="0.3">
      <c r="A49" s="14"/>
      <c r="B49" s="27">
        <v>15</v>
      </c>
      <c r="C49" s="2">
        <v>15</v>
      </c>
      <c r="D49" s="2" t="s">
        <v>3</v>
      </c>
      <c r="E49" s="2" t="s">
        <v>4</v>
      </c>
      <c r="F49" s="2">
        <f>([1]MIDTERM!N19/[1]MIDTERM!$D$37+[1]FINAL!N19/[1]FINAL!$D$37+[1]HOMEWORK!L19/[1]HOMEWORK!$O$38+[1]LAB!U19/[1]LAB!$D$46)/4</f>
        <v>0.37558201058201057</v>
      </c>
      <c r="G49" s="11">
        <f>([1]MIDTERM!O19/[1]MIDTERM!$D$38+[1]FINAL!O19/[1]FINAL!$D$38+[1]HOMEWORK!M19/[1]HOMEWORK!$O$39+[1]LAB!V19/[1]LAB!$D$47)/4</f>
        <v>0.31145833333333334</v>
      </c>
      <c r="H49" s="11">
        <f>([1]MIDTERM!P19/[1]MIDTERM!$D$39+[1]FINAL!P19/[1]FINAL!$D$39+[1]HOMEWORK!N19/[1]HOMEWORK!$O$40+[1]LAB!W19/[1]LAB!$D$48)/4</f>
        <v>0.39427083333333335</v>
      </c>
      <c r="I49" s="2">
        <f>([1]MIDTERM!Q19/[1]MIDTERM!$D$40+[1]FINAL!Q19/[1]FINAL!$D$40+[1]HOMEWORK!O19/[1]HOMEWORK!$O$41+[1]LAB!X19/[1]LAB!$D$49)/4</f>
        <v>0.25672348484848484</v>
      </c>
    </row>
    <row r="50" spans="1:10" ht="15" x14ac:dyDescent="0.3">
      <c r="A50" s="14"/>
      <c r="B50" s="30">
        <v>16</v>
      </c>
      <c r="C50" s="2">
        <v>16</v>
      </c>
      <c r="D50" s="2" t="s">
        <v>3</v>
      </c>
      <c r="E50" s="2" t="s">
        <v>4</v>
      </c>
      <c r="F50" s="2">
        <f>([1]MIDTERM!N20/[1]MIDTERM!$D$37+[1]FINAL!N20/[1]FINAL!$D$37+[1]HOMEWORK!L20/[1]HOMEWORK!$O$38+[1]LAB!U20/[1]LAB!$D$46)/4</f>
        <v>0.38571428571428568</v>
      </c>
      <c r="G50" s="11">
        <f>([1]MIDTERM!O20/[1]MIDTERM!$D$38+[1]FINAL!O20/[1]FINAL!$D$38+[1]HOMEWORK!M20/[1]HOMEWORK!$O$39+[1]LAB!V20/[1]LAB!$D$47)/4</f>
        <v>0.39479166666666665</v>
      </c>
      <c r="H50" s="11">
        <f>([1]MIDTERM!P20/[1]MIDTERM!$D$39+[1]FINAL!P20/[1]FINAL!$D$39+[1]HOMEWORK!N20/[1]HOMEWORK!$O$40+[1]LAB!W20/[1]LAB!$D$48)/4</f>
        <v>0.45291666666666663</v>
      </c>
      <c r="I50" s="2">
        <f>([1]MIDTERM!Q20/[1]MIDTERM!$D$40+[1]FINAL!Q20/[1]FINAL!$D$40+[1]HOMEWORK!O20/[1]HOMEWORK!$O$41+[1]LAB!X20/[1]LAB!$D$49)/4</f>
        <v>0.23484848484848486</v>
      </c>
    </row>
    <row r="51" spans="1:10" ht="15" x14ac:dyDescent="0.3">
      <c r="A51" s="14"/>
      <c r="B51" s="27">
        <v>17</v>
      </c>
      <c r="C51" s="2">
        <v>17</v>
      </c>
      <c r="D51" s="2" t="s">
        <v>3</v>
      </c>
      <c r="E51" s="2" t="s">
        <v>4</v>
      </c>
      <c r="F51" s="2">
        <f>([1]MIDTERM!N21/[1]MIDTERM!$D$37+[1]FINAL!N21/[1]FINAL!$D$37+[1]HOMEWORK!L21/[1]HOMEWORK!$O$38+[1]LAB!U21/[1]LAB!$D$46)/4</f>
        <v>0.41685185185185181</v>
      </c>
      <c r="G51" s="11">
        <f>([1]MIDTERM!O21/[1]MIDTERM!$D$38+[1]FINAL!O21/[1]FINAL!$D$38+[1]HOMEWORK!M21/[1]HOMEWORK!$O$39+[1]LAB!V21/[1]LAB!$D$47)/4</f>
        <v>0.4614583333333333</v>
      </c>
      <c r="H51" s="11">
        <f>([1]MIDTERM!P21/[1]MIDTERM!$D$39+[1]FINAL!P21/[1]FINAL!$D$39+[1]HOMEWORK!N21/[1]HOMEWORK!$O$40+[1]LAB!W21/[1]LAB!$D$48)/4</f>
        <v>0.37927083333333333</v>
      </c>
      <c r="I51" s="2">
        <f>([1]MIDTERM!Q21/[1]MIDTERM!$D$40+[1]FINAL!Q21/[1]FINAL!$D$40+[1]HOMEWORK!O21/[1]HOMEWORK!$O$41+[1]LAB!X21/[1]LAB!$D$49)/4</f>
        <v>0.26960227272727272</v>
      </c>
    </row>
    <row r="52" spans="1:10" ht="15" x14ac:dyDescent="0.3">
      <c r="A52" s="14"/>
      <c r="B52" s="30">
        <v>18</v>
      </c>
      <c r="C52" s="2">
        <v>18</v>
      </c>
      <c r="D52" s="2" t="s">
        <v>3</v>
      </c>
      <c r="E52" s="2" t="s">
        <v>4</v>
      </c>
      <c r="F52" s="2">
        <f>([1]MIDTERM!N22/[1]MIDTERM!$D$37+[1]FINAL!N22/[1]FINAL!$D$37+[1]HOMEWORK!L22/[1]HOMEWORK!$O$38+[1]LAB!U22/[1]LAB!$D$46)/4</f>
        <v>0.31936507936507935</v>
      </c>
      <c r="G52" s="11">
        <f>([1]MIDTERM!O22/[1]MIDTERM!$D$38+[1]FINAL!O22/[1]FINAL!$D$38+[1]HOMEWORK!M22/[1]HOMEWORK!$O$39+[1]LAB!V22/[1]LAB!$D$47)/4</f>
        <v>0.25312499999999999</v>
      </c>
      <c r="H52" s="11">
        <f>([1]MIDTERM!P22/[1]MIDTERM!$D$39+[1]FINAL!P22/[1]FINAL!$D$39+[1]HOMEWORK!N22/[1]HOMEWORK!$O$40+[1]LAB!W22/[1]LAB!$D$48)/4</f>
        <v>0.33989583333333329</v>
      </c>
      <c r="I52" s="2">
        <f>([1]MIDTERM!Q22/[1]MIDTERM!$D$40+[1]FINAL!Q22/[1]FINAL!$D$40+[1]HOMEWORK!O22/[1]HOMEWORK!$O$41+[1]LAB!X22/[1]LAB!$D$49)/4</f>
        <v>0.37831439393939392</v>
      </c>
    </row>
    <row r="53" spans="1:10" ht="15" x14ac:dyDescent="0.3">
      <c r="A53" s="14"/>
      <c r="B53" s="27">
        <v>19</v>
      </c>
      <c r="C53" s="2">
        <v>19</v>
      </c>
      <c r="D53" s="2" t="s">
        <v>3</v>
      </c>
      <c r="E53" s="2" t="s">
        <v>4</v>
      </c>
      <c r="F53" s="2">
        <f>([1]MIDTERM!N23/[1]MIDTERM!$D$37+[1]FINAL!N23/[1]FINAL!$D$37+[1]HOMEWORK!L23/[1]HOMEWORK!$O$38+[1]LAB!U23/[1]LAB!$D$46)/4</f>
        <v>0.33772486772486771</v>
      </c>
      <c r="G53" s="11">
        <f>([1]MIDTERM!O23/[1]MIDTERM!$D$38+[1]FINAL!O23/[1]FINAL!$D$38+[1]HOMEWORK!M23/[1]HOMEWORK!$O$39+[1]LAB!V23/[1]LAB!$D$47)/4</f>
        <v>0.35312499999999997</v>
      </c>
      <c r="H53" s="11">
        <f>([1]MIDTERM!P23/[1]MIDTERM!$D$39+[1]FINAL!P23/[1]FINAL!$D$39+[1]HOMEWORK!N23/[1]HOMEWORK!$O$40+[1]LAB!W23/[1]LAB!$D$48)/4</f>
        <v>0.4129166666666666</v>
      </c>
      <c r="I53" s="2">
        <f>([1]MIDTERM!Q23/[1]MIDTERM!$D$40+[1]FINAL!Q23/[1]FINAL!$D$40+[1]HOMEWORK!O23/[1]HOMEWORK!$O$41+[1]LAB!X23/[1]LAB!$D$49)/4</f>
        <v>0.23910984848484851</v>
      </c>
    </row>
    <row r="54" spans="1:10" ht="15" x14ac:dyDescent="0.3">
      <c r="A54" s="14"/>
      <c r="B54" s="30">
        <v>20</v>
      </c>
      <c r="C54" s="2">
        <v>20</v>
      </c>
      <c r="D54" s="2" t="s">
        <v>3</v>
      </c>
      <c r="E54" s="2" t="s">
        <v>4</v>
      </c>
      <c r="F54" s="2">
        <f>([1]MIDTERM!N24/[1]MIDTERM!$D$37+[1]FINAL!N24/[1]FINAL!$D$37+[1]HOMEWORK!L24/[1]HOMEWORK!$O$38+[1]LAB!U24/[1]LAB!$D$46)/4</f>
        <v>0.37314814814814812</v>
      </c>
      <c r="G54" s="11">
        <f>([1]MIDTERM!O24/[1]MIDTERM!$D$38+[1]FINAL!O24/[1]FINAL!$D$38+[1]HOMEWORK!M24/[1]HOMEWORK!$O$39+[1]LAB!V24/[1]LAB!$D$47)/4</f>
        <v>0.34687499999999999</v>
      </c>
      <c r="H54" s="11">
        <f>([1]MIDTERM!P24/[1]MIDTERM!$D$39+[1]FINAL!P24/[1]FINAL!$D$39+[1]HOMEWORK!N24/[1]HOMEWORK!$O$40+[1]LAB!W24/[1]LAB!$D$48)/4</f>
        <v>0.37177083333333333</v>
      </c>
      <c r="I54" s="2">
        <f>([1]MIDTERM!Q24/[1]MIDTERM!$D$40+[1]FINAL!Q24/[1]FINAL!$D$40+[1]HOMEWORK!O24/[1]HOMEWORK!$O$41+[1]LAB!X24/[1]LAB!$D$49)/4</f>
        <v>0.34071969696969695</v>
      </c>
    </row>
    <row r="55" spans="1:10" ht="15" x14ac:dyDescent="0.3">
      <c r="A55" s="14"/>
      <c r="B55" s="27">
        <v>21</v>
      </c>
      <c r="C55" s="2">
        <v>21</v>
      </c>
      <c r="D55" s="2" t="s">
        <v>3</v>
      </c>
      <c r="E55" s="2" t="s">
        <v>4</v>
      </c>
      <c r="F55" s="2">
        <f>([1]MIDTERM!N25/[1]MIDTERM!$D$37+[1]FINAL!N25/[1]FINAL!$D$37+[1]HOMEWORK!L25/[1]HOMEWORK!$O$38+[1]LAB!U25/[1]LAB!$D$46)/4</f>
        <v>0.42208994708994707</v>
      </c>
      <c r="G55" s="11">
        <f>([1]MIDTERM!O25/[1]MIDTERM!$D$38+[1]FINAL!O25/[1]FINAL!$D$38+[1]HOMEWORK!M25/[1]HOMEWORK!$O$39+[1]LAB!V25/[1]LAB!$D$47)/4</f>
        <v>0.45416666666666672</v>
      </c>
      <c r="H55" s="11">
        <f>([1]MIDTERM!P25/[1]MIDTERM!$D$39+[1]FINAL!P25/[1]FINAL!$D$39+[1]HOMEWORK!N25/[1]HOMEWORK!$O$40+[1]LAB!W25/[1]LAB!$D$48)/4</f>
        <v>0.30458333333333332</v>
      </c>
      <c r="I55" s="2">
        <f>([1]MIDTERM!Q25/[1]MIDTERM!$D$40+[1]FINAL!Q25/[1]FINAL!$D$40+[1]HOMEWORK!O25/[1]HOMEWORK!$O$41+[1]LAB!X25/[1]LAB!$D$49)/4</f>
        <v>0.41893939393939394</v>
      </c>
    </row>
    <row r="56" spans="1:10" ht="15" x14ac:dyDescent="0.3">
      <c r="A56" s="14"/>
      <c r="B56" s="30">
        <v>22</v>
      </c>
      <c r="C56" s="2">
        <v>22</v>
      </c>
      <c r="D56" s="2" t="s">
        <v>3</v>
      </c>
      <c r="E56" s="2" t="s">
        <v>4</v>
      </c>
      <c r="F56" s="2">
        <f>([1]MIDTERM!N26/[1]MIDTERM!$D$37+[1]FINAL!N26/[1]FINAL!$D$37+[1]HOMEWORK!L26/[1]HOMEWORK!$O$38+[1]LAB!U26/[1]LAB!$D$46)/4</f>
        <v>0.42208994708994707</v>
      </c>
      <c r="G56" s="11">
        <f>([1]MIDTERM!O26/[1]MIDTERM!$D$38+[1]FINAL!O26/[1]FINAL!$D$38+[1]HOMEWORK!M26/[1]HOMEWORK!$O$39+[1]LAB!V26/[1]LAB!$D$47)/4</f>
        <v>0.36874999999999997</v>
      </c>
      <c r="H56" s="11">
        <f>([1]MIDTERM!P26/[1]MIDTERM!$D$39+[1]FINAL!P26/[1]FINAL!$D$39+[1]HOMEWORK!N26/[1]HOMEWORK!$O$40+[1]LAB!W26/[1]LAB!$D$48)/4</f>
        <v>0.42656249999999996</v>
      </c>
      <c r="I56" s="2">
        <f>([1]MIDTERM!Q26/[1]MIDTERM!$D$40+[1]FINAL!Q26/[1]FINAL!$D$40+[1]HOMEWORK!O26/[1]HOMEWORK!$O$41+[1]LAB!X26/[1]LAB!$D$49)/4</f>
        <v>0.2183712121212121</v>
      </c>
      <c r="J56" s="32"/>
    </row>
    <row r="57" spans="1:10" ht="15" x14ac:dyDescent="0.3">
      <c r="A57" s="14"/>
      <c r="B57" s="27">
        <v>23</v>
      </c>
      <c r="C57" s="2">
        <v>23</v>
      </c>
      <c r="D57" s="2" t="s">
        <v>3</v>
      </c>
      <c r="E57" s="2" t="s">
        <v>4</v>
      </c>
      <c r="F57" s="2">
        <f>([1]MIDTERM!N27/[1]MIDTERM!$D$37+[1]FINAL!N27/[1]FINAL!$D$37+[1]HOMEWORK!L27/[1]HOMEWORK!$O$38+[1]LAB!U27/[1]LAB!$D$46)/4</f>
        <v>0.41066137566137562</v>
      </c>
      <c r="G57" s="11">
        <f>([1]MIDTERM!O27/[1]MIDTERM!$D$38+[1]FINAL!O27/[1]FINAL!$D$38+[1]HOMEWORK!M27/[1]HOMEWORK!$O$39+[1]LAB!V27/[1]LAB!$D$47)/4</f>
        <v>0.35</v>
      </c>
      <c r="H57" s="11">
        <f>([1]MIDTERM!P27/[1]MIDTERM!$D$39+[1]FINAL!P27/[1]FINAL!$D$39+[1]HOMEWORK!N27/[1]HOMEWORK!$O$40+[1]LAB!W27/[1]LAB!$D$48)/4</f>
        <v>0.35249999999999998</v>
      </c>
      <c r="I57" s="2">
        <f>([1]MIDTERM!Q27/[1]MIDTERM!$D$40+[1]FINAL!Q27/[1]FINAL!$D$40+[1]HOMEWORK!O27/[1]HOMEWORK!$O$41+[1]LAB!X27/[1]LAB!$D$49)/4</f>
        <v>0.25009469696969699</v>
      </c>
    </row>
    <row r="58" spans="1:10" ht="15" x14ac:dyDescent="0.3">
      <c r="A58" s="14"/>
      <c r="B58" s="30">
        <v>24</v>
      </c>
      <c r="C58" s="2">
        <v>24</v>
      </c>
      <c r="D58" s="2" t="s">
        <v>3</v>
      </c>
      <c r="E58" s="2" t="s">
        <v>4</v>
      </c>
      <c r="F58" s="2">
        <f>([1]MIDTERM!N28/[1]MIDTERM!$D$37+[1]FINAL!N28/[1]FINAL!$D$37+[1]HOMEWORK!L28/[1]HOMEWORK!$O$38+[1]LAB!U28/[1]LAB!$D$46)/4</f>
        <v>0.35685185185185186</v>
      </c>
      <c r="G58" s="11">
        <f>([1]MIDTERM!O28/[1]MIDTERM!$D$38+[1]FINAL!O28/[1]FINAL!$D$38+[1]HOMEWORK!M28/[1]HOMEWORK!$O$39+[1]LAB!V28/[1]LAB!$D$47)/4</f>
        <v>0.32604166666666667</v>
      </c>
      <c r="H58" s="11">
        <f>([1]MIDTERM!P28/[1]MIDTERM!$D$39+[1]FINAL!P28/[1]FINAL!$D$39+[1]HOMEWORK!N28/[1]HOMEWORK!$O$40+[1]LAB!W28/[1]LAB!$D$48)/4</f>
        <v>0.31208333333333332</v>
      </c>
      <c r="I58" s="2">
        <f>([1]MIDTERM!Q28/[1]MIDTERM!$D$40+[1]FINAL!Q28/[1]FINAL!$D$40+[1]HOMEWORK!O28/[1]HOMEWORK!$O$41+[1]LAB!X28/[1]LAB!$D$49)/4</f>
        <v>0.26931818181818179</v>
      </c>
    </row>
    <row r="59" spans="1:10" ht="15" x14ac:dyDescent="0.3">
      <c r="A59" s="14"/>
      <c r="B59" s="27">
        <v>25</v>
      </c>
      <c r="C59" s="2">
        <v>25</v>
      </c>
      <c r="D59" s="2" t="s">
        <v>3</v>
      </c>
      <c r="E59" s="2" t="s">
        <v>4</v>
      </c>
      <c r="F59" s="2">
        <f>([1]MIDTERM!N29/[1]MIDTERM!$D$37+[1]FINAL!N29/[1]FINAL!$D$37+[1]HOMEWORK!L29/[1]HOMEWORK!$O$38+[1]LAB!U29/[1]LAB!$D$46)/4</f>
        <v>0.31470899470899472</v>
      </c>
      <c r="G59" s="11">
        <f>([1]MIDTERM!O29/[1]MIDTERM!$D$38+[1]FINAL!O29/[1]FINAL!$D$38+[1]HOMEWORK!M29/[1]HOMEWORK!$O$39+[1]LAB!V29/[1]LAB!$D$47)/4</f>
        <v>0.29062500000000002</v>
      </c>
      <c r="H59" s="11">
        <f>([1]MIDTERM!P29/[1]MIDTERM!$D$39+[1]FINAL!P29/[1]FINAL!$D$39+[1]HOMEWORK!N29/[1]HOMEWORK!$O$40+[1]LAB!W29/[1]LAB!$D$48)/4</f>
        <v>0.39010416666666664</v>
      </c>
      <c r="I59" s="2">
        <f>([1]MIDTERM!Q29/[1]MIDTERM!$D$40+[1]FINAL!Q29/[1]FINAL!$D$40+[1]HOMEWORK!O29/[1]HOMEWORK!$O$41+[1]LAB!X29/[1]LAB!$D$49)/4</f>
        <v>0.28342803030303032</v>
      </c>
    </row>
    <row r="60" spans="1:10" ht="15" x14ac:dyDescent="0.3">
      <c r="A60" s="14"/>
      <c r="B60" s="30">
        <v>26</v>
      </c>
      <c r="C60" s="2">
        <v>26</v>
      </c>
      <c r="D60" s="2" t="s">
        <v>3</v>
      </c>
      <c r="E60" s="2" t="s">
        <v>4</v>
      </c>
      <c r="F60" s="2">
        <f>([1]MIDTERM!N30/[1]MIDTERM!$D$37+[1]FINAL!N30/[1]FINAL!$D$37+[1]HOMEWORK!L30/[1]HOMEWORK!$O$38+[1]LAB!U30/[1]LAB!$D$46)/4</f>
        <v>0.31029100529100528</v>
      </c>
      <c r="G60" s="11">
        <f>([1]MIDTERM!O30/[1]MIDTERM!$D$38+[1]FINAL!O30/[1]FINAL!$D$38+[1]HOMEWORK!M30/[1]HOMEWORK!$O$39+[1]LAB!V30/[1]LAB!$D$47)/4</f>
        <v>0.33229166666666665</v>
      </c>
      <c r="H60" s="11">
        <f>([1]MIDTERM!P30/[1]MIDTERM!$D$39+[1]FINAL!P30/[1]FINAL!$D$39+[1]HOMEWORK!N30/[1]HOMEWORK!$O$40+[1]LAB!W30/[1]LAB!$D$48)/4</f>
        <v>0.3819791666666667</v>
      </c>
      <c r="I60" s="2">
        <f>([1]MIDTERM!Q30/[1]MIDTERM!$D$40+[1]FINAL!Q30/[1]FINAL!$D$40+[1]HOMEWORK!O30/[1]HOMEWORK!$O$41+[1]LAB!X30/[1]LAB!$D$49)/4</f>
        <v>0.24526515151515149</v>
      </c>
    </row>
    <row r="61" spans="1:10" ht="15" x14ac:dyDescent="0.3">
      <c r="A61" s="14"/>
      <c r="B61" s="27">
        <v>27</v>
      </c>
      <c r="C61" s="2">
        <v>27</v>
      </c>
      <c r="D61" s="2" t="s">
        <v>3</v>
      </c>
      <c r="E61" s="2" t="s">
        <v>4</v>
      </c>
      <c r="F61" s="2">
        <f>([1]MIDTERM!N31/[1]MIDTERM!$D$37+[1]FINAL!N31/[1]FINAL!$D$37+[1]HOMEWORK!L31/[1]HOMEWORK!$O$38+[1]LAB!U31/[1]LAB!$D$46)/4</f>
        <v>0.3538095238095238</v>
      </c>
      <c r="G61" s="11">
        <f>([1]MIDTERM!O31/[1]MIDTERM!$D$38+[1]FINAL!O31/[1]FINAL!$D$38+[1]HOMEWORK!M31/[1]HOMEWORK!$O$39+[1]LAB!V31/[1]LAB!$D$47)/4</f>
        <v>0.32708333333333334</v>
      </c>
      <c r="H61" s="11">
        <f>([1]MIDTERM!P31/[1]MIDTERM!$D$39+[1]FINAL!P31/[1]FINAL!$D$39+[1]HOMEWORK!N31/[1]HOMEWORK!$O$40+[1]LAB!W31/[1]LAB!$D$48)/4</f>
        <v>0.29041666666666666</v>
      </c>
      <c r="I61" s="2">
        <f>([1]MIDTERM!Q31/[1]MIDTERM!$D$40+[1]FINAL!Q31/[1]FINAL!$D$40+[1]HOMEWORK!O31/[1]HOMEWORK!$O$41+[1]LAB!X31/[1]LAB!$D$49)/4</f>
        <v>0.27310606060606063</v>
      </c>
    </row>
    <row r="62" spans="1:10" ht="15" x14ac:dyDescent="0.3">
      <c r="A62" s="14"/>
      <c r="B62" s="30">
        <v>28</v>
      </c>
      <c r="C62" s="2">
        <v>28</v>
      </c>
      <c r="D62" s="2" t="s">
        <v>3</v>
      </c>
      <c r="E62" s="2" t="s">
        <v>4</v>
      </c>
      <c r="F62" s="2">
        <f>([1]MIDTERM!N32/[1]MIDTERM!$D$37+[1]FINAL!N32/[1]FINAL!$D$37+[1]HOMEWORK!L32/[1]HOMEWORK!$O$38+[1]LAB!U32/[1]LAB!$D$46)/4</f>
        <v>0.29703703703703704</v>
      </c>
      <c r="G62" s="11">
        <f>([1]MIDTERM!O32/[1]MIDTERM!$D$38+[1]FINAL!O32/[1]FINAL!$D$38+[1]HOMEWORK!M32/[1]HOMEWORK!$O$39+[1]LAB!V32/[1]LAB!$D$47)/4</f>
        <v>0.26875000000000004</v>
      </c>
      <c r="H62" s="11">
        <f>([1]MIDTERM!P32/[1]MIDTERM!$D$39+[1]FINAL!P32/[1]FINAL!$D$39+[1]HOMEWORK!N32/[1]HOMEWORK!$O$40+[1]LAB!W32/[1]LAB!$D$48)/4</f>
        <v>0.21645833333333331</v>
      </c>
      <c r="I62" s="2">
        <f>([1]MIDTERM!Q32/[1]MIDTERM!$D$40+[1]FINAL!Q32/[1]FINAL!$D$40+[1]HOMEWORK!O32/[1]HOMEWORK!$O$41+[1]LAB!X32/[1]LAB!$D$49)/4</f>
        <v>0.18977272727272729</v>
      </c>
    </row>
    <row r="63" spans="1:10" ht="15" x14ac:dyDescent="0.3">
      <c r="A63" s="14"/>
      <c r="B63" s="27">
        <v>29</v>
      </c>
      <c r="C63" s="2">
        <v>29</v>
      </c>
      <c r="D63" s="2" t="s">
        <v>3</v>
      </c>
      <c r="E63" s="2" t="s">
        <v>4</v>
      </c>
      <c r="F63" s="2">
        <f>([1]MIDTERM!N33/[1]MIDTERM!$D$37+[1]FINAL!N33/[1]FINAL!$D$37+[1]HOMEWORK!L33/[1]HOMEWORK!$O$38+[1]LAB!U33/[1]LAB!$D$46)/4</f>
        <v>0.27564814814814814</v>
      </c>
      <c r="G63" s="11">
        <f>([1]MIDTERM!O33/[1]MIDTERM!$D$38+[1]FINAL!O33/[1]FINAL!$D$38+[1]HOMEWORK!M33/[1]HOMEWORK!$O$39+[1]LAB!V33/[1]LAB!$D$47)/4</f>
        <v>0.28125</v>
      </c>
      <c r="H63" s="11">
        <f>([1]MIDTERM!P33/[1]MIDTERM!$D$39+[1]FINAL!P33/[1]FINAL!$D$39+[1]HOMEWORK!N33/[1]HOMEWORK!$O$40+[1]LAB!W33/[1]LAB!$D$48)/4</f>
        <v>0.24020833333333336</v>
      </c>
      <c r="I63" s="2">
        <f>([1]MIDTERM!Q33/[1]MIDTERM!$D$40+[1]FINAL!Q33/[1]FINAL!$D$40+[1]HOMEWORK!O33/[1]HOMEWORK!$O$41+[1]LAB!X33/[1]LAB!$D$49)/4</f>
        <v>0.23409090909090907</v>
      </c>
    </row>
    <row r="64" spans="1:10" ht="15" x14ac:dyDescent="0.3">
      <c r="A64" s="14"/>
      <c r="B64" s="33">
        <v>30</v>
      </c>
      <c r="C64" s="2">
        <v>30</v>
      </c>
      <c r="D64" s="2" t="s">
        <v>3</v>
      </c>
      <c r="E64" s="2" t="s">
        <v>4</v>
      </c>
      <c r="F64" s="2">
        <f>([1]MIDTERM!N34/[1]MIDTERM!$D$37+[1]FINAL!N34/[1]FINAL!$D$37+[1]HOMEWORK!L34/[1]HOMEWORK!$O$38+[1]LAB!U34/[1]LAB!$D$46)/4</f>
        <v>0.29537037037037039</v>
      </c>
      <c r="G64" s="11">
        <f>([1]MIDTERM!O34/[1]MIDTERM!$D$38+[1]FINAL!O34/[1]FINAL!$D$38+[1]HOMEWORK!M34/[1]HOMEWORK!$O$39+[1]LAB!V34/[1]LAB!$D$47)/4</f>
        <v>0.39687499999999998</v>
      </c>
      <c r="H64" s="11">
        <f>([1]MIDTERM!P34/[1]MIDTERM!$D$39+[1]FINAL!P34/[1]FINAL!$D$39+[1]HOMEWORK!N34/[1]HOMEWORK!$O$40+[1]LAB!W34/[1]LAB!$D$48)/4</f>
        <v>0.33083333333333331</v>
      </c>
      <c r="I64" s="2">
        <f>([1]MIDTERM!Q34/[1]MIDTERM!$D$40+[1]FINAL!Q34/[1]FINAL!$D$40+[1]HOMEWORK!O34/[1]HOMEWORK!$O$41+[1]LAB!X34/[1]LAB!$D$49)/4</f>
        <v>0.30681818181818182</v>
      </c>
    </row>
    <row r="65" spans="1:9" ht="15" customHeight="1" x14ac:dyDescent="0.3">
      <c r="A65" s="14"/>
      <c r="B65" s="34" t="s">
        <v>53</v>
      </c>
      <c r="C65" s="35"/>
      <c r="D65" s="35"/>
      <c r="E65" s="35"/>
      <c r="F65" s="35"/>
      <c r="G65" s="35"/>
      <c r="H65" s="35"/>
      <c r="I65" s="35"/>
    </row>
    <row r="66" spans="1:9" ht="15" x14ac:dyDescent="0.3">
      <c r="A66" s="14"/>
      <c r="D66" s="2"/>
      <c r="E66" s="2"/>
      <c r="F66" s="11"/>
      <c r="G66" s="11"/>
    </row>
    <row r="67" spans="1:9" ht="15" x14ac:dyDescent="0.3">
      <c r="A67" s="14"/>
      <c r="D67" s="2"/>
      <c r="E67" s="2"/>
      <c r="F67" s="11"/>
      <c r="G67" s="11"/>
    </row>
    <row r="68" spans="1:9" ht="15" x14ac:dyDescent="0.3">
      <c r="A68" s="14"/>
      <c r="D68" s="2"/>
      <c r="E68" s="2"/>
      <c r="F68" s="11"/>
      <c r="G68" s="11"/>
    </row>
    <row r="69" spans="1:9" ht="15" x14ac:dyDescent="0.3">
      <c r="A69" s="14"/>
      <c r="D69" s="2"/>
      <c r="E69" s="2"/>
      <c r="F69" s="11"/>
      <c r="G69" s="11"/>
    </row>
    <row r="70" spans="1:9" ht="15" x14ac:dyDescent="0.3">
      <c r="A70" s="14"/>
      <c r="D70" s="2"/>
      <c r="E70" s="2"/>
      <c r="F70" s="11"/>
      <c r="G70" s="11"/>
    </row>
    <row r="71" spans="1:9" ht="15" x14ac:dyDescent="0.3">
      <c r="A71" s="14"/>
      <c r="D71" s="2"/>
      <c r="E71" s="2"/>
      <c r="F71" s="11"/>
      <c r="G71" s="11"/>
    </row>
    <row r="72" spans="1:9" ht="15" x14ac:dyDescent="0.3">
      <c r="A72" s="14"/>
      <c r="D72" s="2"/>
      <c r="E72" s="2"/>
      <c r="F72" s="11"/>
      <c r="G72" s="11"/>
      <c r="H72" s="28"/>
    </row>
    <row r="73" spans="1:9" ht="15" x14ac:dyDescent="0.3">
      <c r="A73" s="14"/>
      <c r="D73" s="2"/>
      <c r="E73" s="2"/>
      <c r="F73" s="11"/>
      <c r="G73" s="11"/>
    </row>
    <row r="74" spans="1:9" ht="15" x14ac:dyDescent="0.3">
      <c r="A74" s="14"/>
      <c r="D74" s="2"/>
      <c r="E74" s="2"/>
      <c r="F74" s="11"/>
      <c r="G74" s="11"/>
    </row>
    <row r="75" spans="1:9" ht="15" x14ac:dyDescent="0.3">
      <c r="A75" s="14"/>
      <c r="D75" s="2"/>
      <c r="E75" s="2"/>
      <c r="F75" s="11"/>
      <c r="G75" s="11"/>
    </row>
    <row r="76" spans="1:9" ht="15" x14ac:dyDescent="0.3">
      <c r="A76" s="14"/>
      <c r="D76" s="2"/>
      <c r="E76" s="2"/>
      <c r="F76" s="11"/>
      <c r="G76" s="11"/>
    </row>
    <row r="77" spans="1:9" ht="15" x14ac:dyDescent="0.3">
      <c r="A77" s="14"/>
      <c r="D77" s="2"/>
      <c r="E77" s="2"/>
      <c r="F77" s="11"/>
      <c r="G77" s="11"/>
    </row>
    <row r="78" spans="1:9" ht="15" x14ac:dyDescent="0.3">
      <c r="A78" s="14"/>
      <c r="D78" s="2"/>
      <c r="E78" s="2"/>
      <c r="F78" s="11"/>
      <c r="G78" s="11"/>
    </row>
    <row r="79" spans="1:9" ht="15" x14ac:dyDescent="0.3">
      <c r="A79" s="14"/>
      <c r="D79" s="2"/>
      <c r="E79" s="2"/>
      <c r="F79" s="11"/>
      <c r="G79" s="11"/>
    </row>
    <row r="80" spans="1:9" ht="15" x14ac:dyDescent="0.3">
      <c r="A80" s="14"/>
      <c r="D80" s="2"/>
      <c r="E80" s="2"/>
      <c r="F80" s="11"/>
      <c r="G80" s="11"/>
    </row>
    <row r="81" spans="1:7" ht="15" x14ac:dyDescent="0.3">
      <c r="A81" s="14"/>
      <c r="D81" s="2"/>
      <c r="E81" s="2"/>
      <c r="F81" s="11"/>
      <c r="G81" s="11"/>
    </row>
    <row r="82" spans="1:7" ht="15" x14ac:dyDescent="0.3">
      <c r="A82" s="14"/>
      <c r="D82" s="2"/>
      <c r="E82" s="2"/>
      <c r="F82" s="11"/>
      <c r="G82" s="11"/>
    </row>
    <row r="83" spans="1:7" ht="15" x14ac:dyDescent="0.3">
      <c r="A83" s="14"/>
      <c r="D83" s="2"/>
      <c r="E83" s="2"/>
      <c r="F83" s="11"/>
      <c r="G83" s="11"/>
    </row>
    <row r="84" spans="1:7" ht="15" x14ac:dyDescent="0.3">
      <c r="A84" s="14"/>
      <c r="D84" s="2"/>
      <c r="E84" s="2"/>
      <c r="F84" s="11"/>
      <c r="G84" s="11"/>
    </row>
    <row r="85" spans="1:7" ht="15" x14ac:dyDescent="0.3">
      <c r="A85" s="14"/>
      <c r="D85" s="2"/>
      <c r="E85" s="2"/>
      <c r="F85" s="11"/>
      <c r="G85" s="11"/>
    </row>
    <row r="86" spans="1:7" ht="15" x14ac:dyDescent="0.3">
      <c r="A86" s="14"/>
      <c r="D86" s="2"/>
      <c r="E86" s="2"/>
      <c r="F86" s="11"/>
      <c r="G86" s="11"/>
    </row>
    <row r="87" spans="1:7" ht="15" x14ac:dyDescent="0.3">
      <c r="A87" s="14"/>
      <c r="D87" s="2"/>
      <c r="E87" s="2"/>
      <c r="F87" s="11"/>
      <c r="G87" s="11"/>
    </row>
    <row r="88" spans="1:7" ht="15" x14ac:dyDescent="0.3">
      <c r="A88" s="14"/>
      <c r="D88" s="2"/>
      <c r="E88" s="2"/>
      <c r="F88" s="11"/>
      <c r="G88" s="11"/>
    </row>
    <row r="89" spans="1:7" ht="15" x14ac:dyDescent="0.3">
      <c r="A89" s="14"/>
      <c r="D89" s="2"/>
      <c r="E89" s="2"/>
      <c r="F89" s="11"/>
      <c r="G89" s="11"/>
    </row>
    <row r="90" spans="1:7" ht="15" x14ac:dyDescent="0.3">
      <c r="A90" s="14"/>
      <c r="D90" s="2"/>
      <c r="E90" s="2"/>
      <c r="F90" s="11"/>
      <c r="G90" s="11"/>
    </row>
    <row r="91" spans="1:7" ht="15" x14ac:dyDescent="0.3">
      <c r="A91" s="14"/>
      <c r="D91" s="2"/>
      <c r="E91" s="2"/>
      <c r="F91" s="11"/>
      <c r="G91" s="11"/>
    </row>
    <row r="92" spans="1:7" ht="15" x14ac:dyDescent="0.3">
      <c r="A92" s="14"/>
      <c r="D92" s="2"/>
      <c r="E92" s="2"/>
      <c r="F92" s="11"/>
      <c r="G92" s="11"/>
    </row>
    <row r="93" spans="1:7" ht="15" x14ac:dyDescent="0.3">
      <c r="A93" s="14"/>
      <c r="D93" s="2"/>
      <c r="E93" s="2"/>
      <c r="F93" s="11"/>
      <c r="G93" s="11"/>
    </row>
    <row r="94" spans="1:7" ht="15" x14ac:dyDescent="0.3">
      <c r="A94" s="14"/>
      <c r="D94" s="2"/>
      <c r="E94" s="2"/>
      <c r="F94" s="11"/>
      <c r="G94" s="11"/>
    </row>
    <row r="95" spans="1:7" ht="15" x14ac:dyDescent="0.3">
      <c r="A95" s="14"/>
      <c r="D95" s="2"/>
      <c r="E95" s="2"/>
      <c r="F95" s="11"/>
      <c r="G95" s="11"/>
    </row>
    <row r="96" spans="1:7" ht="15" x14ac:dyDescent="0.3">
      <c r="A96" s="14"/>
      <c r="D96" s="2"/>
      <c r="E96" s="2"/>
      <c r="F96" s="11"/>
      <c r="G96" s="11"/>
    </row>
  </sheetData>
  <mergeCells count="5">
    <mergeCell ref="B1:X1"/>
    <mergeCell ref="N4:P4"/>
    <mergeCell ref="N17:P17"/>
    <mergeCell ref="R27:X28"/>
    <mergeCell ref="B65:I65"/>
  </mergeCells>
  <conditionalFormatting sqref="O23">
    <cfRule type="cellIs" dxfId="407" priority="30" operator="equal">
      <formula>100</formula>
    </cfRule>
  </conditionalFormatting>
  <conditionalFormatting sqref="J3:J32">
    <cfRule type="cellIs" dxfId="406" priority="29" operator="greaterThan">
      <formula>100</formula>
    </cfRule>
  </conditionalFormatting>
  <conditionalFormatting sqref="P7:P14">
    <cfRule type="cellIs" dxfId="405" priority="28" operator="greaterThan">
      <formula>$P$6</formula>
    </cfRule>
  </conditionalFormatting>
  <conditionalFormatting sqref="P6">
    <cfRule type="cellIs" dxfId="404" priority="27" operator="greaterThan">
      <formula>100</formula>
    </cfRule>
  </conditionalFormatting>
  <conditionalFormatting sqref="O14">
    <cfRule type="cellIs" dxfId="403" priority="9" operator="greaterThan">
      <formula>$P$14</formula>
    </cfRule>
    <cfRule type="cellIs" dxfId="402" priority="26" operator="lessThan">
      <formula>0</formula>
    </cfRule>
  </conditionalFormatting>
  <conditionalFormatting sqref="P7:P14 O6:O14">
    <cfRule type="cellIs" dxfId="401" priority="25" operator="greaterThan">
      <formula>$P$6</formula>
    </cfRule>
  </conditionalFormatting>
  <conditionalFormatting sqref="O7:P14">
    <cfRule type="cellIs" dxfId="400" priority="24" operator="greaterThan">
      <formula>$O$6</formula>
    </cfRule>
  </conditionalFormatting>
  <conditionalFormatting sqref="O8:P14 O7">
    <cfRule type="cellIs" dxfId="399" priority="23" operator="greaterThan">
      <formula>$P$7</formula>
    </cfRule>
  </conditionalFormatting>
  <conditionalFormatting sqref="O8:P14">
    <cfRule type="cellIs" dxfId="398" priority="22" operator="greaterThan">
      <formula>$O$7</formula>
    </cfRule>
  </conditionalFormatting>
  <conditionalFormatting sqref="O9:P14 O8">
    <cfRule type="cellIs" dxfId="397" priority="21" operator="greaterThan">
      <formula>$P$8</formula>
    </cfRule>
  </conditionalFormatting>
  <conditionalFormatting sqref="O9:P14">
    <cfRule type="cellIs" dxfId="396" priority="20" operator="greaterThan">
      <formula>$O$8</formula>
    </cfRule>
  </conditionalFormatting>
  <conditionalFormatting sqref="O10:P14 O9">
    <cfRule type="cellIs" dxfId="395" priority="19" operator="greaterThan">
      <formula>$P$9</formula>
    </cfRule>
  </conditionalFormatting>
  <conditionalFormatting sqref="O10:P14">
    <cfRule type="cellIs" dxfId="394" priority="18" operator="greaterThan">
      <formula>$O$9</formula>
    </cfRule>
  </conditionalFormatting>
  <conditionalFormatting sqref="O11:P14 O10">
    <cfRule type="cellIs" dxfId="393" priority="17" operator="greaterThan">
      <formula>$P$10</formula>
    </cfRule>
  </conditionalFormatting>
  <conditionalFormatting sqref="O11:P14">
    <cfRule type="cellIs" dxfId="392" priority="16" operator="greaterThan">
      <formula>$O$10</formula>
    </cfRule>
  </conditionalFormatting>
  <conditionalFormatting sqref="O12:P14 O11">
    <cfRule type="cellIs" dxfId="391" priority="15" operator="greaterThan">
      <formula>$P$11</formula>
    </cfRule>
  </conditionalFormatting>
  <conditionalFormatting sqref="O12:P14">
    <cfRule type="cellIs" dxfId="390" priority="14" operator="greaterThan">
      <formula>$O$11</formula>
    </cfRule>
  </conditionalFormatting>
  <conditionalFormatting sqref="O13:P14 O12">
    <cfRule type="cellIs" dxfId="389" priority="13" operator="greaterThan">
      <formula>$P$12</formula>
    </cfRule>
  </conditionalFormatting>
  <conditionalFormatting sqref="O13:P14">
    <cfRule type="cellIs" dxfId="388" priority="12" operator="greaterThan">
      <formula>$O$12</formula>
    </cfRule>
  </conditionalFormatting>
  <conditionalFormatting sqref="O14:P14 O13">
    <cfRule type="cellIs" dxfId="387" priority="11" operator="greaterThan">
      <formula>$P$13</formula>
    </cfRule>
  </conditionalFormatting>
  <conditionalFormatting sqref="O14:P14">
    <cfRule type="cellIs" dxfId="386" priority="10" operator="greaterThan">
      <formula>$O$13</formula>
    </cfRule>
  </conditionalFormatting>
  <conditionalFormatting sqref="S41">
    <cfRule type="cellIs" dxfId="383" priority="4" operator="lessThan">
      <formula>$O$35</formula>
    </cfRule>
    <cfRule type="cellIs" dxfId="384" priority="5" operator="lessThan">
      <formula>$O$35</formula>
    </cfRule>
    <cfRule type="cellIs" dxfId="385" priority="8" operator="greaterThan">
      <formula>$O$35</formula>
    </cfRule>
  </conditionalFormatting>
  <conditionalFormatting sqref="S42">
    <cfRule type="cellIs" dxfId="381" priority="3" operator="lessThan">
      <formula>$O$36</formula>
    </cfRule>
    <cfRule type="cellIs" dxfId="382" priority="7" operator="greaterThan">
      <formula>$O$36</formula>
    </cfRule>
  </conditionalFormatting>
  <conditionalFormatting sqref="S43">
    <cfRule type="cellIs" dxfId="379" priority="2" operator="lessThan">
      <formula>$O$37</formula>
    </cfRule>
    <cfRule type="cellIs" dxfId="380" priority="6" operator="greaterThan">
      <formula>$O$37</formula>
    </cfRule>
  </conditionalFormatting>
  <conditionalFormatting sqref="S44">
    <cfRule type="cellIs" dxfId="378" priority="1" operator="lessThan">
      <formula>$O$38</formula>
    </cfRule>
  </conditionalFormatting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1747-8EAF-4010-B36A-8AC56B7B2AF0}">
  <dimension ref="B1:X96"/>
  <sheetViews>
    <sheetView zoomScale="70" zoomScaleNormal="70" workbookViewId="0">
      <selection activeCell="P48" sqref="P48"/>
    </sheetView>
  </sheetViews>
  <sheetFormatPr defaultColWidth="8.5546875" defaultRowHeight="14.4" x14ac:dyDescent="0.3"/>
  <cols>
    <col min="1" max="1" width="13.109375" customWidth="1"/>
    <col min="2" max="2" width="14.109375" bestFit="1" customWidth="1"/>
    <col min="3" max="3" width="13.44140625" customWidth="1"/>
    <col min="4" max="4" width="21.6640625" bestFit="1" customWidth="1"/>
    <col min="5" max="5" width="15.109375" style="2" bestFit="1" customWidth="1"/>
    <col min="6" max="9" width="8.5546875" style="2" bestFit="1"/>
    <col min="10" max="10" width="8.5546875" style="2"/>
    <col min="11" max="11" width="15" customWidth="1"/>
    <col min="12" max="12" width="14.21875" style="2" bestFit="1" customWidth="1"/>
    <col min="13" max="14" width="10.88671875" bestFit="1" customWidth="1"/>
    <col min="15" max="15" width="13.33203125" bestFit="1" customWidth="1"/>
    <col min="16" max="16" width="9.5546875" bestFit="1" customWidth="1"/>
    <col min="17" max="17" width="9.6640625" bestFit="1" customWidth="1"/>
    <col min="18" max="18" width="13.33203125" bestFit="1" customWidth="1"/>
    <col min="19" max="19" width="14.33203125" bestFit="1" customWidth="1"/>
    <col min="21" max="21" width="11" customWidth="1"/>
    <col min="22" max="22" width="11.33203125" customWidth="1"/>
    <col min="23" max="23" width="5.5546875" bestFit="1" customWidth="1"/>
    <col min="24" max="25" width="4.5546875" bestFit="1" customWidth="1"/>
    <col min="26" max="26" width="5.5546875" bestFit="1" customWidth="1"/>
    <col min="28" max="28" width="19.109375" bestFit="1" customWidth="1"/>
    <col min="29" max="29" width="21" bestFit="1" customWidth="1"/>
  </cols>
  <sheetData>
    <row r="1" spans="2:24" ht="33.6" x14ac:dyDescent="0.3">
      <c r="B1" s="1" t="s">
        <v>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6"/>
      <c r="X1" s="36"/>
    </row>
    <row r="3" spans="2:24" x14ac:dyDescent="0.3">
      <c r="M3" s="9"/>
      <c r="N3" s="9"/>
      <c r="O3" s="9"/>
      <c r="P3" s="9"/>
    </row>
    <row r="4" spans="2:24" ht="15" thickBot="1" x14ac:dyDescent="0.35">
      <c r="B4" s="3" t="s">
        <v>1</v>
      </c>
      <c r="C4" s="5" t="s">
        <v>55</v>
      </c>
      <c r="D4" s="5" t="s">
        <v>3</v>
      </c>
      <c r="E4" s="21" t="s">
        <v>4</v>
      </c>
      <c r="F4" s="37" t="s">
        <v>56</v>
      </c>
      <c r="G4" s="37" t="s">
        <v>57</v>
      </c>
      <c r="H4" s="37" t="s">
        <v>58</v>
      </c>
      <c r="I4" s="37" t="s">
        <v>59</v>
      </c>
      <c r="J4" s="37" t="s">
        <v>60</v>
      </c>
      <c r="K4" s="37" t="s">
        <v>61</v>
      </c>
      <c r="L4" s="37" t="s">
        <v>62</v>
      </c>
      <c r="M4" s="26" t="s">
        <v>63</v>
      </c>
      <c r="N4" s="37" t="s">
        <v>64</v>
      </c>
      <c r="O4" s="37" t="s">
        <v>65</v>
      </c>
      <c r="P4" s="37" t="s">
        <v>66</v>
      </c>
      <c r="Q4" s="37" t="s">
        <v>67</v>
      </c>
      <c r="R4" s="37" t="s">
        <v>68</v>
      </c>
      <c r="S4" s="7" t="s">
        <v>69</v>
      </c>
    </row>
    <row r="5" spans="2:24" ht="15" thickTop="1" x14ac:dyDescent="0.3">
      <c r="B5" s="8">
        <v>1</v>
      </c>
      <c r="C5" s="9">
        <v>4</v>
      </c>
      <c r="D5" s="10" t="s">
        <v>3</v>
      </c>
      <c r="E5" s="10" t="s">
        <v>4</v>
      </c>
      <c r="F5" s="2">
        <v>3</v>
      </c>
      <c r="G5" s="2">
        <v>2</v>
      </c>
      <c r="H5" s="2">
        <v>10</v>
      </c>
      <c r="I5" s="2">
        <v>15</v>
      </c>
      <c r="J5" s="2">
        <v>11</v>
      </c>
      <c r="K5" s="2">
        <v>15</v>
      </c>
      <c r="L5" s="2">
        <v>15</v>
      </c>
      <c r="M5" s="28">
        <f t="shared" ref="M5:M34" si="0">SUM(F5:L5)</f>
        <v>71</v>
      </c>
      <c r="N5" s="38" cm="1">
        <f t="array" ref="N5">Tablo17[[#This Row],[Q1]]/Tablo19[Q1]*$C$43+G5/Tablo19[Q2]*$D$43+H5/Tablo19[Q3]*$E$43+I5/Tablo19[Q4]*$F$43+J5/Tablo19[Q5]*$G$43+K5/Tablo19[Q6]*$H$43+L5/Tablo19[Q7]*$I$43</f>
        <v>13.666666666666666</v>
      </c>
      <c r="O5" s="38" cm="1">
        <f t="array" ref="O5">Tablo17[[#This Row],[Q1]]/Tablo19[Q1]*$C$44+G5/Tablo19[Q2]*$D$44+H5/Tablo19[Q3]*$E$44+I5/Tablo19[Q4]*$F$44+J5/Tablo19[Q5]*$G$44+K5/Tablo19[Q6]*$H$44+L5/Tablo19[Q7]*$I$44</f>
        <v>6.5</v>
      </c>
      <c r="P5" s="38" cm="1">
        <f t="array" ref="P5">Tablo17[[#This Row],[Q1]]/Tablo19[Q1]*$C$45+G5/Tablo19[Q2]*$D$45+H5/Tablo19[Q3]*$E$45+I5/Tablo19[Q4]*$F$45+J5/Tablo19[Q5]*$G$45+K5/Tablo19[Q6]*$H$45+L5/Tablo19[Q7]*$I$45</f>
        <v>3.6666666666666665</v>
      </c>
      <c r="Q5" s="38" cm="1">
        <f t="array" ref="Q5">Tablo17[[#This Row],[Q1]]/Tablo19[Q1]*$C$46+G5/Tablo19[Q2]*$D$46+H5/Tablo19[Q3]*$E$46+I5/Tablo19[Q4]*$F$46+J5/Tablo19[Q5]*$G$46+K5/Tablo19[Q6]*$H$46+L5/Tablo19[Q7]*$I$46</f>
        <v>36.166666666666664</v>
      </c>
      <c r="R5" s="38">
        <f t="shared" ref="R5:R34" si="1">SUM(N5:Q5)</f>
        <v>60</v>
      </c>
      <c r="S5" s="7">
        <f>_xlfn.NORM.DIST(Tablo17[[#This Row],[TOTAL GRADE]],$N$56,$O$56,FALSE)</f>
        <v>4.1940278803414199E-3</v>
      </c>
    </row>
    <row r="6" spans="2:24" x14ac:dyDescent="0.3">
      <c r="B6" s="13">
        <v>2</v>
      </c>
      <c r="C6" s="9">
        <v>5</v>
      </c>
      <c r="D6" s="10" t="s">
        <v>3</v>
      </c>
      <c r="E6" s="10" t="s">
        <v>4</v>
      </c>
      <c r="F6" s="2">
        <v>6</v>
      </c>
      <c r="G6" s="2">
        <v>3.5</v>
      </c>
      <c r="H6" s="2">
        <v>12.5</v>
      </c>
      <c r="I6" s="2">
        <v>10</v>
      </c>
      <c r="J6" s="2">
        <v>6</v>
      </c>
      <c r="K6" s="2">
        <v>15</v>
      </c>
      <c r="L6" s="2">
        <v>14</v>
      </c>
      <c r="M6" s="28">
        <f t="shared" si="0"/>
        <v>67</v>
      </c>
      <c r="N6" s="38" cm="1">
        <f t="array" ref="N6">Tablo17[[#This Row],[Q1]]/Tablo19[Q1]*$C$43+G6/Tablo19[Q2]*$D$43+H6/Tablo19[Q3]*$E$43+I6/Tablo19[Q4]*$F$43+J6/Tablo19[Q5]*$G$43+K6/Tablo19[Q6]*$H$43+L6/Tablo19[Q7]*$I$43</f>
        <v>17.75</v>
      </c>
      <c r="O6" s="38" cm="1">
        <f t="array" ref="O6">Tablo17[[#This Row],[Q1]]/Tablo19[Q1]*$C$44+G6/Tablo19[Q2]*$D$44+H6/Tablo19[Q3]*$E$44+I6/Tablo19[Q4]*$F$44+J6/Tablo19[Q5]*$G$44+K6/Tablo19[Q6]*$H$44+L6/Tablo19[Q7]*$I$44</f>
        <v>8</v>
      </c>
      <c r="P6" s="38" cm="1">
        <f t="array" ref="P6">Tablo17[[#This Row],[Q1]]/Tablo19[Q1]*$C$45+G6/Tablo19[Q2]*$D$45+H6/Tablo19[Q3]*$E$45+I6/Tablo19[Q4]*$F$45+J6/Tablo19[Q5]*$G$45+K6/Tablo19[Q6]*$H$45+L6/Tablo19[Q7]*$I$45</f>
        <v>2</v>
      </c>
      <c r="Q6" s="38" cm="1">
        <f t="array" ref="Q6">Tablo17[[#This Row],[Q1]]/Tablo19[Q1]*$C$46+G6/Tablo19[Q2]*$D$46+H6/Tablo19[Q3]*$E$46+I6/Tablo19[Q4]*$F$46+J6/Tablo19[Q5]*$G$46+K6/Tablo19[Q6]*$H$46+L6/Tablo19[Q7]*$I$46</f>
        <v>30.666666666666668</v>
      </c>
      <c r="R6" s="38">
        <f t="shared" si="1"/>
        <v>58.416666666666671</v>
      </c>
      <c r="S6" s="7">
        <f>_xlfn.NORM.DIST(Tablo17[[#This Row],[TOTAL GRADE]],$N$56,$O$56,FALSE)</f>
        <v>6.1180895764037227E-3</v>
      </c>
    </row>
    <row r="7" spans="2:24" x14ac:dyDescent="0.3">
      <c r="B7" s="8">
        <v>3</v>
      </c>
      <c r="C7" s="9">
        <v>6</v>
      </c>
      <c r="D7" s="10" t="s">
        <v>3</v>
      </c>
      <c r="E7" s="10" t="s">
        <v>4</v>
      </c>
      <c r="F7" s="2">
        <v>2</v>
      </c>
      <c r="G7" s="2">
        <v>2</v>
      </c>
      <c r="H7" s="2">
        <v>14</v>
      </c>
      <c r="I7" s="2">
        <v>15</v>
      </c>
      <c r="J7" s="2">
        <v>11</v>
      </c>
      <c r="K7" s="2">
        <v>4</v>
      </c>
      <c r="L7" s="2">
        <v>14</v>
      </c>
      <c r="M7" s="28">
        <f t="shared" si="0"/>
        <v>62</v>
      </c>
      <c r="N7" s="38" cm="1">
        <f t="array" ref="N7">Tablo17[[#This Row],[Q1]]/Tablo19[Q1]*$C$43+G7/Tablo19[Q2]*$D$43+H7/Tablo19[Q3]*$E$43+I7/Tablo19[Q4]*$F$43+J7/Tablo19[Q5]*$G$43+K7/Tablo19[Q6]*$H$43+L7/Tablo19[Q7]*$I$43</f>
        <v>14.666666666666666</v>
      </c>
      <c r="O7" s="38" cm="1">
        <f t="array" ref="O7">Tablo17[[#This Row],[Q1]]/Tablo19[Q1]*$C$44+G7/Tablo19[Q2]*$D$44+H7/Tablo19[Q3]*$E$44+I7/Tablo19[Q4]*$F$44+J7/Tablo19[Q5]*$G$44+K7/Tablo19[Q6]*$H$44+L7/Tablo19[Q7]*$I$44</f>
        <v>2.333333333333333</v>
      </c>
      <c r="P7" s="38" cm="1">
        <f t="array" ref="P7">Tablo17[[#This Row],[Q1]]/Tablo19[Q1]*$C$45+G7/Tablo19[Q2]*$D$45+H7/Tablo19[Q3]*$E$45+I7/Tablo19[Q4]*$F$45+J7/Tablo19[Q5]*$G$45+K7/Tablo19[Q6]*$H$45+L7/Tablo19[Q7]*$I$45</f>
        <v>3.6666666666666665</v>
      </c>
      <c r="Q7" s="38" cm="1">
        <f t="array" ref="Q7">Tablo17[[#This Row],[Q1]]/Tablo19[Q1]*$C$46+G7/Tablo19[Q2]*$D$46+H7/Tablo19[Q3]*$E$46+I7/Tablo19[Q4]*$F$46+J7/Tablo19[Q5]*$G$46+K7/Tablo19[Q6]*$H$46+L7/Tablo19[Q7]*$I$46</f>
        <v>31.166666666666668</v>
      </c>
      <c r="R7" s="38">
        <f t="shared" si="1"/>
        <v>51.833333333333336</v>
      </c>
      <c r="S7" s="7">
        <f>_xlfn.NORM.DIST(Tablo17[[#This Row],[TOTAL GRADE]],$N$56,$O$56,FALSE)</f>
        <v>9.1588558478442415E-3</v>
      </c>
    </row>
    <row r="8" spans="2:24" x14ac:dyDescent="0.3">
      <c r="B8" s="13">
        <v>4</v>
      </c>
      <c r="C8" s="9">
        <v>7</v>
      </c>
      <c r="D8" s="10" t="s">
        <v>3</v>
      </c>
      <c r="E8" s="10" t="s">
        <v>4</v>
      </c>
      <c r="F8" s="2">
        <v>4</v>
      </c>
      <c r="G8" s="2">
        <v>1</v>
      </c>
      <c r="H8" s="2">
        <v>10</v>
      </c>
      <c r="I8" s="2">
        <v>12</v>
      </c>
      <c r="J8" s="2">
        <v>13</v>
      </c>
      <c r="K8" s="2">
        <v>2</v>
      </c>
      <c r="L8" s="2">
        <v>15</v>
      </c>
      <c r="M8" s="28">
        <f t="shared" si="0"/>
        <v>57</v>
      </c>
      <c r="N8" s="38" cm="1">
        <f t="array" ref="N8">Tablo17[[#This Row],[Q1]]/Tablo19[Q1]*$C$43+G8/Tablo19[Q2]*$D$43+H8/Tablo19[Q3]*$E$43+I8/Tablo19[Q4]*$F$43+J8/Tablo19[Q5]*$G$43+K8/Tablo19[Q6]*$H$43+L8/Tablo19[Q7]*$I$43</f>
        <v>14.333333333333334</v>
      </c>
      <c r="O8" s="38" cm="1">
        <f t="array" ref="O8">Tablo17[[#This Row],[Q1]]/Tablo19[Q1]*$C$44+G8/Tablo19[Q2]*$D$44+H8/Tablo19[Q3]*$E$44+I8/Tablo19[Q4]*$F$44+J8/Tablo19[Q5]*$G$44+K8/Tablo19[Q6]*$H$44+L8/Tablo19[Q7]*$I$44</f>
        <v>2.6666666666666665</v>
      </c>
      <c r="P8" s="38" cm="1">
        <f t="array" ref="P8">Tablo17[[#This Row],[Q1]]/Tablo19[Q1]*$C$45+G8/Tablo19[Q2]*$D$45+H8/Tablo19[Q3]*$E$45+I8/Tablo19[Q4]*$F$45+J8/Tablo19[Q5]*$G$45+K8/Tablo19[Q6]*$H$45+L8/Tablo19[Q7]*$I$45</f>
        <v>4.3333333333333339</v>
      </c>
      <c r="Q8" s="38" cm="1">
        <f t="array" ref="Q8">Tablo17[[#This Row],[Q1]]/Tablo19[Q1]*$C$46+G8/Tablo19[Q2]*$D$46+H8/Tablo19[Q3]*$E$46+I8/Tablo19[Q4]*$F$46+J8/Tablo19[Q5]*$G$46+K8/Tablo19[Q6]*$H$46+L8/Tablo19[Q7]*$I$46</f>
        <v>31</v>
      </c>
      <c r="R8" s="38">
        <f t="shared" si="1"/>
        <v>52.333333333333336</v>
      </c>
      <c r="S8" s="7">
        <f>_xlfn.NORM.DIST(Tablo17[[#This Row],[TOTAL GRADE]],$N$56,$O$56,FALSE)</f>
        <v>1.2705893806020505E-2</v>
      </c>
    </row>
    <row r="9" spans="2:24" x14ac:dyDescent="0.3">
      <c r="B9" s="8">
        <v>5</v>
      </c>
      <c r="C9" s="9">
        <v>8</v>
      </c>
      <c r="D9" s="10" t="s">
        <v>3</v>
      </c>
      <c r="E9" s="10" t="s">
        <v>4</v>
      </c>
      <c r="F9" s="2">
        <v>1</v>
      </c>
      <c r="G9" s="2">
        <v>1</v>
      </c>
      <c r="H9" s="2">
        <v>15</v>
      </c>
      <c r="I9" s="2">
        <v>9</v>
      </c>
      <c r="J9" s="2">
        <v>6</v>
      </c>
      <c r="K9" s="2">
        <v>15</v>
      </c>
      <c r="L9" s="2">
        <v>8</v>
      </c>
      <c r="M9" s="28">
        <f t="shared" si="0"/>
        <v>55</v>
      </c>
      <c r="N9" s="38" cm="1">
        <f t="array" ref="N9">Tablo17[[#This Row],[Q1]]/Tablo19[Q1]*$C$43+G9/Tablo19[Q2]*$D$43+H9/Tablo19[Q3]*$E$43+I9/Tablo19[Q4]*$F$43+J9/Tablo19[Q5]*$G$43+K9/Tablo19[Q6]*$H$43+L9/Tablo19[Q7]*$I$43</f>
        <v>11.5</v>
      </c>
      <c r="O9" s="38" cm="1">
        <f t="array" ref="O9">Tablo17[[#This Row],[Q1]]/Tablo19[Q1]*$C$44+G9/Tablo19[Q2]*$D$44+H9/Tablo19[Q3]*$E$44+I9/Tablo19[Q4]*$F$44+J9/Tablo19[Q5]*$G$44+K9/Tablo19[Q6]*$H$44+L9/Tablo19[Q7]*$I$44</f>
        <v>5.5</v>
      </c>
      <c r="P9" s="38" cm="1">
        <f t="array" ref="P9">Tablo17[[#This Row],[Q1]]/Tablo19[Q1]*$C$45+G9/Tablo19[Q2]*$D$45+H9/Tablo19[Q3]*$E$45+I9/Tablo19[Q4]*$F$45+J9/Tablo19[Q5]*$G$45+K9/Tablo19[Q6]*$H$45+L9/Tablo19[Q7]*$I$45</f>
        <v>2</v>
      </c>
      <c r="Q9" s="38" cm="1">
        <f t="array" ref="Q9">Tablo17[[#This Row],[Q1]]/Tablo19[Q1]*$C$46+G9/Tablo19[Q2]*$D$46+H9/Tablo19[Q3]*$E$46+I9/Tablo19[Q4]*$F$46+J9/Tablo19[Q5]*$G$46+K9/Tablo19[Q6]*$H$46+L9/Tablo19[Q7]*$I$46</f>
        <v>22.166666666666664</v>
      </c>
      <c r="R9" s="38">
        <f t="shared" si="1"/>
        <v>41.166666666666664</v>
      </c>
      <c r="S9" s="7">
        <f>_xlfn.NORM.DIST(Tablo17[[#This Row],[TOTAL GRADE]],$N$56,$O$56,FALSE)</f>
        <v>1.4177956179946404E-2</v>
      </c>
    </row>
    <row r="10" spans="2:24" x14ac:dyDescent="0.3">
      <c r="B10" s="13">
        <v>6</v>
      </c>
      <c r="C10" s="9">
        <v>9</v>
      </c>
      <c r="D10" s="10" t="s">
        <v>3</v>
      </c>
      <c r="E10" s="10" t="s">
        <v>4</v>
      </c>
      <c r="F10" s="2">
        <v>1</v>
      </c>
      <c r="G10" s="2">
        <v>1</v>
      </c>
      <c r="H10" s="2">
        <v>9</v>
      </c>
      <c r="I10" s="2">
        <v>12</v>
      </c>
      <c r="J10" s="2">
        <v>8</v>
      </c>
      <c r="K10" s="2">
        <v>15</v>
      </c>
      <c r="L10" s="2">
        <v>7</v>
      </c>
      <c r="M10" s="28">
        <f t="shared" si="0"/>
        <v>53</v>
      </c>
      <c r="N10" s="38" cm="1">
        <f t="array" ref="N10">Tablo17[[#This Row],[Q1]]/Tablo19[Q1]*$C$43+G10/Tablo19[Q2]*$D$43+H10/Tablo19[Q3]*$E$43+I10/Tablo19[Q4]*$F$43+J10/Tablo19[Q5]*$G$43+K10/Tablo19[Q6]*$H$43+L10/Tablo19[Q7]*$I$43</f>
        <v>9.1666666666666661</v>
      </c>
      <c r="O10" s="38" cm="1">
        <f t="array" ref="O10">Tablo17[[#This Row],[Q1]]/Tablo19[Q1]*$C$44+G10/Tablo19[Q2]*$D$44+H10/Tablo19[Q3]*$E$44+I10/Tablo19[Q4]*$F$44+J10/Tablo19[Q5]*$G$44+K10/Tablo19[Q6]*$H$44+L10/Tablo19[Q7]*$I$44</f>
        <v>5.5</v>
      </c>
      <c r="P10" s="38" cm="1">
        <f t="array" ref="P10">Tablo17[[#This Row],[Q1]]/Tablo19[Q1]*$C$45+G10/Tablo19[Q2]*$D$45+H10/Tablo19[Q3]*$E$45+I10/Tablo19[Q4]*$F$45+J10/Tablo19[Q5]*$G$45+K10/Tablo19[Q6]*$H$45+L10/Tablo19[Q7]*$I$45</f>
        <v>2.6666666666666665</v>
      </c>
      <c r="Q10" s="38" cm="1">
        <f t="array" ref="Q10">Tablo17[[#This Row],[Q1]]/Tablo19[Q1]*$C$46+G10/Tablo19[Q2]*$D$46+H10/Tablo19[Q3]*$E$46+I10/Tablo19[Q4]*$F$46+J10/Tablo19[Q5]*$G$46+K10/Tablo19[Q6]*$H$46+L10/Tablo19[Q7]*$I$46</f>
        <v>23</v>
      </c>
      <c r="R10" s="38">
        <f t="shared" si="1"/>
        <v>40.333333333333329</v>
      </c>
      <c r="S10" s="7">
        <f>_xlfn.NORM.DIST(Tablo17[[#This Row],[TOTAL GRADE]],$N$56,$O$56,FALSE)</f>
        <v>1.5629036846777963E-2</v>
      </c>
    </row>
    <row r="11" spans="2:24" x14ac:dyDescent="0.3">
      <c r="B11" s="8">
        <v>7</v>
      </c>
      <c r="C11" s="9">
        <v>10</v>
      </c>
      <c r="D11" s="10" t="s">
        <v>3</v>
      </c>
      <c r="E11" s="10" t="s">
        <v>4</v>
      </c>
      <c r="F11" s="2">
        <v>0</v>
      </c>
      <c r="G11" s="2">
        <v>2</v>
      </c>
      <c r="H11" s="2">
        <v>17</v>
      </c>
      <c r="I11" s="2">
        <v>15</v>
      </c>
      <c r="J11" s="2">
        <v>10</v>
      </c>
      <c r="K11" s="2">
        <v>6</v>
      </c>
      <c r="L11" s="2">
        <v>0</v>
      </c>
      <c r="M11" s="28">
        <f t="shared" si="0"/>
        <v>50</v>
      </c>
      <c r="N11" s="38" cm="1">
        <f t="array" ref="N11">Tablo17[[#This Row],[Q1]]/Tablo19[Q1]*$C$43+G11/Tablo19[Q2]*$D$43+H11/Tablo19[Q3]*$E$43+I11/Tablo19[Q4]*$F$43+J11/Tablo19[Q5]*$G$43+K11/Tablo19[Q6]*$H$43+L11/Tablo19[Q7]*$I$43</f>
        <v>13.833333333333332</v>
      </c>
      <c r="O11" s="38" cm="1">
        <f t="array" ref="O11">Tablo17[[#This Row],[Q1]]/Tablo19[Q1]*$C$44+G11/Tablo19[Q2]*$D$44+H11/Tablo19[Q3]*$E$44+I11/Tablo19[Q4]*$F$44+J11/Tablo19[Q5]*$G$44+K11/Tablo19[Q6]*$H$44+L11/Tablo19[Q7]*$I$44</f>
        <v>2</v>
      </c>
      <c r="P11" s="38" cm="1">
        <f t="array" ref="P11">Tablo17[[#This Row],[Q1]]/Tablo19[Q1]*$C$45+G11/Tablo19[Q2]*$D$45+H11/Tablo19[Q3]*$E$45+I11/Tablo19[Q4]*$F$45+J11/Tablo19[Q5]*$G$45+K11/Tablo19[Q6]*$H$45+L11/Tablo19[Q7]*$I$45</f>
        <v>3.333333333333333</v>
      </c>
      <c r="Q11" s="38" cm="1">
        <f t="array" ref="Q11">Tablo17[[#This Row],[Q1]]/Tablo19[Q1]*$C$46+G11/Tablo19[Q2]*$D$46+H11/Tablo19[Q3]*$E$46+I11/Tablo19[Q4]*$F$46+J11/Tablo19[Q5]*$G$46+K11/Tablo19[Q6]*$H$46+L11/Tablo19[Q7]*$I$46</f>
        <v>12.833333333333332</v>
      </c>
      <c r="R11" s="38">
        <f t="shared" si="1"/>
        <v>31.999999999999996</v>
      </c>
      <c r="S11" s="7">
        <f>_xlfn.NORM.DIST(Tablo17[[#This Row],[TOTAL GRADE]],$N$56,$O$56,FALSE)</f>
        <v>1.7680383242776862E-2</v>
      </c>
    </row>
    <row r="12" spans="2:24" x14ac:dyDescent="0.3">
      <c r="B12" s="13">
        <v>8</v>
      </c>
      <c r="C12" s="9">
        <v>11</v>
      </c>
      <c r="D12" s="10" t="s">
        <v>3</v>
      </c>
      <c r="E12" s="10" t="s">
        <v>4</v>
      </c>
      <c r="F12" s="2">
        <v>0</v>
      </c>
      <c r="G12" s="2">
        <v>5</v>
      </c>
      <c r="H12" s="2">
        <v>8</v>
      </c>
      <c r="I12" s="2">
        <v>9</v>
      </c>
      <c r="J12" s="2">
        <v>8</v>
      </c>
      <c r="K12" s="2">
        <v>9</v>
      </c>
      <c r="L12" s="2">
        <v>11</v>
      </c>
      <c r="M12" s="28">
        <f t="shared" si="0"/>
        <v>50</v>
      </c>
      <c r="N12" s="38" cm="1">
        <f t="array" ref="N12">Tablo17[[#This Row],[Q1]]/Tablo19[Q1]*$C$43+G12/Tablo19[Q2]*$D$43+H12/Tablo19[Q3]*$E$43+I12/Tablo19[Q4]*$F$43+J12/Tablo19[Q5]*$G$43+K12/Tablo19[Q6]*$H$43+L12/Tablo19[Q7]*$I$43</f>
        <v>11.666666666666666</v>
      </c>
      <c r="O12" s="38" cm="1">
        <f t="array" ref="O12">Tablo17[[#This Row],[Q1]]/Tablo19[Q1]*$C$44+G12/Tablo19[Q2]*$D$44+H12/Tablo19[Q3]*$E$44+I12/Tablo19[Q4]*$F$44+J12/Tablo19[Q5]*$G$44+K12/Tablo19[Q6]*$H$44+L12/Tablo19[Q7]*$I$44</f>
        <v>3</v>
      </c>
      <c r="P12" s="38" cm="1">
        <f t="array" ref="P12">Tablo17[[#This Row],[Q1]]/Tablo19[Q1]*$C$45+G12/Tablo19[Q2]*$D$45+H12/Tablo19[Q3]*$E$45+I12/Tablo19[Q4]*$F$45+J12/Tablo19[Q5]*$G$45+K12/Tablo19[Q6]*$H$45+L12/Tablo19[Q7]*$I$45</f>
        <v>2.6666666666666665</v>
      </c>
      <c r="Q12" s="38" cm="1">
        <f t="array" ref="Q12">Tablo17[[#This Row],[Q1]]/Tablo19[Q1]*$C$46+G12/Tablo19[Q2]*$D$46+H12/Tablo19[Q3]*$E$46+I12/Tablo19[Q4]*$F$46+J12/Tablo19[Q5]*$G$46+K12/Tablo19[Q6]*$H$46+L12/Tablo19[Q7]*$I$46</f>
        <v>24.833333333333332</v>
      </c>
      <c r="R12" s="38">
        <f t="shared" si="1"/>
        <v>42.166666666666664</v>
      </c>
      <c r="S12" s="7">
        <f>_xlfn.NORM.DIST(Tablo17[[#This Row],[TOTAL GRADE]],$N$56,$O$56,FALSE)</f>
        <v>1.7680383242776862E-2</v>
      </c>
    </row>
    <row r="13" spans="2:24" x14ac:dyDescent="0.3">
      <c r="B13" s="8">
        <v>9</v>
      </c>
      <c r="C13" s="9">
        <v>12</v>
      </c>
      <c r="D13" s="10" t="s">
        <v>3</v>
      </c>
      <c r="E13" s="10" t="s">
        <v>4</v>
      </c>
      <c r="F13" s="2">
        <v>1</v>
      </c>
      <c r="G13" s="2">
        <v>1</v>
      </c>
      <c r="H13" s="2">
        <v>9</v>
      </c>
      <c r="I13" s="2">
        <v>10</v>
      </c>
      <c r="J13" s="2">
        <v>6</v>
      </c>
      <c r="K13" s="2">
        <v>10</v>
      </c>
      <c r="L13" s="2">
        <v>11</v>
      </c>
      <c r="M13" s="28">
        <f t="shared" si="0"/>
        <v>48</v>
      </c>
      <c r="N13" s="38" cm="1">
        <f t="array" ref="N13">Tablo17[[#This Row],[Q1]]/Tablo19[Q1]*$C$43+G13/Tablo19[Q2]*$D$43+H13/Tablo19[Q3]*$E$43+I13/Tablo19[Q4]*$F$43+J13/Tablo19[Q5]*$G$43+K13/Tablo19[Q6]*$H$43+L13/Tablo19[Q7]*$I$43</f>
        <v>8.5</v>
      </c>
      <c r="O13" s="38" cm="1">
        <f t="array" ref="O13">Tablo17[[#This Row],[Q1]]/Tablo19[Q1]*$C$44+G13/Tablo19[Q2]*$D$44+H13/Tablo19[Q3]*$E$44+I13/Tablo19[Q4]*$F$44+J13/Tablo19[Q5]*$G$44+K13/Tablo19[Q6]*$H$44+L13/Tablo19[Q7]*$I$44</f>
        <v>3.833333333333333</v>
      </c>
      <c r="P13" s="38" cm="1">
        <f t="array" ref="P13">Tablo17[[#This Row],[Q1]]/Tablo19[Q1]*$C$45+G13/Tablo19[Q2]*$D$45+H13/Tablo19[Q3]*$E$45+I13/Tablo19[Q4]*$F$45+J13/Tablo19[Q5]*$G$45+K13/Tablo19[Q6]*$H$45+L13/Tablo19[Q7]*$I$45</f>
        <v>2</v>
      </c>
      <c r="Q13" s="38" cm="1">
        <f t="array" ref="Q13">Tablo17[[#This Row],[Q1]]/Tablo19[Q1]*$C$46+G13/Tablo19[Q2]*$D$46+H13/Tablo19[Q3]*$E$46+I13/Tablo19[Q4]*$F$46+J13/Tablo19[Q5]*$G$46+K13/Tablo19[Q6]*$H$46+L13/Tablo19[Q7]*$I$46</f>
        <v>25</v>
      </c>
      <c r="R13" s="38">
        <f t="shared" si="1"/>
        <v>39.333333333333329</v>
      </c>
      <c r="S13" s="7">
        <f>_xlfn.NORM.DIST(Tablo17[[#This Row],[TOTAL GRADE]],$N$56,$O$56,FALSE)</f>
        <v>1.8905392662284057E-2</v>
      </c>
    </row>
    <row r="14" spans="2:24" x14ac:dyDescent="0.3">
      <c r="B14" s="13">
        <v>10</v>
      </c>
      <c r="C14" s="9">
        <v>13</v>
      </c>
      <c r="D14" s="10" t="s">
        <v>3</v>
      </c>
      <c r="E14" s="10" t="s">
        <v>4</v>
      </c>
      <c r="F14" s="2">
        <v>6</v>
      </c>
      <c r="G14" s="2">
        <v>2</v>
      </c>
      <c r="H14" s="2">
        <v>0</v>
      </c>
      <c r="I14" s="2">
        <v>16</v>
      </c>
      <c r="J14" s="2">
        <v>11</v>
      </c>
      <c r="K14" s="2">
        <v>4</v>
      </c>
      <c r="L14" s="2">
        <v>9</v>
      </c>
      <c r="M14" s="28">
        <f t="shared" si="0"/>
        <v>48</v>
      </c>
      <c r="N14" s="38" cm="1">
        <f t="array" ref="N14">Tablo17[[#This Row],[Q1]]/Tablo19[Q1]*$C$43+G14/Tablo19[Q2]*$D$43+H14/Tablo19[Q3]*$E$43+I14/Tablo19[Q4]*$F$43+J14/Tablo19[Q5]*$G$43+K14/Tablo19[Q6]*$H$43+L14/Tablo19[Q7]*$I$43</f>
        <v>11.666666666666666</v>
      </c>
      <c r="O14" s="38" cm="1">
        <f t="array" ref="O14">Tablo17[[#This Row],[Q1]]/Tablo19[Q1]*$C$44+G14/Tablo19[Q2]*$D$44+H14/Tablo19[Q3]*$E$44+I14/Tablo19[Q4]*$F$44+J14/Tablo19[Q5]*$G$44+K14/Tablo19[Q6]*$H$44+L14/Tablo19[Q7]*$I$44</f>
        <v>4.333333333333333</v>
      </c>
      <c r="P14" s="38" cm="1">
        <f t="array" ref="P14">Tablo17[[#This Row],[Q1]]/Tablo19[Q1]*$C$45+G14/Tablo19[Q2]*$D$45+H14/Tablo19[Q3]*$E$45+I14/Tablo19[Q4]*$F$45+J14/Tablo19[Q5]*$G$45+K14/Tablo19[Q6]*$H$45+L14/Tablo19[Q7]*$I$45</f>
        <v>3.6666666666666665</v>
      </c>
      <c r="Q14" s="38" cm="1">
        <f t="array" ref="Q14">Tablo17[[#This Row],[Q1]]/Tablo19[Q1]*$C$46+G14/Tablo19[Q2]*$D$46+H14/Tablo19[Q3]*$E$46+I14/Tablo19[Q4]*$F$46+J14/Tablo19[Q5]*$G$46+K14/Tablo19[Q6]*$H$46+L14/Tablo19[Q7]*$I$46</f>
        <v>25</v>
      </c>
      <c r="R14" s="38">
        <f t="shared" si="1"/>
        <v>44.666666666666671</v>
      </c>
      <c r="S14" s="7">
        <f>_xlfn.NORM.DIST(Tablo17[[#This Row],[TOTAL GRADE]],$N$56,$O$56,FALSE)</f>
        <v>1.8905392662284057E-2</v>
      </c>
    </row>
    <row r="15" spans="2:24" x14ac:dyDescent="0.3">
      <c r="B15" s="8">
        <v>11</v>
      </c>
      <c r="C15" s="9">
        <v>14</v>
      </c>
      <c r="D15" s="10" t="s">
        <v>3</v>
      </c>
      <c r="E15" s="10" t="s">
        <v>4</v>
      </c>
      <c r="F15" s="2">
        <v>3</v>
      </c>
      <c r="G15" s="2">
        <v>1</v>
      </c>
      <c r="H15" s="2">
        <v>1</v>
      </c>
      <c r="I15" s="2">
        <v>14</v>
      </c>
      <c r="J15" s="2">
        <v>9</v>
      </c>
      <c r="K15" s="2">
        <v>10</v>
      </c>
      <c r="L15" s="2">
        <v>9</v>
      </c>
      <c r="M15" s="28">
        <f t="shared" si="0"/>
        <v>47</v>
      </c>
      <c r="N15" s="38" cm="1">
        <f t="array" ref="N15">Tablo17[[#This Row],[Q1]]/Tablo19[Q1]*$C$43+G15/Tablo19[Q2]*$D$43+H15/Tablo19[Q3]*$E$43+I15/Tablo19[Q4]*$F$43+J15/Tablo19[Q5]*$G$43+K15/Tablo19[Q6]*$H$43+L15/Tablo19[Q7]*$I$43</f>
        <v>7.5</v>
      </c>
      <c r="O15" s="38" cm="1">
        <f t="array" ref="O15">Tablo17[[#This Row],[Q1]]/Tablo19[Q1]*$C$44+G15/Tablo19[Q2]*$D$44+H15/Tablo19[Q3]*$E$44+I15/Tablo19[Q4]*$F$44+J15/Tablo19[Q5]*$G$44+K15/Tablo19[Q6]*$H$44+L15/Tablo19[Q7]*$I$44</f>
        <v>4.833333333333333</v>
      </c>
      <c r="P15" s="38" cm="1">
        <f t="array" ref="P15">Tablo17[[#This Row],[Q1]]/Tablo19[Q1]*$C$45+G15/Tablo19[Q2]*$D$45+H15/Tablo19[Q3]*$E$45+I15/Tablo19[Q4]*$F$45+J15/Tablo19[Q5]*$G$45+K15/Tablo19[Q6]*$H$45+L15/Tablo19[Q7]*$I$45</f>
        <v>3</v>
      </c>
      <c r="Q15" s="38" cm="1">
        <f t="array" ref="Q15">Tablo17[[#This Row],[Q1]]/Tablo19[Q1]*$C$46+G15/Tablo19[Q2]*$D$46+H15/Tablo19[Q3]*$E$46+I15/Tablo19[Q4]*$F$46+J15/Tablo19[Q5]*$G$46+K15/Tablo19[Q6]*$H$46+L15/Tablo19[Q7]*$I$46</f>
        <v>25.333333333333332</v>
      </c>
      <c r="R15" s="38">
        <f t="shared" si="1"/>
        <v>40.666666666666664</v>
      </c>
      <c r="S15" s="7">
        <f>_xlfn.NORM.DIST(Tablo17[[#This Row],[TOTAL GRADE]],$N$56,$O$56,FALSE)</f>
        <v>1.9460277639275211E-2</v>
      </c>
    </row>
    <row r="16" spans="2:24" x14ac:dyDescent="0.3">
      <c r="B16" s="13">
        <v>12</v>
      </c>
      <c r="C16" s="9">
        <v>15</v>
      </c>
      <c r="D16" s="10" t="s">
        <v>3</v>
      </c>
      <c r="E16" s="10" t="s">
        <v>4</v>
      </c>
      <c r="F16" s="2">
        <v>2</v>
      </c>
      <c r="G16" s="2">
        <v>1</v>
      </c>
      <c r="H16" s="2">
        <v>14</v>
      </c>
      <c r="I16" s="2">
        <v>12</v>
      </c>
      <c r="J16" s="2">
        <v>6</v>
      </c>
      <c r="K16" s="2">
        <v>5</v>
      </c>
      <c r="L16" s="2">
        <v>4</v>
      </c>
      <c r="M16" s="28">
        <f t="shared" si="0"/>
        <v>44</v>
      </c>
      <c r="N16" s="38" cm="1">
        <f t="array" ref="N16">Tablo17[[#This Row],[Q1]]/Tablo19[Q1]*$C$43+G16/Tablo19[Q2]*$D$43+H16/Tablo19[Q3]*$E$43+I16/Tablo19[Q4]*$F$43+J16/Tablo19[Q5]*$G$43+K16/Tablo19[Q6]*$H$43+L16/Tablo19[Q7]*$I$43</f>
        <v>12</v>
      </c>
      <c r="O16" s="38" cm="1">
        <f t="array" ref="O16">Tablo17[[#This Row],[Q1]]/Tablo19[Q1]*$C$44+G16/Tablo19[Q2]*$D$44+H16/Tablo19[Q3]*$E$44+I16/Tablo19[Q4]*$F$44+J16/Tablo19[Q5]*$G$44+K16/Tablo19[Q6]*$H$44+L16/Tablo19[Q7]*$I$44</f>
        <v>2.6666666666666665</v>
      </c>
      <c r="P16" s="38" cm="1">
        <f t="array" ref="P16">Tablo17[[#This Row],[Q1]]/Tablo19[Q1]*$C$45+G16/Tablo19[Q2]*$D$45+H16/Tablo19[Q3]*$E$45+I16/Tablo19[Q4]*$F$45+J16/Tablo19[Q5]*$G$45+K16/Tablo19[Q6]*$H$45+L16/Tablo19[Q7]*$I$45</f>
        <v>2</v>
      </c>
      <c r="Q16" s="38" cm="1">
        <f t="array" ref="Q16">Tablo17[[#This Row],[Q1]]/Tablo19[Q1]*$C$46+G16/Tablo19[Q2]*$D$46+H16/Tablo19[Q3]*$E$46+I16/Tablo19[Q4]*$F$46+J16/Tablo19[Q5]*$G$46+K16/Tablo19[Q6]*$H$46+L16/Tablo19[Q7]*$I$46</f>
        <v>15</v>
      </c>
      <c r="R16" s="38">
        <f t="shared" si="1"/>
        <v>31.666666666666664</v>
      </c>
      <c r="S16" s="7">
        <f>_xlfn.NORM.DIST(Tablo17[[#This Row],[TOTAL GRADE]],$N$56,$O$56,FALSE)</f>
        <v>2.0840315400294896E-2</v>
      </c>
    </row>
    <row r="17" spans="2:19" x14ac:dyDescent="0.3">
      <c r="B17" s="8">
        <v>13</v>
      </c>
      <c r="C17" s="9">
        <v>16</v>
      </c>
      <c r="D17" s="10" t="s">
        <v>3</v>
      </c>
      <c r="E17" s="10" t="s">
        <v>4</v>
      </c>
      <c r="F17" s="2">
        <v>0</v>
      </c>
      <c r="G17" s="2">
        <v>1</v>
      </c>
      <c r="H17" s="2">
        <v>14</v>
      </c>
      <c r="I17" s="2">
        <v>3</v>
      </c>
      <c r="J17" s="2">
        <v>5</v>
      </c>
      <c r="K17" s="2">
        <v>11</v>
      </c>
      <c r="L17" s="2">
        <v>9</v>
      </c>
      <c r="M17" s="28">
        <f t="shared" si="0"/>
        <v>43</v>
      </c>
      <c r="N17" s="38" cm="1">
        <f t="array" ref="N17">Tablo17[[#This Row],[Q1]]/Tablo19[Q1]*$C$43+G17/Tablo19[Q2]*$D$43+H17/Tablo19[Q3]*$E$43+I17/Tablo19[Q4]*$F$43+J17/Tablo19[Q5]*$G$43+K17/Tablo19[Q6]*$H$43+L17/Tablo19[Q7]*$I$43</f>
        <v>9.6666666666666661</v>
      </c>
      <c r="O17" s="38" cm="1">
        <f t="array" ref="O17">Tablo17[[#This Row],[Q1]]/Tablo19[Q1]*$C$44+G17/Tablo19[Q2]*$D$44+H17/Tablo19[Q3]*$E$44+I17/Tablo19[Q4]*$F$44+J17/Tablo19[Q5]*$G$44+K17/Tablo19[Q6]*$H$44+L17/Tablo19[Q7]*$I$44</f>
        <v>3.6666666666666665</v>
      </c>
      <c r="P17" s="38" cm="1">
        <f t="array" ref="P17">Tablo17[[#This Row],[Q1]]/Tablo19[Q1]*$C$45+G17/Tablo19[Q2]*$D$45+H17/Tablo19[Q3]*$E$45+I17/Tablo19[Q4]*$F$45+J17/Tablo19[Q5]*$G$45+K17/Tablo19[Q6]*$H$45+L17/Tablo19[Q7]*$I$45</f>
        <v>1.6666666666666665</v>
      </c>
      <c r="Q17" s="38" cm="1">
        <f t="array" ref="Q17">Tablo17[[#This Row],[Q1]]/Tablo19[Q1]*$C$46+G17/Tablo19[Q2]*$D$46+H17/Tablo19[Q3]*$E$46+I17/Tablo19[Q4]*$F$46+J17/Tablo19[Q5]*$G$46+K17/Tablo19[Q6]*$H$46+L17/Tablo19[Q7]*$I$46</f>
        <v>18.833333333333332</v>
      </c>
      <c r="R17" s="38">
        <f t="shared" si="1"/>
        <v>33.833333333333329</v>
      </c>
      <c r="S17" s="7">
        <f>_xlfn.NORM.DIST(Tablo17[[#This Row],[TOTAL GRADE]],$N$56,$O$56,FALSE)</f>
        <v>2.1192285407833772E-2</v>
      </c>
    </row>
    <row r="18" spans="2:19" x14ac:dyDescent="0.3">
      <c r="B18" s="13">
        <v>14</v>
      </c>
      <c r="C18" s="9">
        <v>17</v>
      </c>
      <c r="D18" s="10" t="s">
        <v>3</v>
      </c>
      <c r="E18" s="10" t="s">
        <v>4</v>
      </c>
      <c r="F18" s="2">
        <v>3</v>
      </c>
      <c r="G18" s="2">
        <v>4</v>
      </c>
      <c r="H18" s="2">
        <v>11</v>
      </c>
      <c r="I18" s="2">
        <v>10</v>
      </c>
      <c r="J18" s="2">
        <v>6</v>
      </c>
      <c r="K18" s="2">
        <v>2</v>
      </c>
      <c r="L18" s="2">
        <v>6</v>
      </c>
      <c r="M18" s="28">
        <f t="shared" si="0"/>
        <v>42</v>
      </c>
      <c r="N18" s="38" cm="1">
        <f t="array" ref="N18">Tablo17[[#This Row],[Q1]]/Tablo19[Q1]*$C$43+G18/Tablo19[Q2]*$D$43+H18/Tablo19[Q3]*$E$43+I18/Tablo19[Q4]*$F$43+J18/Tablo19[Q5]*$G$43+K18/Tablo19[Q6]*$H$43+L18/Tablo19[Q7]*$I$43</f>
        <v>14.5</v>
      </c>
      <c r="O18" s="38" cm="1">
        <f t="array" ref="O18">Tablo17[[#This Row],[Q1]]/Tablo19[Q1]*$C$44+G18/Tablo19[Q2]*$D$44+H18/Tablo19[Q3]*$E$44+I18/Tablo19[Q4]*$F$44+J18/Tablo19[Q5]*$G$44+K18/Tablo19[Q6]*$H$44+L18/Tablo19[Q7]*$I$44</f>
        <v>2.1666666666666665</v>
      </c>
      <c r="P18" s="38" cm="1">
        <f t="array" ref="P18">Tablo17[[#This Row],[Q1]]/Tablo19[Q1]*$C$45+G18/Tablo19[Q2]*$D$45+H18/Tablo19[Q3]*$E$45+I18/Tablo19[Q4]*$F$45+J18/Tablo19[Q5]*$G$45+K18/Tablo19[Q6]*$H$45+L18/Tablo19[Q7]*$I$45</f>
        <v>2</v>
      </c>
      <c r="Q18" s="38" cm="1">
        <f t="array" ref="Q18">Tablo17[[#This Row],[Q1]]/Tablo19[Q1]*$C$46+G18/Tablo19[Q2]*$D$46+H18/Tablo19[Q3]*$E$46+I18/Tablo19[Q4]*$F$46+J18/Tablo19[Q5]*$G$46+K18/Tablo19[Q6]*$H$46+L18/Tablo19[Q7]*$I$46</f>
        <v>15.666666666666668</v>
      </c>
      <c r="R18" s="38">
        <f t="shared" si="1"/>
        <v>34.333333333333336</v>
      </c>
      <c r="S18" s="7">
        <f>_xlfn.NORM.DIST(Tablo17[[#This Row],[TOTAL GRADE]],$N$56,$O$56,FALSE)</f>
        <v>2.1484677809694316E-2</v>
      </c>
    </row>
    <row r="19" spans="2:19" x14ac:dyDescent="0.3">
      <c r="B19" s="8">
        <v>15</v>
      </c>
      <c r="C19" s="9">
        <v>18</v>
      </c>
      <c r="D19" s="10" t="s">
        <v>3</v>
      </c>
      <c r="E19" s="10" t="s">
        <v>4</v>
      </c>
      <c r="F19" s="2">
        <v>0</v>
      </c>
      <c r="G19" s="2">
        <v>0</v>
      </c>
      <c r="H19" s="2">
        <v>7</v>
      </c>
      <c r="I19" s="2">
        <v>15</v>
      </c>
      <c r="J19" s="2">
        <v>6</v>
      </c>
      <c r="K19" s="2">
        <v>10</v>
      </c>
      <c r="L19" s="2">
        <v>4</v>
      </c>
      <c r="M19" s="28">
        <f t="shared" si="0"/>
        <v>42</v>
      </c>
      <c r="N19" s="38" cm="1">
        <f t="array" ref="N19">Tablo17[[#This Row],[Q1]]/Tablo19[Q1]*$C$43+G19/Tablo19[Q2]*$D$43+H19/Tablo19[Q3]*$E$43+I19/Tablo19[Q4]*$F$43+J19/Tablo19[Q5]*$G$43+K19/Tablo19[Q6]*$H$43+L19/Tablo19[Q7]*$I$43</f>
        <v>5.5</v>
      </c>
      <c r="O19" s="38" cm="1">
        <f t="array" ref="O19">Tablo17[[#This Row],[Q1]]/Tablo19[Q1]*$C$44+G19/Tablo19[Q2]*$D$44+H19/Tablo19[Q3]*$E$44+I19/Tablo19[Q4]*$F$44+J19/Tablo19[Q5]*$G$44+K19/Tablo19[Q6]*$H$44+L19/Tablo19[Q7]*$I$44</f>
        <v>3.333333333333333</v>
      </c>
      <c r="P19" s="38" cm="1">
        <f t="array" ref="P19">Tablo17[[#This Row],[Q1]]/Tablo19[Q1]*$C$45+G19/Tablo19[Q2]*$D$45+H19/Tablo19[Q3]*$E$45+I19/Tablo19[Q4]*$F$45+J19/Tablo19[Q5]*$G$45+K19/Tablo19[Q6]*$H$45+L19/Tablo19[Q7]*$I$45</f>
        <v>2</v>
      </c>
      <c r="Q19" s="38" cm="1">
        <f t="array" ref="Q19">Tablo17[[#This Row],[Q1]]/Tablo19[Q1]*$C$46+G19/Tablo19[Q2]*$D$46+H19/Tablo19[Q3]*$E$46+I19/Tablo19[Q4]*$F$46+J19/Tablo19[Q5]*$G$46+K19/Tablo19[Q6]*$H$46+L19/Tablo19[Q7]*$I$46</f>
        <v>18.166666666666664</v>
      </c>
      <c r="R19" s="38">
        <f t="shared" si="1"/>
        <v>28.999999999999996</v>
      </c>
      <c r="S19" s="7">
        <f>_xlfn.NORM.DIST(Tablo17[[#This Row],[TOTAL GRADE]],$N$56,$O$56,FALSE)</f>
        <v>2.1484677809694316E-2</v>
      </c>
    </row>
    <row r="20" spans="2:19" x14ac:dyDescent="0.3">
      <c r="B20" s="13">
        <v>16</v>
      </c>
      <c r="C20" s="9">
        <v>19</v>
      </c>
      <c r="D20" s="10" t="s">
        <v>3</v>
      </c>
      <c r="E20" s="10" t="s">
        <v>4</v>
      </c>
      <c r="F20" s="2">
        <v>1</v>
      </c>
      <c r="G20" s="2">
        <v>3</v>
      </c>
      <c r="H20" s="2">
        <v>12</v>
      </c>
      <c r="I20" s="2">
        <v>10</v>
      </c>
      <c r="J20" s="2">
        <v>8</v>
      </c>
      <c r="K20" s="2">
        <v>5</v>
      </c>
      <c r="L20" s="2">
        <v>1</v>
      </c>
      <c r="M20" s="28">
        <f t="shared" si="0"/>
        <v>40</v>
      </c>
      <c r="N20" s="38" cm="1">
        <f t="array" ref="N20">Tablo17[[#This Row],[Q1]]/Tablo19[Q1]*$C$43+G20/Tablo19[Q2]*$D$43+H20/Tablo19[Q3]*$E$43+I20/Tablo19[Q4]*$F$43+J20/Tablo19[Q5]*$G$43+K20/Tablo19[Q6]*$H$43+L20/Tablo19[Q7]*$I$43</f>
        <v>12.666666666666666</v>
      </c>
      <c r="O20" s="38" cm="1">
        <f t="array" ref="O20">Tablo17[[#This Row],[Q1]]/Tablo19[Q1]*$C$44+G20/Tablo19[Q2]*$D$44+H20/Tablo19[Q3]*$E$44+I20/Tablo19[Q4]*$F$44+J20/Tablo19[Q5]*$G$44+K20/Tablo19[Q6]*$H$44+L20/Tablo19[Q7]*$I$44</f>
        <v>2.1666666666666665</v>
      </c>
      <c r="P20" s="38" cm="1">
        <f t="array" ref="P20">Tablo17[[#This Row],[Q1]]/Tablo19[Q1]*$C$45+G20/Tablo19[Q2]*$D$45+H20/Tablo19[Q3]*$E$45+I20/Tablo19[Q4]*$F$45+J20/Tablo19[Q5]*$G$45+K20/Tablo19[Q6]*$H$45+L20/Tablo19[Q7]*$I$45</f>
        <v>2.6666666666666665</v>
      </c>
      <c r="Q20" s="38" cm="1">
        <f t="array" ref="Q20">Tablo17[[#This Row],[Q1]]/Tablo19[Q1]*$C$46+G20/Tablo19[Q2]*$D$46+H20/Tablo19[Q3]*$E$46+I20/Tablo19[Q4]*$F$46+J20/Tablo19[Q5]*$G$46+K20/Tablo19[Q6]*$H$46+L20/Tablo19[Q7]*$I$46</f>
        <v>10.666666666666666</v>
      </c>
      <c r="R20" s="38">
        <f t="shared" si="1"/>
        <v>28.166666666666664</v>
      </c>
      <c r="S20" s="7">
        <f>_xlfn.NORM.DIST(Tablo17[[#This Row],[TOTAL GRADE]],$N$56,$O$56,FALSE)</f>
        <v>2.1880819321820844E-2</v>
      </c>
    </row>
    <row r="21" spans="2:19" x14ac:dyDescent="0.3">
      <c r="B21" s="8">
        <v>17</v>
      </c>
      <c r="C21" s="9">
        <v>20</v>
      </c>
      <c r="D21" s="10" t="s">
        <v>3</v>
      </c>
      <c r="E21" s="10" t="s">
        <v>4</v>
      </c>
      <c r="F21" s="2">
        <v>1</v>
      </c>
      <c r="G21" s="2">
        <v>1</v>
      </c>
      <c r="H21" s="2">
        <v>11</v>
      </c>
      <c r="I21" s="2">
        <v>9</v>
      </c>
      <c r="J21" s="2">
        <v>3</v>
      </c>
      <c r="K21" s="2">
        <v>10</v>
      </c>
      <c r="L21" s="2">
        <v>5</v>
      </c>
      <c r="M21" s="28">
        <f t="shared" si="0"/>
        <v>40</v>
      </c>
      <c r="N21" s="38" cm="1">
        <f t="array" ref="N21">Tablo17[[#This Row],[Q1]]/Tablo19[Q1]*$C$43+G21/Tablo19[Q2]*$D$43+H21/Tablo19[Q3]*$E$43+I21/Tablo19[Q4]*$F$43+J21/Tablo19[Q5]*$G$43+K21/Tablo19[Q6]*$H$43+L21/Tablo19[Q7]*$I$43</f>
        <v>8.5</v>
      </c>
      <c r="O21" s="38" cm="1">
        <f t="array" ref="O21">Tablo17[[#This Row],[Q1]]/Tablo19[Q1]*$C$44+G21/Tablo19[Q2]*$D$44+H21/Tablo19[Q3]*$E$44+I21/Tablo19[Q4]*$F$44+J21/Tablo19[Q5]*$G$44+K21/Tablo19[Q6]*$H$44+L21/Tablo19[Q7]*$I$44</f>
        <v>3.833333333333333</v>
      </c>
      <c r="P21" s="38" cm="1">
        <f t="array" ref="P21">Tablo17[[#This Row],[Q1]]/Tablo19[Q1]*$C$45+G21/Tablo19[Q2]*$D$45+H21/Tablo19[Q3]*$E$45+I21/Tablo19[Q4]*$F$45+J21/Tablo19[Q5]*$G$45+K21/Tablo19[Q6]*$H$45+L21/Tablo19[Q7]*$I$45</f>
        <v>1</v>
      </c>
      <c r="Q21" s="38" cm="1">
        <f t="array" ref="Q21">Tablo17[[#This Row],[Q1]]/Tablo19[Q1]*$C$46+G21/Tablo19[Q2]*$D$46+H21/Tablo19[Q3]*$E$46+I21/Tablo19[Q4]*$F$46+J21/Tablo19[Q5]*$G$46+K21/Tablo19[Q6]*$H$46+L21/Tablo19[Q7]*$I$46</f>
        <v>15.499999999999998</v>
      </c>
      <c r="R21" s="38">
        <f t="shared" si="1"/>
        <v>28.833333333333329</v>
      </c>
      <c r="S21" s="7">
        <f>_xlfn.NORM.DIST(Tablo17[[#This Row],[TOTAL GRADE]],$N$56,$O$56,FALSE)</f>
        <v>2.1880819321820844E-2</v>
      </c>
    </row>
    <row r="22" spans="2:19" x14ac:dyDescent="0.3">
      <c r="B22" s="13">
        <v>18</v>
      </c>
      <c r="C22" s="9">
        <v>21</v>
      </c>
      <c r="D22" s="10" t="s">
        <v>3</v>
      </c>
      <c r="E22" s="10" t="s">
        <v>4</v>
      </c>
      <c r="F22" s="2">
        <v>3</v>
      </c>
      <c r="G22" s="2">
        <v>1</v>
      </c>
      <c r="H22" s="2">
        <v>7</v>
      </c>
      <c r="I22" s="2">
        <v>9</v>
      </c>
      <c r="J22" s="2">
        <v>5</v>
      </c>
      <c r="K22" s="2">
        <v>0</v>
      </c>
      <c r="L22" s="2">
        <v>12</v>
      </c>
      <c r="M22" s="28">
        <f t="shared" si="0"/>
        <v>37</v>
      </c>
      <c r="N22" s="38" cm="1">
        <f t="array" ref="N22">Tablo17[[#This Row],[Q1]]/Tablo19[Q1]*$C$43+G22/Tablo19[Q2]*$D$43+H22/Tablo19[Q3]*$E$43+I22/Tablo19[Q4]*$F$43+J22/Tablo19[Q5]*$G$43+K22/Tablo19[Q6]*$H$43+L22/Tablo19[Q7]*$I$43</f>
        <v>9.1666666666666661</v>
      </c>
      <c r="O22" s="38" cm="1">
        <f t="array" ref="O22">Tablo17[[#This Row],[Q1]]/Tablo19[Q1]*$C$44+G22/Tablo19[Q2]*$D$44+H22/Tablo19[Q3]*$E$44+I22/Tablo19[Q4]*$F$44+J22/Tablo19[Q5]*$G$44+K22/Tablo19[Q6]*$H$44+L22/Tablo19[Q7]*$I$44</f>
        <v>1.5</v>
      </c>
      <c r="P22" s="38" cm="1">
        <f t="array" ref="P22">Tablo17[[#This Row],[Q1]]/Tablo19[Q1]*$C$45+G22/Tablo19[Q2]*$D$45+H22/Tablo19[Q3]*$E$45+I22/Tablo19[Q4]*$F$45+J22/Tablo19[Q5]*$G$45+K22/Tablo19[Q6]*$H$45+L22/Tablo19[Q7]*$I$45</f>
        <v>1.6666666666666665</v>
      </c>
      <c r="Q22" s="38" cm="1">
        <f t="array" ref="Q22">Tablo17[[#This Row],[Q1]]/Tablo19[Q1]*$C$46+G22/Tablo19[Q2]*$D$46+H22/Tablo19[Q3]*$E$46+I22/Tablo19[Q4]*$F$46+J22/Tablo19[Q5]*$G$46+K22/Tablo19[Q6]*$H$46+L22/Tablo19[Q7]*$I$46</f>
        <v>22.166666666666664</v>
      </c>
      <c r="R22" s="38">
        <f t="shared" si="1"/>
        <v>34.5</v>
      </c>
      <c r="S22" s="7">
        <f>_xlfn.NORM.DIST(Tablo17[[#This Row],[TOTAL GRADE]],$N$56,$O$56,FALSE)</f>
        <v>2.1980990760215053E-2</v>
      </c>
    </row>
    <row r="23" spans="2:19" x14ac:dyDescent="0.3">
      <c r="B23" s="8">
        <v>19</v>
      </c>
      <c r="C23" s="9">
        <v>22</v>
      </c>
      <c r="D23" s="14" t="s">
        <v>3</v>
      </c>
      <c r="E23" s="10" t="s">
        <v>4</v>
      </c>
      <c r="F23" s="2">
        <v>0</v>
      </c>
      <c r="G23" s="2">
        <v>2</v>
      </c>
      <c r="H23" s="2">
        <v>14</v>
      </c>
      <c r="I23" s="2">
        <v>9</v>
      </c>
      <c r="J23" s="2">
        <v>6</v>
      </c>
      <c r="K23" s="2">
        <v>0</v>
      </c>
      <c r="L23" s="2">
        <v>5</v>
      </c>
      <c r="M23" s="28">
        <f t="shared" si="0"/>
        <v>36</v>
      </c>
      <c r="N23" s="38" cm="1">
        <f t="array" ref="N23">Tablo17[[#This Row],[Q1]]/Tablo19[Q1]*$C$43+G23/Tablo19[Q2]*$D$43+H23/Tablo19[Q3]*$E$43+I23/Tablo19[Q4]*$F$43+J23/Tablo19[Q5]*$G$43+K23/Tablo19[Q6]*$H$43+L23/Tablo19[Q7]*$I$43</f>
        <v>11</v>
      </c>
      <c r="O23" s="38" cm="1">
        <f t="array" ref="O23">Tablo17[[#This Row],[Q1]]/Tablo19[Q1]*$C$44+G23/Tablo19[Q2]*$D$44+H23/Tablo19[Q3]*$E$44+I23/Tablo19[Q4]*$F$44+J23/Tablo19[Q5]*$G$44+K23/Tablo19[Q6]*$H$44+L23/Tablo19[Q7]*$I$44</f>
        <v>0</v>
      </c>
      <c r="P23" s="38" cm="1">
        <f t="array" ref="P23">Tablo17[[#This Row],[Q1]]/Tablo19[Q1]*$C$45+G23/Tablo19[Q2]*$D$45+H23/Tablo19[Q3]*$E$45+I23/Tablo19[Q4]*$F$45+J23/Tablo19[Q5]*$G$45+K23/Tablo19[Q6]*$H$45+L23/Tablo19[Q7]*$I$45</f>
        <v>2</v>
      </c>
      <c r="Q23" s="38" cm="1">
        <f t="array" ref="Q23">Tablo17[[#This Row],[Q1]]/Tablo19[Q1]*$C$46+G23/Tablo19[Q2]*$D$46+H23/Tablo19[Q3]*$E$46+I23/Tablo19[Q4]*$F$46+J23/Tablo19[Q5]*$G$46+K23/Tablo19[Q6]*$H$46+L23/Tablo19[Q7]*$I$46</f>
        <v>13.166666666666666</v>
      </c>
      <c r="R23" s="38">
        <f t="shared" si="1"/>
        <v>26.166666666666664</v>
      </c>
      <c r="S23" s="7">
        <f>_xlfn.NORM.DIST(Tablo17[[#This Row],[TOTAL GRADE]],$N$56,$O$56,FALSE)</f>
        <v>2.1880819321820844E-2</v>
      </c>
    </row>
    <row r="24" spans="2:19" x14ac:dyDescent="0.3">
      <c r="B24" s="13">
        <v>20</v>
      </c>
      <c r="C24" s="9">
        <v>23</v>
      </c>
      <c r="D24" s="10" t="s">
        <v>3</v>
      </c>
      <c r="E24" s="10" t="s">
        <v>4</v>
      </c>
      <c r="F24" s="2">
        <v>5</v>
      </c>
      <c r="G24" s="2">
        <v>2</v>
      </c>
      <c r="H24" s="2">
        <v>7</v>
      </c>
      <c r="I24" s="2">
        <v>12</v>
      </c>
      <c r="J24" s="2">
        <v>6</v>
      </c>
      <c r="K24" s="2">
        <v>3</v>
      </c>
      <c r="L24" s="2">
        <v>1</v>
      </c>
      <c r="M24" s="28">
        <f t="shared" si="0"/>
        <v>36</v>
      </c>
      <c r="N24" s="38" cm="1">
        <f t="array" ref="N24">Tablo17[[#This Row],[Q1]]/Tablo19[Q1]*$C$43+G24/Tablo19[Q2]*$D$43+H24/Tablo19[Q3]*$E$43+I24/Tablo19[Q4]*$F$43+J24/Tablo19[Q5]*$G$43+K24/Tablo19[Q6]*$H$43+L24/Tablo19[Q7]*$I$43</f>
        <v>12.5</v>
      </c>
      <c r="O24" s="38" cm="1">
        <f t="array" ref="O24">Tablo17[[#This Row],[Q1]]/Tablo19[Q1]*$C$44+G24/Tablo19[Q2]*$D$44+H24/Tablo19[Q3]*$E$44+I24/Tablo19[Q4]*$F$44+J24/Tablo19[Q5]*$G$44+K24/Tablo19[Q6]*$H$44+L24/Tablo19[Q7]*$I$44</f>
        <v>3.5</v>
      </c>
      <c r="P24" s="38" cm="1">
        <f t="array" ref="P24">Tablo17[[#This Row],[Q1]]/Tablo19[Q1]*$C$45+G24/Tablo19[Q2]*$D$45+H24/Tablo19[Q3]*$E$45+I24/Tablo19[Q4]*$F$45+J24/Tablo19[Q5]*$G$45+K24/Tablo19[Q6]*$H$45+L24/Tablo19[Q7]*$I$45</f>
        <v>2</v>
      </c>
      <c r="Q24" s="38" cm="1">
        <f t="array" ref="Q24">Tablo17[[#This Row],[Q1]]/Tablo19[Q1]*$C$46+G24/Tablo19[Q2]*$D$46+H24/Tablo19[Q3]*$E$46+I24/Tablo19[Q4]*$F$46+J24/Tablo19[Q5]*$G$46+K24/Tablo19[Q6]*$H$46+L24/Tablo19[Q7]*$I$46</f>
        <v>10.333333333333334</v>
      </c>
      <c r="R24" s="38">
        <f t="shared" si="1"/>
        <v>28.333333333333336</v>
      </c>
      <c r="S24" s="7">
        <f>_xlfn.NORM.DIST(Tablo17[[#This Row],[TOTAL GRADE]],$N$56,$O$56,FALSE)</f>
        <v>2.1880819321820844E-2</v>
      </c>
    </row>
    <row r="25" spans="2:19" x14ac:dyDescent="0.3">
      <c r="B25" s="8">
        <v>21</v>
      </c>
      <c r="C25" s="9">
        <v>24</v>
      </c>
      <c r="D25" s="10" t="s">
        <v>3</v>
      </c>
      <c r="E25" s="10" t="s">
        <v>4</v>
      </c>
      <c r="F25" s="2">
        <v>8</v>
      </c>
      <c r="G25" s="2">
        <v>1</v>
      </c>
      <c r="H25" s="2">
        <v>10</v>
      </c>
      <c r="I25" s="2">
        <v>2</v>
      </c>
      <c r="J25" s="2">
        <v>2</v>
      </c>
      <c r="K25" s="2">
        <v>5</v>
      </c>
      <c r="L25" s="2">
        <v>7</v>
      </c>
      <c r="M25" s="28">
        <f t="shared" si="0"/>
        <v>35</v>
      </c>
      <c r="N25" s="38" cm="1">
        <f t="array" ref="N25">Tablo17[[#This Row],[Q1]]/Tablo19[Q1]*$C$43+G25/Tablo19[Q2]*$D$43+H25/Tablo19[Q3]*$E$43+I25/Tablo19[Q4]*$F$43+J25/Tablo19[Q5]*$G$43+K25/Tablo19[Q6]*$H$43+L25/Tablo19[Q7]*$I$43</f>
        <v>14.666666666666666</v>
      </c>
      <c r="O25" s="38" cm="1">
        <f t="array" ref="O25">Tablo17[[#This Row],[Q1]]/Tablo19[Q1]*$C$44+G25/Tablo19[Q2]*$D$44+H25/Tablo19[Q3]*$E$44+I25/Tablo19[Q4]*$F$44+J25/Tablo19[Q5]*$G$44+K25/Tablo19[Q6]*$H$44+L25/Tablo19[Q7]*$I$44</f>
        <v>5.6666666666666661</v>
      </c>
      <c r="P25" s="38" cm="1">
        <f t="array" ref="P25">Tablo17[[#This Row],[Q1]]/Tablo19[Q1]*$C$45+G25/Tablo19[Q2]*$D$45+H25/Tablo19[Q3]*$E$45+I25/Tablo19[Q4]*$F$45+J25/Tablo19[Q5]*$G$45+K25/Tablo19[Q6]*$H$45+L25/Tablo19[Q7]*$I$45</f>
        <v>0.66666666666666663</v>
      </c>
      <c r="Q25" s="38" cm="1">
        <f t="array" ref="Q25">Tablo17[[#This Row],[Q1]]/Tablo19[Q1]*$C$46+G25/Tablo19[Q2]*$D$46+H25/Tablo19[Q3]*$E$46+I25/Tablo19[Q4]*$F$46+J25/Tablo19[Q5]*$G$46+K25/Tablo19[Q6]*$H$46+L25/Tablo19[Q7]*$I$46</f>
        <v>12.666666666666668</v>
      </c>
      <c r="R25" s="38">
        <f t="shared" si="1"/>
        <v>33.666666666666671</v>
      </c>
      <c r="S25" s="7">
        <f>_xlfn.NORM.DIST(Tablo17[[#This Row],[TOTAL GRADE]],$N$56,$O$56,FALSE)</f>
        <v>2.1714880340688841E-2</v>
      </c>
    </row>
    <row r="26" spans="2:19" x14ac:dyDescent="0.3">
      <c r="B26" s="13">
        <v>22</v>
      </c>
      <c r="C26" s="9">
        <v>25</v>
      </c>
      <c r="D26" s="10" t="s">
        <v>3</v>
      </c>
      <c r="E26" s="10" t="s">
        <v>4</v>
      </c>
      <c r="F26" s="2">
        <v>0</v>
      </c>
      <c r="G26" s="2">
        <v>2</v>
      </c>
      <c r="H26" s="2">
        <v>7</v>
      </c>
      <c r="I26" s="2">
        <v>8</v>
      </c>
      <c r="J26" s="2">
        <v>8</v>
      </c>
      <c r="K26" s="2">
        <v>3</v>
      </c>
      <c r="L26" s="2">
        <v>0</v>
      </c>
      <c r="M26" s="28">
        <f t="shared" si="0"/>
        <v>28</v>
      </c>
      <c r="N26" s="38" cm="1">
        <f t="array" ref="N26">Tablo17[[#This Row],[Q1]]/Tablo19[Q1]*$C$43+G26/Tablo19[Q2]*$D$43+H26/Tablo19[Q3]*$E$43+I26/Tablo19[Q4]*$F$43+J26/Tablo19[Q5]*$G$43+K26/Tablo19[Q6]*$H$43+L26/Tablo19[Q7]*$I$43</f>
        <v>8.1666666666666661</v>
      </c>
      <c r="O26" s="38" cm="1">
        <f t="array" ref="O26">Tablo17[[#This Row],[Q1]]/Tablo19[Q1]*$C$44+G26/Tablo19[Q2]*$D$44+H26/Tablo19[Q3]*$E$44+I26/Tablo19[Q4]*$F$44+J26/Tablo19[Q5]*$G$44+K26/Tablo19[Q6]*$H$44+L26/Tablo19[Q7]*$I$44</f>
        <v>1</v>
      </c>
      <c r="P26" s="38" cm="1">
        <f t="array" ref="P26">Tablo17[[#This Row],[Q1]]/Tablo19[Q1]*$C$45+G26/Tablo19[Q2]*$D$45+H26/Tablo19[Q3]*$E$45+I26/Tablo19[Q4]*$F$45+J26/Tablo19[Q5]*$G$45+K26/Tablo19[Q6]*$H$45+L26/Tablo19[Q7]*$I$45</f>
        <v>2.6666666666666665</v>
      </c>
      <c r="Q26" s="38" cm="1">
        <f t="array" ref="Q26">Tablo17[[#This Row],[Q1]]/Tablo19[Q1]*$C$46+G26/Tablo19[Q2]*$D$46+H26/Tablo19[Q3]*$E$46+I26/Tablo19[Q4]*$F$46+J26/Tablo19[Q5]*$G$46+K26/Tablo19[Q6]*$H$46+L26/Tablo19[Q7]*$I$46</f>
        <v>7.6666666666666661</v>
      </c>
      <c r="R26" s="38">
        <f t="shared" si="1"/>
        <v>19.5</v>
      </c>
      <c r="S26" s="7">
        <f>_xlfn.NORM.DIST(Tablo17[[#This Row],[TOTAL GRADE]],$N$56,$O$56,FALSE)</f>
        <v>1.8905392662284057E-2</v>
      </c>
    </row>
    <row r="27" spans="2:19" x14ac:dyDescent="0.3">
      <c r="B27" s="8">
        <v>23</v>
      </c>
      <c r="C27" s="9">
        <v>26</v>
      </c>
      <c r="D27" s="14" t="s">
        <v>3</v>
      </c>
      <c r="E27" s="10" t="s">
        <v>4</v>
      </c>
      <c r="F27" s="2">
        <v>0</v>
      </c>
      <c r="G27" s="2">
        <v>2</v>
      </c>
      <c r="H27" s="2">
        <v>8</v>
      </c>
      <c r="I27" s="2">
        <v>5</v>
      </c>
      <c r="J27" s="2">
        <v>5</v>
      </c>
      <c r="K27" s="2">
        <v>3</v>
      </c>
      <c r="L27" s="2">
        <v>2</v>
      </c>
      <c r="M27" s="28">
        <f t="shared" si="0"/>
        <v>25</v>
      </c>
      <c r="N27" s="38" cm="1">
        <f t="array" ref="N27">Tablo17[[#This Row],[Q1]]/Tablo19[Q1]*$C$43+G27/Tablo19[Q2]*$D$43+H27/Tablo19[Q3]*$E$43+I27/Tablo19[Q4]*$F$43+J27/Tablo19[Q5]*$G$43+K27/Tablo19[Q6]*$H$43+L27/Tablo19[Q7]*$I$43</f>
        <v>7.6666666666666661</v>
      </c>
      <c r="O27" s="38" cm="1">
        <f t="array" ref="O27">Tablo17[[#This Row],[Q1]]/Tablo19[Q1]*$C$44+G27/Tablo19[Q2]*$D$44+H27/Tablo19[Q3]*$E$44+I27/Tablo19[Q4]*$F$44+J27/Tablo19[Q5]*$G$44+K27/Tablo19[Q6]*$H$44+L27/Tablo19[Q7]*$I$44</f>
        <v>1</v>
      </c>
      <c r="P27" s="38" cm="1">
        <f t="array" ref="P27">Tablo17[[#This Row],[Q1]]/Tablo19[Q1]*$C$45+G27/Tablo19[Q2]*$D$45+H27/Tablo19[Q3]*$E$45+I27/Tablo19[Q4]*$F$45+J27/Tablo19[Q5]*$G$45+K27/Tablo19[Q6]*$H$45+L27/Tablo19[Q7]*$I$45</f>
        <v>1.6666666666666665</v>
      </c>
      <c r="Q27" s="38" cm="1">
        <f t="array" ref="Q27">Tablo17[[#This Row],[Q1]]/Tablo19[Q1]*$C$46+G27/Tablo19[Q2]*$D$46+H27/Tablo19[Q3]*$E$46+I27/Tablo19[Q4]*$F$46+J27/Tablo19[Q5]*$G$46+K27/Tablo19[Q6]*$H$46+L27/Tablo19[Q7]*$I$46</f>
        <v>7.8333333333333321</v>
      </c>
      <c r="R27" s="38">
        <f t="shared" si="1"/>
        <v>18.166666666666664</v>
      </c>
      <c r="S27" s="7">
        <f>_xlfn.NORM.DIST(Tablo17[[#This Row],[TOTAL GRADE]],$N$56,$O$56,FALSE)</f>
        <v>1.7020055707633003E-2</v>
      </c>
    </row>
    <row r="28" spans="2:19" x14ac:dyDescent="0.3">
      <c r="B28" s="13">
        <v>24</v>
      </c>
      <c r="C28" s="9">
        <v>27</v>
      </c>
      <c r="D28" s="10" t="s">
        <v>3</v>
      </c>
      <c r="E28" s="10" t="s">
        <v>4</v>
      </c>
      <c r="F28" s="2">
        <v>0</v>
      </c>
      <c r="G28" s="2">
        <v>0</v>
      </c>
      <c r="H28" s="2">
        <v>6</v>
      </c>
      <c r="I28" s="2">
        <v>6</v>
      </c>
      <c r="J28" s="2">
        <v>2</v>
      </c>
      <c r="K28" s="2">
        <v>5</v>
      </c>
      <c r="L28" s="2">
        <v>5</v>
      </c>
      <c r="M28" s="28">
        <f t="shared" si="0"/>
        <v>24</v>
      </c>
      <c r="N28" s="38" cm="1">
        <f t="array" ref="N28">Tablo17[[#This Row],[Q1]]/Tablo19[Q1]*$C$43+G28/Tablo19[Q2]*$D$43+H28/Tablo19[Q3]*$E$43+I28/Tablo19[Q4]*$F$43+J28/Tablo19[Q5]*$G$43+K28/Tablo19[Q6]*$H$43+L28/Tablo19[Q7]*$I$43</f>
        <v>3.6666666666666665</v>
      </c>
      <c r="O28" s="38" cm="1">
        <f t="array" ref="O28">Tablo17[[#This Row],[Q1]]/Tablo19[Q1]*$C$44+G28/Tablo19[Q2]*$D$44+H28/Tablo19[Q3]*$E$44+I28/Tablo19[Q4]*$F$44+J28/Tablo19[Q5]*$G$44+K28/Tablo19[Q6]*$H$44+L28/Tablo19[Q7]*$I$44</f>
        <v>1.6666666666666665</v>
      </c>
      <c r="P28" s="38" cm="1">
        <f t="array" ref="P28">Tablo17[[#This Row],[Q1]]/Tablo19[Q1]*$C$45+G28/Tablo19[Q2]*$D$45+H28/Tablo19[Q3]*$E$45+I28/Tablo19[Q4]*$F$45+J28/Tablo19[Q5]*$G$45+K28/Tablo19[Q6]*$H$45+L28/Tablo19[Q7]*$I$45</f>
        <v>0.66666666666666663</v>
      </c>
      <c r="Q28" s="38" cm="1">
        <f t="array" ref="Q28">Tablo17[[#This Row],[Q1]]/Tablo19[Q1]*$C$46+G28/Tablo19[Q2]*$D$46+H28/Tablo19[Q3]*$E$46+I28/Tablo19[Q4]*$F$46+J28/Tablo19[Q5]*$G$46+K28/Tablo19[Q6]*$H$46+L28/Tablo19[Q7]*$I$46</f>
        <v>12</v>
      </c>
      <c r="R28" s="38">
        <f t="shared" si="1"/>
        <v>18</v>
      </c>
      <c r="S28" s="7">
        <f>_xlfn.NORM.DIST(Tablo17[[#This Row],[TOTAL GRADE]],$N$56,$O$56,FALSE)</f>
        <v>1.6334574426045821E-2</v>
      </c>
    </row>
    <row r="29" spans="2:19" x14ac:dyDescent="0.3">
      <c r="B29" s="8">
        <v>25</v>
      </c>
      <c r="C29" s="9">
        <v>28</v>
      </c>
      <c r="D29" s="10" t="s">
        <v>3</v>
      </c>
      <c r="E29" s="10" t="s">
        <v>4</v>
      </c>
      <c r="F29" s="2">
        <v>1</v>
      </c>
      <c r="G29" s="2">
        <v>1</v>
      </c>
      <c r="H29" s="2">
        <v>7</v>
      </c>
      <c r="I29" s="2">
        <v>5</v>
      </c>
      <c r="J29" s="2">
        <v>6</v>
      </c>
      <c r="K29" s="2">
        <v>0</v>
      </c>
      <c r="L29" s="2">
        <v>2</v>
      </c>
      <c r="M29" s="28">
        <f t="shared" si="0"/>
        <v>22</v>
      </c>
      <c r="N29" s="38" cm="1">
        <f t="array" ref="N29">Tablo17[[#This Row],[Q1]]/Tablo19[Q1]*$C$43+G29/Tablo19[Q2]*$D$43+H29/Tablo19[Q3]*$E$43+I29/Tablo19[Q4]*$F$43+J29/Tablo19[Q5]*$G$43+K29/Tablo19[Q6]*$H$43+L29/Tablo19[Q7]*$I$43</f>
        <v>7.5</v>
      </c>
      <c r="O29" s="38" cm="1">
        <f t="array" ref="O29">Tablo17[[#This Row],[Q1]]/Tablo19[Q1]*$C$44+G29/Tablo19[Q2]*$D$44+H29/Tablo19[Q3]*$E$44+I29/Tablo19[Q4]*$F$44+J29/Tablo19[Q5]*$G$44+K29/Tablo19[Q6]*$H$44+L29/Tablo19[Q7]*$I$44</f>
        <v>0.5</v>
      </c>
      <c r="P29" s="38" cm="1">
        <f t="array" ref="P29">Tablo17[[#This Row],[Q1]]/Tablo19[Q1]*$C$45+G29/Tablo19[Q2]*$D$45+H29/Tablo19[Q3]*$E$45+I29/Tablo19[Q4]*$F$45+J29/Tablo19[Q5]*$G$45+K29/Tablo19[Q6]*$H$45+L29/Tablo19[Q7]*$I$45</f>
        <v>2</v>
      </c>
      <c r="Q29" s="38" cm="1">
        <f t="array" ref="Q29">Tablo17[[#This Row],[Q1]]/Tablo19[Q1]*$C$46+G29/Tablo19[Q2]*$D$46+H29/Tablo19[Q3]*$E$46+I29/Tablo19[Q4]*$F$46+J29/Tablo19[Q5]*$G$46+K29/Tablo19[Q6]*$H$46+L29/Tablo19[Q7]*$I$46</f>
        <v>7.1666666666666661</v>
      </c>
      <c r="R29" s="38">
        <f t="shared" si="1"/>
        <v>17.166666666666664</v>
      </c>
      <c r="S29" s="7">
        <f>_xlfn.NORM.DIST(Tablo17[[#This Row],[TOTAL GRADE]],$N$56,$O$56,FALSE)</f>
        <v>1.4908506887514609E-2</v>
      </c>
    </row>
    <row r="30" spans="2:19" x14ac:dyDescent="0.3">
      <c r="B30" s="13">
        <v>26</v>
      </c>
      <c r="C30" s="9">
        <v>29</v>
      </c>
      <c r="D30" s="10" t="s">
        <v>3</v>
      </c>
      <c r="E30" s="10" t="s">
        <v>4</v>
      </c>
      <c r="F30" s="2">
        <v>0</v>
      </c>
      <c r="G30" s="2">
        <v>0</v>
      </c>
      <c r="H30" s="2">
        <v>5</v>
      </c>
      <c r="I30" s="2">
        <v>0</v>
      </c>
      <c r="J30" s="2">
        <v>6</v>
      </c>
      <c r="K30" s="2">
        <v>5</v>
      </c>
      <c r="L30" s="2">
        <v>5</v>
      </c>
      <c r="M30" s="28">
        <f t="shared" si="0"/>
        <v>21</v>
      </c>
      <c r="N30" s="38" cm="1">
        <f t="array" ref="N30">Tablo17[[#This Row],[Q1]]/Tablo19[Q1]*$C$43+G30/Tablo19[Q2]*$D$43+H30/Tablo19[Q3]*$E$43+I30/Tablo19[Q4]*$F$43+J30/Tablo19[Q5]*$G$43+K30/Tablo19[Q6]*$H$43+L30/Tablo19[Q7]*$I$43</f>
        <v>4.5</v>
      </c>
      <c r="O30" s="38" cm="1">
        <f t="array" ref="O30">Tablo17[[#This Row],[Q1]]/Tablo19[Q1]*$C$44+G30/Tablo19[Q2]*$D$44+H30/Tablo19[Q3]*$E$44+I30/Tablo19[Q4]*$F$44+J30/Tablo19[Q5]*$G$44+K30/Tablo19[Q6]*$H$44+L30/Tablo19[Q7]*$I$44</f>
        <v>1.6666666666666665</v>
      </c>
      <c r="P30" s="38" cm="1">
        <f t="array" ref="P30">Tablo17[[#This Row],[Q1]]/Tablo19[Q1]*$C$45+G30/Tablo19[Q2]*$D$45+H30/Tablo19[Q3]*$E$45+I30/Tablo19[Q4]*$F$45+J30/Tablo19[Q5]*$G$45+K30/Tablo19[Q6]*$H$45+L30/Tablo19[Q7]*$I$45</f>
        <v>2</v>
      </c>
      <c r="Q30" s="38" cm="1">
        <f t="array" ref="Q30">Tablo17[[#This Row],[Q1]]/Tablo19[Q1]*$C$46+G30/Tablo19[Q2]*$D$46+H30/Tablo19[Q3]*$E$46+I30/Tablo19[Q4]*$F$46+J30/Tablo19[Q5]*$G$46+K30/Tablo19[Q6]*$H$46+L30/Tablo19[Q7]*$I$46</f>
        <v>10.333333333333332</v>
      </c>
      <c r="R30" s="38">
        <f t="shared" si="1"/>
        <v>18.5</v>
      </c>
      <c r="S30" s="7">
        <f>_xlfn.NORM.DIST(Tablo17[[#This Row],[TOTAL GRADE]],$N$56,$O$56,FALSE)</f>
        <v>1.4177956179946404E-2</v>
      </c>
    </row>
    <row r="31" spans="2:19" x14ac:dyDescent="0.3">
      <c r="B31" s="8">
        <v>27</v>
      </c>
      <c r="C31" s="9">
        <v>30</v>
      </c>
      <c r="D31" s="10" t="s">
        <v>3</v>
      </c>
      <c r="E31" s="10" t="s">
        <v>4</v>
      </c>
      <c r="F31" s="2">
        <v>2</v>
      </c>
      <c r="G31" s="2">
        <v>1</v>
      </c>
      <c r="H31" s="2">
        <v>0</v>
      </c>
      <c r="I31" s="2">
        <v>4</v>
      </c>
      <c r="J31" s="2">
        <v>3</v>
      </c>
      <c r="K31" s="2">
        <v>1</v>
      </c>
      <c r="L31" s="2">
        <v>6</v>
      </c>
      <c r="M31" s="28">
        <f t="shared" si="0"/>
        <v>17</v>
      </c>
      <c r="N31" s="38" cm="1">
        <f t="array" ref="N31">Tablo17[[#This Row],[Q1]]/Tablo19[Q1]*$C$43+G31/Tablo19[Q2]*$D$43+H31/Tablo19[Q3]*$E$43+I31/Tablo19[Q4]*$F$43+J31/Tablo19[Q5]*$G$43+K31/Tablo19[Q6]*$H$43+L31/Tablo19[Q7]*$I$43</f>
        <v>4</v>
      </c>
      <c r="O31" s="38" cm="1">
        <f t="array" ref="O31">Tablo17[[#This Row],[Q1]]/Tablo19[Q1]*$C$44+G31/Tablo19[Q2]*$D$44+H31/Tablo19[Q3]*$E$44+I31/Tablo19[Q4]*$F$44+J31/Tablo19[Q5]*$G$44+K31/Tablo19[Q6]*$H$44+L31/Tablo19[Q7]*$I$44</f>
        <v>1.3333333333333333</v>
      </c>
      <c r="P31" s="38" cm="1">
        <f t="array" ref="P31">Tablo17[[#This Row],[Q1]]/Tablo19[Q1]*$C$45+G31/Tablo19[Q2]*$D$45+H31/Tablo19[Q3]*$E$45+I31/Tablo19[Q4]*$F$45+J31/Tablo19[Q5]*$G$45+K31/Tablo19[Q6]*$H$45+L31/Tablo19[Q7]*$I$45</f>
        <v>1</v>
      </c>
      <c r="Q31" s="38" cm="1">
        <f t="array" ref="Q31">Tablo17[[#This Row],[Q1]]/Tablo19[Q1]*$C$46+G31/Tablo19[Q2]*$D$46+H31/Tablo19[Q3]*$E$46+I31/Tablo19[Q4]*$F$46+J31/Tablo19[Q5]*$G$46+K31/Tablo19[Q6]*$H$46+L31/Tablo19[Q7]*$I$46</f>
        <v>11.333333333333334</v>
      </c>
      <c r="R31" s="38">
        <f t="shared" si="1"/>
        <v>17.666666666666668</v>
      </c>
      <c r="S31" s="7">
        <f>_xlfn.NORM.DIST(Tablo17[[#This Row],[TOTAL GRADE]],$N$56,$O$56,FALSE)</f>
        <v>1.1248820574905113E-2</v>
      </c>
    </row>
    <row r="32" spans="2:19" x14ac:dyDescent="0.3">
      <c r="B32" s="13">
        <v>28</v>
      </c>
      <c r="C32" s="9">
        <v>1</v>
      </c>
      <c r="D32" s="10" t="s">
        <v>3</v>
      </c>
      <c r="E32" s="10" t="s">
        <v>4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8">
        <f t="shared" si="0"/>
        <v>0</v>
      </c>
      <c r="N32" s="38" cm="1">
        <f t="array" ref="N32">Tablo17[[#This Row],[Q1]]/Tablo19[Q1]*$C$43+G32/Tablo19[Q2]*$D$43+H32/Tablo19[Q3]*$E$43+I32/Tablo19[Q4]*$F$43+J32/Tablo19[Q5]*$G$43+K32/Tablo19[Q6]*$H$43+L32/Tablo19[Q7]*$I$43</f>
        <v>0</v>
      </c>
      <c r="O32" s="38" cm="1">
        <f t="array" ref="O32">Tablo17[[#This Row],[Q1]]/Tablo19[Q1]*$C$44+G32/Tablo19[Q2]*$D$44+H32/Tablo19[Q3]*$E$44+I32/Tablo19[Q4]*$F$44+J32/Tablo19[Q5]*$G$44+K32/Tablo19[Q6]*$H$44+L32/Tablo19[Q7]*$I$44</f>
        <v>0</v>
      </c>
      <c r="P32" s="38" cm="1">
        <f t="array" ref="P32">Tablo17[[#This Row],[Q1]]/Tablo19[Q1]*$C$45+G32/Tablo19[Q2]*$D$45+H32/Tablo19[Q3]*$E$45+I32/Tablo19[Q4]*$F$45+J32/Tablo19[Q5]*$G$45+K32/Tablo19[Q6]*$H$45+L32/Tablo19[Q7]*$I$45</f>
        <v>0</v>
      </c>
      <c r="Q32" s="38" cm="1">
        <f t="array" ref="Q32">Tablo17[[#This Row],[Q1]]/Tablo19[Q1]*$C$46+G32/Tablo19[Q2]*$D$46+H32/Tablo19[Q3]*$E$46+I32/Tablo19[Q4]*$F$46+J32/Tablo19[Q5]*$G$46+K32/Tablo19[Q6]*$H$46+L32/Tablo19[Q7]*$I$46</f>
        <v>0</v>
      </c>
      <c r="R32" s="38">
        <f t="shared" si="1"/>
        <v>0</v>
      </c>
      <c r="S32" s="7">
        <f>_xlfn.NORM.DIST(Tablo17[[#This Row],[TOTAL GRADE]],$N$56,$O$56,FALSE)</f>
        <v>2.4428421796479677E-3</v>
      </c>
    </row>
    <row r="33" spans="2:19" x14ac:dyDescent="0.3">
      <c r="B33" s="8">
        <v>29</v>
      </c>
      <c r="C33" s="9">
        <v>2</v>
      </c>
      <c r="D33" s="10" t="s">
        <v>3</v>
      </c>
      <c r="E33" s="10" t="s">
        <v>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8">
        <f t="shared" si="0"/>
        <v>0</v>
      </c>
      <c r="N33" s="38" cm="1">
        <f t="array" ref="N33">Tablo17[[#This Row],[Q1]]/Tablo19[Q1]*$C$43+G33/Tablo19[Q2]*$D$43+H33/Tablo19[Q3]*$E$43+I33/Tablo19[Q4]*$F$43+J33/Tablo19[Q5]*$G$43+K33/Tablo19[Q6]*$H$43+L33/Tablo19[Q7]*$I$43</f>
        <v>0</v>
      </c>
      <c r="O33" s="38" cm="1">
        <f t="array" ref="O33">Tablo17[[#This Row],[Q1]]/Tablo19[Q1]*$C$44+G33/Tablo19[Q2]*$D$44+H33/Tablo19[Q3]*$E$44+I33/Tablo19[Q4]*$F$44+J33/Tablo19[Q5]*$G$44+K33/Tablo19[Q6]*$H$44+L33/Tablo19[Q7]*$I$44</f>
        <v>0</v>
      </c>
      <c r="P33" s="38" cm="1">
        <f t="array" ref="P33">Tablo17[[#This Row],[Q1]]/Tablo19[Q1]*$C$45+G33/Tablo19[Q2]*$D$45+H33/Tablo19[Q3]*$E$45+I33/Tablo19[Q4]*$F$45+J33/Tablo19[Q5]*$G$45+K33/Tablo19[Q6]*$H$45+L33/Tablo19[Q7]*$I$45</f>
        <v>0</v>
      </c>
      <c r="Q33" s="38" cm="1">
        <f t="array" ref="Q33">Tablo17[[#This Row],[Q1]]/Tablo19[Q1]*$C$46+G33/Tablo19[Q2]*$D$46+H33/Tablo19[Q3]*$E$46+I33/Tablo19[Q4]*$F$46+J33/Tablo19[Q5]*$G$46+K33/Tablo19[Q6]*$H$46+L33/Tablo19[Q7]*$I$46</f>
        <v>0</v>
      </c>
      <c r="R33" s="38">
        <f t="shared" si="1"/>
        <v>0</v>
      </c>
      <c r="S33" s="7">
        <f>_xlfn.NORM.DIST(Tablo17[[#This Row],[TOTAL GRADE]],$N$56,$O$56,FALSE)</f>
        <v>2.4428421796479677E-3</v>
      </c>
    </row>
    <row r="34" spans="2:19" x14ac:dyDescent="0.3">
      <c r="B34" s="22">
        <v>30</v>
      </c>
      <c r="C34" s="9">
        <v>3</v>
      </c>
      <c r="D34" s="10" t="s">
        <v>3</v>
      </c>
      <c r="E34" s="10" t="s">
        <v>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8">
        <f t="shared" si="0"/>
        <v>0</v>
      </c>
      <c r="N34" s="38" cm="1">
        <f t="array" ref="N34">Tablo17[[#This Row],[Q1]]/Tablo19[Q1]*$C$43+G34/Tablo19[Q2]*$D$43+H34/Tablo19[Q3]*$E$43+I34/Tablo19[Q4]*$F$43+J34/Tablo19[Q5]*$G$43+K34/Tablo19[Q6]*$H$43+L34/Tablo19[Q7]*$I$43</f>
        <v>0</v>
      </c>
      <c r="O34" s="38" cm="1">
        <f t="array" ref="O34">Tablo17[[#This Row],[Q1]]/Tablo19[Q1]*$C$44+G34/Tablo19[Q2]*$D$44+H34/Tablo19[Q3]*$E$44+I34/Tablo19[Q4]*$F$44+J34/Tablo19[Q5]*$G$44+K34/Tablo19[Q6]*$H$44+L34/Tablo19[Q7]*$I$44</f>
        <v>0</v>
      </c>
      <c r="P34" s="38" cm="1">
        <f t="array" ref="P34">Tablo17[[#This Row],[Q1]]/Tablo19[Q1]*$C$45+G34/Tablo19[Q2]*$D$45+H34/Tablo19[Q3]*$E$45+I34/Tablo19[Q4]*$F$45+J34/Tablo19[Q5]*$G$45+K34/Tablo19[Q6]*$H$45+L34/Tablo19[Q7]*$I$45</f>
        <v>0</v>
      </c>
      <c r="Q34" s="38" cm="1">
        <f t="array" ref="Q34">Tablo17[[#This Row],[Q1]]/Tablo19[Q1]*$C$46+G34/Tablo19[Q2]*$D$46+H34/Tablo19[Q3]*$E$46+I34/Tablo19[Q4]*$F$46+J34/Tablo19[Q5]*$G$46+K34/Tablo19[Q6]*$H$46+L34/Tablo19[Q7]*$I$46</f>
        <v>0</v>
      </c>
      <c r="R34" s="38">
        <f t="shared" si="1"/>
        <v>0</v>
      </c>
      <c r="S34" s="7">
        <f>_xlfn.NORM.DIST(Tablo17[[#This Row],[TOTAL GRADE]],$N$56,$O$56,FALSE)</f>
        <v>2.4428421796479677E-3</v>
      </c>
    </row>
    <row r="35" spans="2:19" x14ac:dyDescent="0.3">
      <c r="E35"/>
      <c r="F35"/>
      <c r="G35"/>
      <c r="H35"/>
      <c r="I35"/>
      <c r="J35"/>
      <c r="L35"/>
      <c r="M35" s="9"/>
      <c r="N35" s="9"/>
      <c r="O35" s="9"/>
      <c r="P35" s="9"/>
    </row>
    <row r="36" spans="2:19" x14ac:dyDescent="0.3">
      <c r="B36" s="39" t="s">
        <v>45</v>
      </c>
      <c r="C36" s="39" t="s">
        <v>46</v>
      </c>
      <c r="D36" s="7" t="s">
        <v>70</v>
      </c>
      <c r="E36" s="7" t="s">
        <v>71</v>
      </c>
      <c r="F36"/>
      <c r="G36" t="s">
        <v>72</v>
      </c>
      <c r="H36" s="37" t="s">
        <v>56</v>
      </c>
      <c r="I36" s="37" t="s">
        <v>57</v>
      </c>
      <c r="J36" s="37" t="s">
        <v>58</v>
      </c>
      <c r="K36" s="37" t="s">
        <v>59</v>
      </c>
      <c r="L36" s="37" t="s">
        <v>60</v>
      </c>
      <c r="M36" s="37" t="s">
        <v>61</v>
      </c>
      <c r="N36" s="37" t="s">
        <v>62</v>
      </c>
      <c r="O36" s="26" t="s">
        <v>73</v>
      </c>
      <c r="P36" s="9"/>
    </row>
    <row r="37" spans="2:19" x14ac:dyDescent="0.3">
      <c r="B37" s="28">
        <v>1</v>
      </c>
      <c r="C37" t="s">
        <v>48</v>
      </c>
      <c r="D37">
        <f>[1]MAIN!P35</f>
        <v>30</v>
      </c>
      <c r="E37" s="23">
        <f>Tablo4[[#This Row],[DERS ÇIKTISI KATSAYISI]]-J43</f>
        <v>0</v>
      </c>
      <c r="F37"/>
      <c r="G37" s="7" t="s">
        <v>74</v>
      </c>
      <c r="H37" s="2">
        <v>10</v>
      </c>
      <c r="I37" s="2">
        <v>5</v>
      </c>
      <c r="J37" s="2">
        <v>20</v>
      </c>
      <c r="K37" s="2">
        <v>20</v>
      </c>
      <c r="L37" s="2">
        <v>15</v>
      </c>
      <c r="M37" s="2">
        <v>15</v>
      </c>
      <c r="N37" s="2">
        <v>15</v>
      </c>
      <c r="O37" s="2">
        <f>SUM(H37:N37)</f>
        <v>100</v>
      </c>
      <c r="P37" s="9"/>
    </row>
    <row r="38" spans="2:19" x14ac:dyDescent="0.3">
      <c r="B38" s="28">
        <v>2</v>
      </c>
      <c r="C38" t="s">
        <v>49</v>
      </c>
      <c r="D38">
        <f>[1]MAIN!P36</f>
        <v>10</v>
      </c>
      <c r="E38" s="23">
        <f>Tablo4[[#This Row],[DERS ÇIKTISI KATSAYISI]]-J44</f>
        <v>0</v>
      </c>
      <c r="F38"/>
      <c r="G38"/>
      <c r="H38"/>
      <c r="I38"/>
      <c r="J38"/>
      <c r="L38"/>
      <c r="M38" s="9"/>
      <c r="N38" s="9"/>
      <c r="O38" s="9"/>
      <c r="P38" s="9"/>
    </row>
    <row r="39" spans="2:19" x14ac:dyDescent="0.3">
      <c r="B39" s="28">
        <v>3</v>
      </c>
      <c r="C39" t="s">
        <v>50</v>
      </c>
      <c r="D39">
        <v>5</v>
      </c>
      <c r="E39" s="23">
        <f>Tablo4[[#This Row],[DERS ÇIKTISI KATSAYISI]]-J45</f>
        <v>0</v>
      </c>
      <c r="F39"/>
      <c r="G39"/>
      <c r="H39"/>
      <c r="I39"/>
      <c r="J39"/>
      <c r="L39"/>
      <c r="M39" s="9"/>
      <c r="N39" s="9"/>
      <c r="O39" s="9"/>
      <c r="P39" s="9"/>
    </row>
    <row r="40" spans="2:19" x14ac:dyDescent="0.3">
      <c r="B40" s="2">
        <v>4</v>
      </c>
      <c r="C40" t="s">
        <v>51</v>
      </c>
      <c r="D40">
        <f>[1]MAIN!P38</f>
        <v>40</v>
      </c>
      <c r="E40" s="23">
        <f>Tablo4[[#This Row],[DERS ÇIKTISI KATSAYISI]]-J46</f>
        <v>0</v>
      </c>
      <c r="F40"/>
      <c r="G40"/>
      <c r="H40"/>
      <c r="I40"/>
      <c r="J40"/>
      <c r="L40"/>
      <c r="M40" s="9"/>
      <c r="N40" s="9"/>
      <c r="O40" s="9"/>
      <c r="P40" s="9"/>
    </row>
    <row r="41" spans="2:19" x14ac:dyDescent="0.3">
      <c r="E41"/>
      <c r="F41"/>
      <c r="G41"/>
      <c r="H41"/>
      <c r="I41"/>
      <c r="J41"/>
      <c r="L41"/>
      <c r="M41" s="9"/>
      <c r="N41" s="9"/>
      <c r="O41" s="9"/>
      <c r="P41" s="9"/>
    </row>
    <row r="42" spans="2:19" x14ac:dyDescent="0.3">
      <c r="B42" s="7" t="s">
        <v>75</v>
      </c>
      <c r="C42" s="37" t="s">
        <v>56</v>
      </c>
      <c r="D42" s="37" t="s">
        <v>57</v>
      </c>
      <c r="E42" s="37" t="s">
        <v>58</v>
      </c>
      <c r="F42" s="37" t="s">
        <v>59</v>
      </c>
      <c r="G42" s="37" t="s">
        <v>60</v>
      </c>
      <c r="H42" s="37" t="s">
        <v>61</v>
      </c>
      <c r="I42" s="37" t="s">
        <v>62</v>
      </c>
      <c r="J42" s="5" t="s">
        <v>76</v>
      </c>
      <c r="K42" s="26" t="s">
        <v>77</v>
      </c>
      <c r="L42" s="7" t="s">
        <v>78</v>
      </c>
      <c r="M42" s="9"/>
      <c r="N42" s="9"/>
      <c r="O42" s="9"/>
      <c r="P42" s="9"/>
    </row>
    <row r="43" spans="2:19" x14ac:dyDescent="0.3">
      <c r="B43" s="21">
        <v>1</v>
      </c>
      <c r="C43" s="38">
        <v>10</v>
      </c>
      <c r="D43" s="38">
        <v>5</v>
      </c>
      <c r="E43" s="38">
        <v>10</v>
      </c>
      <c r="F43" s="38">
        <v>0</v>
      </c>
      <c r="G43" s="38">
        <v>5</v>
      </c>
      <c r="H43" s="38">
        <v>0</v>
      </c>
      <c r="I43" s="38">
        <v>0</v>
      </c>
      <c r="J43" s="29">
        <f>SUM(Tablo16[[#This Row],[Q1]:[Q7]])</f>
        <v>30</v>
      </c>
      <c r="K43" s="40">
        <f>IF($J43=0,"0",SUM(Tablo17[DÇ1])/(30*D37))</f>
        <v>0.31101851851851847</v>
      </c>
      <c r="L43" s="41">
        <f>$K43*$D37</f>
        <v>9.3305555555555539</v>
      </c>
      <c r="M43" s="9"/>
      <c r="N43" s="9"/>
      <c r="O43" s="9"/>
      <c r="P43" s="9"/>
    </row>
    <row r="44" spans="2:19" x14ac:dyDescent="0.3">
      <c r="B44" s="9">
        <v>2</v>
      </c>
      <c r="C44" s="29">
        <v>5</v>
      </c>
      <c r="D44" s="29">
        <v>0</v>
      </c>
      <c r="E44" s="29">
        <v>0</v>
      </c>
      <c r="F44" s="29">
        <v>0</v>
      </c>
      <c r="G44" s="29">
        <v>0</v>
      </c>
      <c r="H44" s="29">
        <v>5</v>
      </c>
      <c r="I44" s="29">
        <v>0</v>
      </c>
      <c r="J44" s="29">
        <f>SUM(Tablo16[[#This Row],[Q1]:[Q7]])</f>
        <v>10</v>
      </c>
      <c r="K44" s="40">
        <f>IF($J44=0,"0",SUM(Tablo17[DÇ2])/(30*D38))</f>
        <v>0.28055555555555556</v>
      </c>
      <c r="L44" s="29">
        <f>$K44*$D38</f>
        <v>2.8055555555555554</v>
      </c>
      <c r="M44" s="9"/>
      <c r="N44" s="9"/>
      <c r="O44" s="9"/>
      <c r="P44" s="9"/>
    </row>
    <row r="45" spans="2:19" x14ac:dyDescent="0.3">
      <c r="B45" s="9">
        <v>3</v>
      </c>
      <c r="C45" s="29">
        <v>0</v>
      </c>
      <c r="D45" s="29">
        <v>0</v>
      </c>
      <c r="E45" s="29">
        <v>0</v>
      </c>
      <c r="F45" s="29">
        <v>0</v>
      </c>
      <c r="G45" s="29">
        <v>5</v>
      </c>
      <c r="H45" s="29">
        <v>0</v>
      </c>
      <c r="I45" s="29">
        <v>0</v>
      </c>
      <c r="J45" s="29">
        <f>SUM(Tablo16[[#This Row],[Q1]:[Q7]])</f>
        <v>5</v>
      </c>
      <c r="K45" s="40">
        <f>IF($J45=0,"0",SUM(Tablo17[DÇ3])/(30*D39))</f>
        <v>0.40444444444444433</v>
      </c>
      <c r="L45" s="29">
        <f>$K45*$D39</f>
        <v>2.0222222222222217</v>
      </c>
      <c r="M45" s="9"/>
      <c r="N45" s="9"/>
      <c r="O45" s="9"/>
      <c r="P45" s="9"/>
    </row>
    <row r="46" spans="2:19" x14ac:dyDescent="0.3">
      <c r="B46" s="9">
        <v>4</v>
      </c>
      <c r="C46" s="29">
        <v>0</v>
      </c>
      <c r="D46" s="29">
        <v>0</v>
      </c>
      <c r="E46" s="29">
        <v>0</v>
      </c>
      <c r="F46" s="29">
        <v>10</v>
      </c>
      <c r="G46" s="29">
        <v>5</v>
      </c>
      <c r="H46" s="29">
        <v>5</v>
      </c>
      <c r="I46" s="29">
        <v>20</v>
      </c>
      <c r="J46" s="29">
        <f>SUM(Tablo16[[#This Row],[Q1]:[Q7]])</f>
        <v>40</v>
      </c>
      <c r="K46" s="40">
        <f>IF($J46=0,"0",SUM(Tablo17[DÇ4])/(30*D40))</f>
        <v>0.41305555555555562</v>
      </c>
      <c r="L46" s="29">
        <f>$K46*$D40</f>
        <v>16.522222222222226</v>
      </c>
      <c r="M46" s="9"/>
      <c r="N46" s="9"/>
      <c r="O46" s="9"/>
      <c r="P46" s="9"/>
    </row>
    <row r="47" spans="2:19" x14ac:dyDescent="0.3">
      <c r="B47" s="42" t="s">
        <v>79</v>
      </c>
      <c r="C47" s="42"/>
      <c r="D47" s="42"/>
      <c r="E47" s="42"/>
      <c r="F47" s="42"/>
      <c r="G47" s="42"/>
      <c r="H47" s="42"/>
      <c r="I47" s="42"/>
      <c r="J47" s="42"/>
      <c r="K47" s="42"/>
      <c r="L47"/>
      <c r="M47" s="9"/>
      <c r="N47" s="9"/>
      <c r="O47" s="9"/>
      <c r="P47" s="9"/>
    </row>
    <row r="48" spans="2:19" x14ac:dyDescent="0.3">
      <c r="M48" s="9"/>
      <c r="N48" s="9"/>
      <c r="O48" s="9"/>
      <c r="P48" s="9"/>
    </row>
    <row r="49" spans="2:16" x14ac:dyDescent="0.3">
      <c r="M49" s="9"/>
      <c r="N49" s="9"/>
      <c r="O49" s="9"/>
      <c r="P49" s="9"/>
    </row>
    <row r="50" spans="2:16" x14ac:dyDescent="0.3">
      <c r="M50" s="9"/>
      <c r="N50" s="9"/>
      <c r="O50" s="9"/>
      <c r="P50" s="9"/>
    </row>
    <row r="51" spans="2:16" x14ac:dyDescent="0.3">
      <c r="B51" s="28"/>
      <c r="C51" s="28"/>
      <c r="K51" s="2"/>
      <c r="M51" s="9"/>
      <c r="N51" s="9"/>
      <c r="O51" s="9"/>
      <c r="P51" s="9"/>
    </row>
    <row r="52" spans="2:16" x14ac:dyDescent="0.3">
      <c r="B52" s="28"/>
      <c r="C52" s="28"/>
      <c r="K52" s="2"/>
      <c r="M52" s="9"/>
      <c r="N52" s="9"/>
      <c r="O52" s="9"/>
      <c r="P52" s="9"/>
    </row>
    <row r="53" spans="2:16" x14ac:dyDescent="0.3">
      <c r="B53" s="28"/>
      <c r="C53" s="28"/>
      <c r="K53" s="2"/>
      <c r="M53" s="9"/>
      <c r="N53" s="9"/>
      <c r="O53" s="9"/>
      <c r="P53" s="9"/>
    </row>
    <row r="54" spans="2:16" x14ac:dyDescent="0.3">
      <c r="B54" s="28"/>
      <c r="C54" s="28"/>
      <c r="K54" s="2"/>
      <c r="M54" s="9"/>
      <c r="N54" s="9"/>
      <c r="O54" s="9"/>
      <c r="P54" s="9"/>
    </row>
    <row r="55" spans="2:16" x14ac:dyDescent="0.3">
      <c r="B55" s="28"/>
      <c r="C55" s="28"/>
      <c r="K55" s="2"/>
      <c r="M55" s="9"/>
      <c r="N55" s="21" t="s">
        <v>37</v>
      </c>
      <c r="O55" s="21" t="s">
        <v>38</v>
      </c>
      <c r="P55" s="9"/>
    </row>
    <row r="56" spans="2:16" x14ac:dyDescent="0.3">
      <c r="B56" s="28"/>
      <c r="C56" s="28"/>
      <c r="K56" s="2"/>
      <c r="M56" s="9"/>
      <c r="N56" s="9">
        <f>AVERAGE(Tablo17[TOTAL GRADE])</f>
        <v>38</v>
      </c>
      <c r="O56" s="9">
        <f>_xlfn.STDEV.P(Tablo17[TOTAL GRADE])</f>
        <v>18.121810064118872</v>
      </c>
      <c r="P56" s="9"/>
    </row>
    <row r="57" spans="2:16" x14ac:dyDescent="0.3">
      <c r="B57" s="28"/>
      <c r="C57" s="28"/>
      <c r="K57" s="2"/>
      <c r="M57" s="9"/>
      <c r="N57" s="9"/>
      <c r="O57" s="9"/>
      <c r="P57" s="9"/>
    </row>
    <row r="58" spans="2:16" x14ac:dyDescent="0.3">
      <c r="B58" s="28"/>
      <c r="C58" s="28"/>
      <c r="K58" s="2"/>
      <c r="M58" s="9"/>
      <c r="N58" s="9"/>
      <c r="O58" s="9"/>
      <c r="P58" s="9"/>
    </row>
    <row r="59" spans="2:16" x14ac:dyDescent="0.3">
      <c r="B59" s="28"/>
      <c r="C59" s="28"/>
      <c r="K59" s="2"/>
      <c r="M59" s="9"/>
      <c r="N59" s="9"/>
      <c r="O59" s="9"/>
      <c r="P59" s="9"/>
    </row>
    <row r="60" spans="2:16" x14ac:dyDescent="0.3">
      <c r="B60" s="28"/>
      <c r="C60" s="28"/>
      <c r="K60" s="2"/>
      <c r="M60" s="9"/>
      <c r="N60" s="9"/>
      <c r="O60" s="9"/>
      <c r="P60" s="9"/>
    </row>
    <row r="61" spans="2:16" x14ac:dyDescent="0.3">
      <c r="B61" s="28"/>
      <c r="C61" s="28"/>
      <c r="K61" s="2"/>
      <c r="M61" s="9"/>
      <c r="N61" s="9"/>
      <c r="O61" s="9"/>
      <c r="P61" s="9"/>
    </row>
    <row r="62" spans="2:16" x14ac:dyDescent="0.3">
      <c r="B62" s="28"/>
      <c r="C62" s="28"/>
      <c r="K62" s="2"/>
      <c r="M62" s="9"/>
      <c r="N62" s="9"/>
      <c r="O62" s="9"/>
      <c r="P62" s="9"/>
    </row>
    <row r="63" spans="2:16" x14ac:dyDescent="0.3">
      <c r="B63" s="28"/>
      <c r="C63" s="28"/>
      <c r="K63" s="2"/>
      <c r="M63" s="9"/>
      <c r="N63" s="9"/>
      <c r="O63" s="9"/>
      <c r="P63" s="9"/>
    </row>
    <row r="64" spans="2:16" x14ac:dyDescent="0.3">
      <c r="B64" s="28"/>
      <c r="C64" s="28"/>
      <c r="K64" s="2"/>
      <c r="M64" s="9"/>
      <c r="N64" s="9"/>
      <c r="O64" s="9"/>
      <c r="P64" s="9"/>
    </row>
    <row r="65" spans="2:16" x14ac:dyDescent="0.3">
      <c r="B65" s="28"/>
      <c r="C65" s="28"/>
      <c r="K65" s="2"/>
      <c r="M65" s="9"/>
      <c r="N65" s="9"/>
      <c r="O65" s="9"/>
      <c r="P65" s="9"/>
    </row>
    <row r="66" spans="2:16" x14ac:dyDescent="0.3">
      <c r="B66" s="28"/>
      <c r="C66" s="28"/>
      <c r="K66" s="2"/>
      <c r="M66" s="9"/>
      <c r="N66" s="9"/>
      <c r="O66" s="9"/>
      <c r="P66" s="9"/>
    </row>
    <row r="67" spans="2:16" x14ac:dyDescent="0.3">
      <c r="B67" s="28"/>
      <c r="C67" s="28"/>
      <c r="K67" s="2"/>
      <c r="M67" s="9"/>
      <c r="N67" s="9"/>
      <c r="O67" s="9"/>
      <c r="P67" s="9"/>
    </row>
    <row r="68" spans="2:16" x14ac:dyDescent="0.3">
      <c r="B68" s="28"/>
      <c r="C68" s="28"/>
      <c r="K68" s="2"/>
      <c r="M68" s="9"/>
      <c r="N68" s="9"/>
      <c r="O68" s="9"/>
      <c r="P68" s="9"/>
    </row>
    <row r="69" spans="2:16" x14ac:dyDescent="0.3">
      <c r="B69" s="28"/>
      <c r="C69" s="28"/>
      <c r="K69" s="2"/>
      <c r="M69" s="9"/>
      <c r="N69" s="9"/>
      <c r="O69" s="9"/>
      <c r="P69" s="9"/>
    </row>
    <row r="70" spans="2:16" x14ac:dyDescent="0.3">
      <c r="B70" s="28"/>
      <c r="C70" s="28"/>
      <c r="K70" s="2"/>
      <c r="M70" s="9"/>
      <c r="N70" s="9"/>
      <c r="O70" s="9"/>
      <c r="P70" s="9"/>
    </row>
    <row r="71" spans="2:16" x14ac:dyDescent="0.3">
      <c r="B71" s="28"/>
      <c r="C71" s="28"/>
      <c r="K71" s="2"/>
      <c r="M71" s="9"/>
      <c r="N71" s="9"/>
      <c r="O71" s="9"/>
      <c r="P71" s="9"/>
    </row>
    <row r="72" spans="2:16" x14ac:dyDescent="0.3">
      <c r="B72" s="28"/>
      <c r="C72" s="28"/>
      <c r="K72" s="2"/>
      <c r="M72" s="9"/>
      <c r="N72" s="9"/>
      <c r="O72" s="9"/>
      <c r="P72" s="9"/>
    </row>
    <row r="73" spans="2:16" x14ac:dyDescent="0.3">
      <c r="B73" s="28"/>
      <c r="C73" s="28"/>
      <c r="K73" s="2"/>
      <c r="M73" s="9"/>
      <c r="N73" s="9"/>
      <c r="O73" s="9"/>
      <c r="P73" s="9"/>
    </row>
    <row r="74" spans="2:16" x14ac:dyDescent="0.3">
      <c r="B74" s="28"/>
      <c r="C74" s="28"/>
      <c r="K74" s="2"/>
      <c r="M74" s="9"/>
      <c r="N74" s="9"/>
      <c r="O74" s="9"/>
      <c r="P74" s="9"/>
    </row>
    <row r="75" spans="2:16" x14ac:dyDescent="0.3">
      <c r="B75" s="28"/>
      <c r="C75" s="28"/>
      <c r="K75" s="2"/>
      <c r="M75" s="9"/>
      <c r="N75" s="9"/>
      <c r="O75" s="9"/>
      <c r="P75" s="9"/>
    </row>
    <row r="76" spans="2:16" x14ac:dyDescent="0.3">
      <c r="B76" s="28"/>
      <c r="C76" s="28"/>
      <c r="K76" s="2"/>
      <c r="M76" s="9"/>
      <c r="N76" s="9"/>
      <c r="O76" s="9"/>
      <c r="P76" s="9"/>
    </row>
    <row r="77" spans="2:16" x14ac:dyDescent="0.3">
      <c r="B77" s="28"/>
      <c r="C77" s="28"/>
      <c r="K77" s="2"/>
      <c r="M77" s="9"/>
      <c r="N77" s="9"/>
      <c r="O77" s="9"/>
      <c r="P77" s="9"/>
    </row>
    <row r="78" spans="2:16" x14ac:dyDescent="0.3">
      <c r="B78" s="28"/>
      <c r="C78" s="28"/>
      <c r="K78" s="2"/>
      <c r="M78" s="9"/>
      <c r="N78" s="9"/>
      <c r="O78" s="9"/>
      <c r="P78" s="9"/>
    </row>
    <row r="79" spans="2:16" x14ac:dyDescent="0.3">
      <c r="B79" s="28"/>
      <c r="C79" s="28"/>
      <c r="K79" s="2"/>
      <c r="M79" s="9"/>
      <c r="N79" s="9"/>
      <c r="O79" s="9"/>
      <c r="P79" s="9"/>
    </row>
    <row r="80" spans="2:16" x14ac:dyDescent="0.3">
      <c r="B80" s="28"/>
      <c r="C80" s="28"/>
      <c r="K80" s="2"/>
      <c r="M80" s="9"/>
      <c r="N80" s="9"/>
      <c r="O80" s="9"/>
      <c r="P80" s="9"/>
    </row>
    <row r="81" spans="2:16" x14ac:dyDescent="0.3">
      <c r="B81" s="28"/>
      <c r="C81" s="28"/>
      <c r="K81" s="2"/>
      <c r="M81" s="9"/>
      <c r="N81" s="9"/>
      <c r="O81" s="9"/>
      <c r="P81" s="9"/>
    </row>
    <row r="82" spans="2:16" x14ac:dyDescent="0.3">
      <c r="B82" s="28"/>
      <c r="C82" s="28"/>
      <c r="K82" s="2"/>
      <c r="M82" s="9"/>
      <c r="N82" s="9"/>
      <c r="O82" s="9"/>
      <c r="P82" s="9"/>
    </row>
    <row r="83" spans="2:16" x14ac:dyDescent="0.3">
      <c r="B83" s="28"/>
      <c r="C83" s="28"/>
      <c r="K83" s="2"/>
      <c r="M83" s="9"/>
      <c r="N83" s="9"/>
      <c r="O83" s="9"/>
      <c r="P83" s="9"/>
    </row>
    <row r="84" spans="2:16" x14ac:dyDescent="0.3">
      <c r="B84" s="28"/>
      <c r="C84" s="28"/>
      <c r="K84" s="2"/>
      <c r="M84" s="9"/>
      <c r="N84" s="9"/>
      <c r="O84" s="9"/>
      <c r="P84" s="9"/>
    </row>
    <row r="85" spans="2:16" x14ac:dyDescent="0.3">
      <c r="B85" s="28"/>
      <c r="C85" s="28"/>
      <c r="K85" s="2"/>
      <c r="M85" s="9"/>
      <c r="N85" s="9"/>
      <c r="O85" s="9"/>
      <c r="P85" s="9"/>
    </row>
    <row r="86" spans="2:16" x14ac:dyDescent="0.3">
      <c r="B86" s="28"/>
      <c r="C86" s="28"/>
      <c r="K86" s="2"/>
      <c r="M86" s="9"/>
      <c r="N86" s="9"/>
      <c r="O86" s="9"/>
      <c r="P86" s="9"/>
    </row>
    <row r="87" spans="2:16" x14ac:dyDescent="0.3">
      <c r="B87" s="28"/>
      <c r="C87" s="28"/>
      <c r="K87" s="2"/>
      <c r="M87" s="9"/>
      <c r="N87" s="9"/>
      <c r="O87" s="9"/>
      <c r="P87" s="9"/>
    </row>
    <row r="88" spans="2:16" x14ac:dyDescent="0.3">
      <c r="B88" s="28"/>
      <c r="C88" s="28"/>
      <c r="K88" s="2"/>
      <c r="M88" s="9"/>
      <c r="N88" s="9"/>
      <c r="O88" s="9"/>
      <c r="P88" s="9"/>
    </row>
    <row r="89" spans="2:16" x14ac:dyDescent="0.3">
      <c r="B89" s="28"/>
      <c r="C89" s="28"/>
      <c r="K89" s="2"/>
      <c r="M89" s="9"/>
      <c r="N89" s="9"/>
      <c r="O89" s="9"/>
      <c r="P89" s="9"/>
    </row>
    <row r="90" spans="2:16" x14ac:dyDescent="0.3">
      <c r="B90" s="28"/>
      <c r="C90" s="28"/>
      <c r="K90" s="2"/>
      <c r="M90" s="9"/>
      <c r="N90" s="9"/>
      <c r="O90" s="9"/>
      <c r="P90" s="9"/>
    </row>
    <row r="91" spans="2:16" x14ac:dyDescent="0.3">
      <c r="B91" s="28"/>
      <c r="C91" s="28"/>
      <c r="K91" s="2"/>
      <c r="M91" s="9"/>
      <c r="N91" s="9"/>
      <c r="O91" s="9"/>
      <c r="P91" s="9"/>
    </row>
    <row r="92" spans="2:16" x14ac:dyDescent="0.3">
      <c r="B92" s="28"/>
      <c r="C92" s="28"/>
      <c r="K92" s="2"/>
      <c r="M92" s="9"/>
      <c r="N92" s="9"/>
      <c r="O92" s="9"/>
      <c r="P92" s="9"/>
    </row>
    <row r="93" spans="2:16" x14ac:dyDescent="0.3">
      <c r="B93" s="28"/>
      <c r="C93" s="28"/>
      <c r="K93" s="2"/>
      <c r="M93" s="9"/>
      <c r="N93" s="9"/>
      <c r="O93" s="9"/>
      <c r="P93" s="9"/>
    </row>
    <row r="94" spans="2:16" x14ac:dyDescent="0.3">
      <c r="B94" s="28"/>
      <c r="C94" s="28"/>
      <c r="K94" s="2"/>
      <c r="M94" s="9"/>
      <c r="N94" s="9"/>
      <c r="O94" s="9"/>
      <c r="P94" s="9"/>
    </row>
    <row r="95" spans="2:16" x14ac:dyDescent="0.3">
      <c r="B95" s="28"/>
      <c r="C95" s="28"/>
      <c r="K95" s="2"/>
      <c r="M95" s="9"/>
      <c r="N95" s="9"/>
      <c r="O95" s="9"/>
      <c r="P95" s="9"/>
    </row>
    <row r="96" spans="2:16" x14ac:dyDescent="0.3">
      <c r="B96" s="28"/>
      <c r="C96" s="28"/>
      <c r="K96" s="2"/>
      <c r="M96" s="9"/>
      <c r="N96" s="9"/>
      <c r="O96" s="9"/>
      <c r="P96" s="9"/>
    </row>
  </sheetData>
  <mergeCells count="2">
    <mergeCell ref="B1:V1"/>
    <mergeCell ref="B47:K47"/>
  </mergeCells>
  <conditionalFormatting sqref="E37:E40">
    <cfRule type="cellIs" dxfId="328" priority="21" operator="equal">
      <formula>0</formula>
    </cfRule>
    <cfRule type="cellIs" dxfId="327" priority="22" operator="lessThan">
      <formula>0</formula>
    </cfRule>
  </conditionalFormatting>
  <conditionalFormatting sqref="F5:L34">
    <cfRule type="cellIs" dxfId="326" priority="20" operator="lessThan">
      <formula>0</formula>
    </cfRule>
  </conditionalFormatting>
  <conditionalFormatting sqref="F5:F34">
    <cfRule type="cellIs" dxfId="325" priority="19" operator="greaterThan">
      <formula>"0$T$10"</formula>
    </cfRule>
  </conditionalFormatting>
  <conditionalFormatting sqref="M5:M34">
    <cfRule type="cellIs" dxfId="324" priority="17" operator="greaterThan">
      <formula>100</formula>
    </cfRule>
    <cfRule type="cellIs" dxfId="323" priority="18" operator="lessThan">
      <formula>0</formula>
    </cfRule>
  </conditionalFormatting>
  <conditionalFormatting sqref="J43">
    <cfRule type="cellIs" dxfId="322" priority="8" operator="greaterThan">
      <formula>$D$37</formula>
    </cfRule>
    <cfRule type="cellIs" dxfId="321" priority="12" operator="lessThan">
      <formula>$D$37</formula>
    </cfRule>
    <cfRule type="cellIs" dxfId="320" priority="16" operator="equal">
      <formula>$D$37</formula>
    </cfRule>
  </conditionalFormatting>
  <conditionalFormatting sqref="J44">
    <cfRule type="cellIs" dxfId="319" priority="7" operator="greaterThan">
      <formula>$D$38</formula>
    </cfRule>
    <cfRule type="cellIs" dxfId="318" priority="11" operator="lessThan">
      <formula>$D$38</formula>
    </cfRule>
    <cfRule type="cellIs" dxfId="317" priority="15" operator="equal">
      <formula>$D$38</formula>
    </cfRule>
  </conditionalFormatting>
  <conditionalFormatting sqref="J45">
    <cfRule type="cellIs" dxfId="316" priority="6" operator="greaterThan">
      <formula>$D$39</formula>
    </cfRule>
    <cfRule type="cellIs" dxfId="315" priority="10" operator="lessThan">
      <formula>$D$39</formula>
    </cfRule>
    <cfRule type="cellIs" dxfId="314" priority="14" operator="equal">
      <formula>$D$39</formula>
    </cfRule>
  </conditionalFormatting>
  <conditionalFormatting sqref="J46">
    <cfRule type="cellIs" dxfId="313" priority="5" operator="greaterThan">
      <formula>$D$40</formula>
    </cfRule>
    <cfRule type="cellIs" dxfId="312" priority="9" operator="lessThan">
      <formula>$D$40</formula>
    </cfRule>
    <cfRule type="cellIs" dxfId="311" priority="13" operator="equal">
      <formula>$D$40</formula>
    </cfRule>
  </conditionalFormatting>
  <conditionalFormatting sqref="Q5:Q34">
    <cfRule type="cellIs" dxfId="310" priority="23" operator="greaterThan">
      <formula>$J$46</formula>
    </cfRule>
  </conditionalFormatting>
  <conditionalFormatting sqref="G5:G34">
    <cfRule type="cellIs" dxfId="309" priority="24" operator="greaterThan">
      <formula>$I$37</formula>
    </cfRule>
  </conditionalFormatting>
  <conditionalFormatting sqref="H5:H34">
    <cfRule type="cellIs" dxfId="308" priority="25" operator="greaterThan">
      <formula>$J$37</formula>
    </cfRule>
  </conditionalFormatting>
  <conditionalFormatting sqref="I5:I34">
    <cfRule type="cellIs" dxfId="307" priority="26" operator="greaterThan">
      <formula>$K$37</formula>
    </cfRule>
  </conditionalFormatting>
  <conditionalFormatting sqref="J5:J34">
    <cfRule type="cellIs" dxfId="306" priority="27" operator="greaterThan">
      <formula>$L$37</formula>
    </cfRule>
  </conditionalFormatting>
  <conditionalFormatting sqref="K5:K34">
    <cfRule type="cellIs" dxfId="305" priority="28" operator="greaterThan">
      <formula>$M$37</formula>
    </cfRule>
  </conditionalFormatting>
  <conditionalFormatting sqref="L5:L34">
    <cfRule type="cellIs" dxfId="304" priority="29" operator="greaterThan">
      <formula>$N$37</formula>
    </cfRule>
  </conditionalFormatting>
  <conditionalFormatting sqref="N5:N34">
    <cfRule type="cellIs" dxfId="303" priority="30" operator="greaterThan">
      <formula>$J$43</formula>
    </cfRule>
  </conditionalFormatting>
  <conditionalFormatting sqref="O5:O34">
    <cfRule type="cellIs" dxfId="302" priority="31" operator="greaterThan">
      <formula>$J$44</formula>
    </cfRule>
  </conditionalFormatting>
  <conditionalFormatting sqref="P5:P34">
    <cfRule type="cellIs" dxfId="301" priority="32" operator="greaterThan">
      <formula>$J$45</formula>
    </cfRule>
  </conditionalFormatting>
  <conditionalFormatting sqref="E37">
    <cfRule type="cellIs" dxfId="300" priority="4" operator="greaterThan">
      <formula>$D$37</formula>
    </cfRule>
  </conditionalFormatting>
  <conditionalFormatting sqref="E38">
    <cfRule type="cellIs" dxfId="299" priority="3" operator="greaterThan">
      <formula>$D$38</formula>
    </cfRule>
  </conditionalFormatting>
  <conditionalFormatting sqref="E39">
    <cfRule type="cellIs" dxfId="298" priority="2" operator="greaterThan">
      <formula>$D$39</formula>
    </cfRule>
  </conditionalFormatting>
  <conditionalFormatting sqref="E40">
    <cfRule type="cellIs" dxfId="297" priority="1" operator="greaterThan">
      <formula>$D$40</formula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1361-0EDC-429D-B405-F4D84846ED6D}">
  <dimension ref="B1:AG97"/>
  <sheetViews>
    <sheetView zoomScale="85" zoomScaleNormal="85" workbookViewId="0">
      <selection activeCell="U70" sqref="U70"/>
    </sheetView>
  </sheetViews>
  <sheetFormatPr defaultColWidth="8.5546875" defaultRowHeight="14.4" x14ac:dyDescent="0.3"/>
  <cols>
    <col min="1" max="1" width="15.109375" customWidth="1"/>
    <col min="2" max="2" width="16.88671875" bestFit="1" customWidth="1"/>
    <col min="3" max="3" width="18.21875" style="2" bestFit="1" customWidth="1"/>
    <col min="4" max="4" width="23.88671875" style="2" bestFit="1" customWidth="1"/>
    <col min="5" max="5" width="18" style="2" bestFit="1" customWidth="1"/>
    <col min="6" max="6" width="10" style="2" bestFit="1" customWidth="1"/>
    <col min="7" max="7" width="10.44140625" style="47" bestFit="1" customWidth="1"/>
    <col min="8" max="9" width="10" style="2" bestFit="1" customWidth="1"/>
    <col min="10" max="10" width="14.88671875" style="2" bestFit="1" customWidth="1"/>
    <col min="11" max="11" width="15.77734375" style="2" bestFit="1" customWidth="1"/>
    <col min="12" max="12" width="17.44140625" style="47" bestFit="1" customWidth="1"/>
    <col min="13" max="13" width="19.33203125" style="47" bestFit="1" customWidth="1"/>
    <col min="14" max="14" width="12.33203125" style="47" bestFit="1" customWidth="1"/>
    <col min="15" max="15" width="14.88671875" style="47" bestFit="1" customWidth="1"/>
    <col min="16" max="17" width="10.88671875" style="47" bestFit="1" customWidth="1"/>
    <col min="18" max="18" width="10.77734375" style="47" bestFit="1" customWidth="1"/>
    <col min="19" max="19" width="14.5546875" style="47" bestFit="1" customWidth="1"/>
    <col min="20" max="20" width="2.88671875" customWidth="1"/>
    <col min="21" max="23" width="5.88671875" customWidth="1"/>
    <col min="24" max="29" width="4.44140625" bestFit="1" customWidth="1"/>
    <col min="30" max="30" width="5.33203125" bestFit="1" customWidth="1"/>
    <col min="31" max="31" width="6.109375" customWidth="1"/>
    <col min="32" max="32" width="2.6640625" customWidth="1"/>
    <col min="33" max="33" width="5.33203125" customWidth="1"/>
  </cols>
  <sheetData>
    <row r="1" spans="2:33" ht="33.6" x14ac:dyDescent="0.3">
      <c r="B1" s="1" t="s">
        <v>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6"/>
      <c r="X1" s="36"/>
    </row>
    <row r="2" spans="2:33" x14ac:dyDescent="0.3">
      <c r="C2"/>
      <c r="D2"/>
      <c r="G2" s="2"/>
      <c r="K2"/>
      <c r="L2" s="2"/>
      <c r="M2"/>
      <c r="N2"/>
      <c r="O2"/>
      <c r="P2"/>
      <c r="Q2"/>
      <c r="R2"/>
      <c r="S2"/>
      <c r="AA2" s="2"/>
      <c r="AB2" s="2"/>
      <c r="AC2" s="2"/>
      <c r="AD2" s="2"/>
    </row>
    <row r="3" spans="2:33" x14ac:dyDescent="0.3">
      <c r="C3"/>
      <c r="D3"/>
      <c r="G3" s="2"/>
      <c r="K3"/>
      <c r="L3" s="2"/>
      <c r="M3" s="9"/>
      <c r="N3" s="9"/>
      <c r="O3" s="9"/>
      <c r="P3" s="9"/>
      <c r="Q3"/>
      <c r="R3"/>
      <c r="S3"/>
      <c r="AA3" s="43"/>
      <c r="AB3" s="43"/>
      <c r="AC3" s="43"/>
      <c r="AD3" s="43"/>
      <c r="AE3" s="44"/>
    </row>
    <row r="4" spans="2:33" ht="15" thickBot="1" x14ac:dyDescent="0.35">
      <c r="B4" s="3" t="s">
        <v>1</v>
      </c>
      <c r="C4" s="5" t="s">
        <v>55</v>
      </c>
      <c r="D4" s="5" t="s">
        <v>3</v>
      </c>
      <c r="E4" s="21" t="s">
        <v>4</v>
      </c>
      <c r="F4" s="37" t="s">
        <v>56</v>
      </c>
      <c r="G4" s="37" t="s">
        <v>57</v>
      </c>
      <c r="H4" s="37" t="s">
        <v>58</v>
      </c>
      <c r="I4" s="37" t="s">
        <v>59</v>
      </c>
      <c r="J4" s="37" t="s">
        <v>60</v>
      </c>
      <c r="K4" s="37" t="s">
        <v>61</v>
      </c>
      <c r="L4" s="37" t="s">
        <v>62</v>
      </c>
      <c r="M4" s="26" t="s">
        <v>63</v>
      </c>
      <c r="N4" s="37" t="s">
        <v>64</v>
      </c>
      <c r="O4" s="37" t="s">
        <v>65</v>
      </c>
      <c r="P4" s="37" t="s">
        <v>66</v>
      </c>
      <c r="Q4" s="37" t="s">
        <v>67</v>
      </c>
      <c r="R4" s="37" t="s">
        <v>68</v>
      </c>
      <c r="S4" s="7" t="s">
        <v>69</v>
      </c>
      <c r="AA4" s="29"/>
      <c r="AB4" s="29"/>
      <c r="AC4" s="29"/>
      <c r="AD4" s="29"/>
      <c r="AE4" s="45"/>
      <c r="AG4" s="39"/>
    </row>
    <row r="5" spans="2:33" ht="15" thickTop="1" x14ac:dyDescent="0.3">
      <c r="B5" s="8">
        <v>1</v>
      </c>
      <c r="C5" s="9">
        <v>4</v>
      </c>
      <c r="D5" s="10" t="s">
        <v>3</v>
      </c>
      <c r="E5" s="10" t="s">
        <v>4</v>
      </c>
      <c r="F5" s="2">
        <v>3</v>
      </c>
      <c r="G5" s="2">
        <v>2</v>
      </c>
      <c r="H5" s="2">
        <v>10</v>
      </c>
      <c r="I5" s="2">
        <v>15</v>
      </c>
      <c r="J5" s="2">
        <v>11</v>
      </c>
      <c r="K5" s="2">
        <v>15</v>
      </c>
      <c r="L5" s="2">
        <v>15</v>
      </c>
      <c r="M5" s="28">
        <f t="shared" ref="M5:M34" si="0">SUM(F5:L5)</f>
        <v>71</v>
      </c>
      <c r="N5" s="38" cm="1">
        <f t="array" ref="N5">Tablo1738[[#This Row],[Q1]]/Tablo1939[Q1]*$C$43+G5/Tablo1939[Q2]*$D$43+H5/Tablo1939[Q3]*$E$43+I5/Tablo1939[Q4]*$F$43+J5/Tablo1939[Q5]*$G$43+K5/Tablo1939[Q6]*$H$43+L5/Tablo1939[Q7]*$I$43</f>
        <v>54.333333333333329</v>
      </c>
      <c r="O5" s="38" cm="1">
        <f t="array" ref="O5">Tablo1738[[#This Row],[Q1]]/Tablo1939[Q1]*$C$44+G5/Tablo1939[Q2]*$D$44+H5/Tablo1939[Q3]*$E$44+I5/Tablo1939[Q4]*$F$44+J5/Tablo1939[Q5]*$G$44+K5/Tablo1939[Q6]*$H$44+L5/Tablo1939[Q7]*$I$44</f>
        <v>2.5</v>
      </c>
      <c r="P5" s="38" cm="1">
        <f t="array" ref="P5">Tablo1738[[#This Row],[Q1]]/Tablo1939[Q1]*$C$45+G5/Tablo1939[Q2]*$D$45+H5/Tablo1939[Q3]*$E$45+I5/Tablo1939[Q4]*$F$45+J5/Tablo1939[Q5]*$G$45+K5/Tablo1939[Q6]*$H$45+L5/Tablo1939[Q7]*$I$45</f>
        <v>27</v>
      </c>
      <c r="Q5" s="38" cm="1">
        <f t="array" ref="Q5">Tablo1738[[#This Row],[Q1]]/Tablo1939[Q1]*$C$46+G5/Tablo1939[Q2]*$D$46+H5/Tablo1939[Q3]*$E$46+I5/Tablo1939[Q4]*$F$46+J5/Tablo1939[Q5]*$G$46+K5/Tablo1939[Q6]*$H$46+L5/Tablo1939[Q7]*$I$46</f>
        <v>6</v>
      </c>
      <c r="R5" s="38">
        <f t="shared" ref="R5:R34" si="1">SUM(N5:Q5)</f>
        <v>89.833333333333329</v>
      </c>
      <c r="S5" s="7">
        <f>_xlfn.NORM.DIST(Tablo1738[[#This Row],[TOTAL GRADE]],$N$56,$O$56,FALSE)</f>
        <v>4.1940278803414199E-3</v>
      </c>
      <c r="AA5" s="29"/>
      <c r="AB5" s="29"/>
      <c r="AC5" s="29"/>
      <c r="AD5" s="29"/>
      <c r="AE5" s="45"/>
      <c r="AG5" s="28"/>
    </row>
    <row r="6" spans="2:33" x14ac:dyDescent="0.3">
      <c r="B6" s="13">
        <v>2</v>
      </c>
      <c r="C6" s="9">
        <v>5</v>
      </c>
      <c r="D6" s="10" t="s">
        <v>3</v>
      </c>
      <c r="E6" s="10" t="s">
        <v>4</v>
      </c>
      <c r="F6" s="2">
        <v>6</v>
      </c>
      <c r="G6" s="2">
        <v>3.5</v>
      </c>
      <c r="H6" s="2">
        <v>12.5</v>
      </c>
      <c r="I6" s="2">
        <v>10</v>
      </c>
      <c r="J6" s="2">
        <v>6</v>
      </c>
      <c r="K6" s="2">
        <v>15</v>
      </c>
      <c r="L6" s="2">
        <v>14</v>
      </c>
      <c r="M6" s="28">
        <f t="shared" si="0"/>
        <v>67</v>
      </c>
      <c r="N6" s="38" cm="1">
        <f t="array" ref="N6">Tablo1738[[#This Row],[Q1]]/Tablo1939[Q1]*$C$43+G6/Tablo1939[Q2]*$D$43+H6/Tablo1939[Q3]*$E$43+I6/Tablo1939[Q4]*$F$43+J6/Tablo1939[Q5]*$G$43+K6/Tablo1939[Q6]*$H$43+L6/Tablo1939[Q7]*$I$43</f>
        <v>47.75</v>
      </c>
      <c r="O6" s="38" cm="1">
        <f t="array" ref="O6">Tablo1738[[#This Row],[Q1]]/Tablo1939[Q1]*$C$44+G6/Tablo1939[Q2]*$D$44+H6/Tablo1939[Q3]*$E$44+I6/Tablo1939[Q4]*$F$44+J6/Tablo1939[Q5]*$G$44+K6/Tablo1939[Q6]*$H$44+L6/Tablo1939[Q7]*$I$44</f>
        <v>3.125</v>
      </c>
      <c r="P6" s="38" cm="1">
        <f t="array" ref="P6">Tablo1738[[#This Row],[Q1]]/Tablo1939[Q1]*$C$45+G6/Tablo1939[Q2]*$D$45+H6/Tablo1939[Q3]*$E$45+I6/Tablo1939[Q4]*$F$45+J6/Tablo1939[Q5]*$G$45+K6/Tablo1939[Q6]*$H$45+L6/Tablo1939[Q7]*$I$45</f>
        <v>27.875</v>
      </c>
      <c r="Q6" s="38" cm="1">
        <f t="array" ref="Q6">Tablo1738[[#This Row],[Q1]]/Tablo1939[Q1]*$C$46+G6/Tablo1939[Q2]*$D$46+H6/Tablo1939[Q3]*$E$46+I6/Tablo1939[Q4]*$F$46+J6/Tablo1939[Q5]*$G$46+K6/Tablo1939[Q6]*$H$46+L6/Tablo1939[Q7]*$I$46</f>
        <v>12</v>
      </c>
      <c r="R6" s="38">
        <f t="shared" si="1"/>
        <v>90.75</v>
      </c>
      <c r="S6" s="7">
        <f>_xlfn.NORM.DIST(Tablo1738[[#This Row],[TOTAL GRADE]],$N$56,$O$56,FALSE)</f>
        <v>6.1180895764037227E-3</v>
      </c>
      <c r="AA6" s="29"/>
      <c r="AB6" s="29"/>
      <c r="AC6" s="29"/>
      <c r="AD6" s="29"/>
      <c r="AE6" s="45"/>
      <c r="AG6" s="28"/>
    </row>
    <row r="7" spans="2:33" x14ac:dyDescent="0.3">
      <c r="B7" s="8">
        <v>3</v>
      </c>
      <c r="C7" s="9">
        <v>6</v>
      </c>
      <c r="D7" s="10" t="s">
        <v>3</v>
      </c>
      <c r="E7" s="10" t="s">
        <v>4</v>
      </c>
      <c r="F7" s="2">
        <v>2</v>
      </c>
      <c r="G7" s="2">
        <v>2</v>
      </c>
      <c r="H7" s="2">
        <v>14</v>
      </c>
      <c r="I7" s="2">
        <v>15</v>
      </c>
      <c r="J7" s="2">
        <v>11</v>
      </c>
      <c r="K7" s="2">
        <v>4</v>
      </c>
      <c r="L7" s="2">
        <v>14</v>
      </c>
      <c r="M7" s="28">
        <f t="shared" si="0"/>
        <v>62</v>
      </c>
      <c r="N7" s="38" cm="1">
        <f t="array" ref="N7">Tablo1738[[#This Row],[Q1]]/Tablo1939[Q1]*$C$43+G7/Tablo1939[Q2]*$D$43+H7/Tablo1939[Q3]*$E$43+I7/Tablo1939[Q4]*$F$43+J7/Tablo1939[Q5]*$G$43+K7/Tablo1939[Q6]*$H$43+L7/Tablo1939[Q7]*$I$43</f>
        <v>48</v>
      </c>
      <c r="O7" s="38" cm="1">
        <f t="array" ref="O7">Tablo1738[[#This Row],[Q1]]/Tablo1939[Q1]*$C$44+G7/Tablo1939[Q2]*$D$44+H7/Tablo1939[Q3]*$E$44+I7/Tablo1939[Q4]*$F$44+J7/Tablo1939[Q5]*$G$44+K7/Tablo1939[Q6]*$H$44+L7/Tablo1939[Q7]*$I$44</f>
        <v>3.5</v>
      </c>
      <c r="P7" s="38" cm="1">
        <f t="array" ref="P7">Tablo1738[[#This Row],[Q1]]/Tablo1939[Q1]*$C$45+G7/Tablo1939[Q2]*$D$45+H7/Tablo1939[Q3]*$E$45+I7/Tablo1939[Q4]*$F$45+J7/Tablo1939[Q5]*$G$45+K7/Tablo1939[Q6]*$H$45+L7/Tablo1939[Q7]*$I$45</f>
        <v>22.666666666666668</v>
      </c>
      <c r="Q7" s="38" cm="1">
        <f t="array" ref="Q7">Tablo1738[[#This Row],[Q1]]/Tablo1939[Q1]*$C$46+G7/Tablo1939[Q2]*$D$46+H7/Tablo1939[Q3]*$E$46+I7/Tablo1939[Q4]*$F$46+J7/Tablo1939[Q5]*$G$46+K7/Tablo1939[Q6]*$H$46+L7/Tablo1939[Q7]*$I$46</f>
        <v>4</v>
      </c>
      <c r="R7" s="38">
        <f t="shared" si="1"/>
        <v>78.166666666666671</v>
      </c>
      <c r="S7" s="7">
        <f>_xlfn.NORM.DIST(Tablo1738[[#This Row],[TOTAL GRADE]],$N$56,$O$56,FALSE)</f>
        <v>9.1588558478442415E-3</v>
      </c>
      <c r="AA7" s="29"/>
      <c r="AB7" s="29"/>
      <c r="AC7" s="29"/>
      <c r="AD7" s="29"/>
      <c r="AE7" s="45"/>
      <c r="AG7" s="28"/>
    </row>
    <row r="8" spans="2:33" x14ac:dyDescent="0.3">
      <c r="B8" s="13">
        <v>4</v>
      </c>
      <c r="C8" s="9">
        <v>7</v>
      </c>
      <c r="D8" s="10" t="s">
        <v>3</v>
      </c>
      <c r="E8" s="10" t="s">
        <v>4</v>
      </c>
      <c r="F8" s="2">
        <v>4</v>
      </c>
      <c r="G8" s="2">
        <v>1</v>
      </c>
      <c r="H8" s="2">
        <v>10</v>
      </c>
      <c r="I8" s="2">
        <v>12</v>
      </c>
      <c r="J8" s="2">
        <v>13</v>
      </c>
      <c r="K8" s="2">
        <v>2</v>
      </c>
      <c r="L8" s="2">
        <v>15</v>
      </c>
      <c r="M8" s="28">
        <f t="shared" si="0"/>
        <v>57</v>
      </c>
      <c r="N8" s="38" cm="1">
        <f t="array" ref="N8">Tablo1738[[#This Row],[Q1]]/Tablo1939[Q1]*$C$43+G8/Tablo1939[Q2]*$D$43+H8/Tablo1939[Q3]*$E$43+I8/Tablo1939[Q4]*$F$43+J8/Tablo1939[Q5]*$G$43+K8/Tablo1939[Q6]*$H$43+L8/Tablo1939[Q7]*$I$43</f>
        <v>43</v>
      </c>
      <c r="O8" s="38" cm="1">
        <f t="array" ref="O8">Tablo1738[[#This Row],[Q1]]/Tablo1939[Q1]*$C$44+G8/Tablo1939[Q2]*$D$44+H8/Tablo1939[Q3]*$E$44+I8/Tablo1939[Q4]*$F$44+J8/Tablo1939[Q5]*$G$44+K8/Tablo1939[Q6]*$H$44+L8/Tablo1939[Q7]*$I$44</f>
        <v>2.5</v>
      </c>
      <c r="P8" s="38" cm="1">
        <f t="array" ref="P8">Tablo1738[[#This Row],[Q1]]/Tablo1939[Q1]*$C$45+G8/Tablo1939[Q2]*$D$45+H8/Tablo1939[Q3]*$E$45+I8/Tablo1939[Q4]*$F$45+J8/Tablo1939[Q5]*$G$45+K8/Tablo1939[Q6]*$H$45+L8/Tablo1939[Q7]*$I$45</f>
        <v>15.833333333333334</v>
      </c>
      <c r="Q8" s="38" cm="1">
        <f t="array" ref="Q8">Tablo1738[[#This Row],[Q1]]/Tablo1939[Q1]*$C$46+G8/Tablo1939[Q2]*$D$46+H8/Tablo1939[Q3]*$E$46+I8/Tablo1939[Q4]*$F$46+J8/Tablo1939[Q5]*$G$46+K8/Tablo1939[Q6]*$H$46+L8/Tablo1939[Q7]*$I$46</f>
        <v>8</v>
      </c>
      <c r="R8" s="38">
        <f t="shared" si="1"/>
        <v>69.333333333333343</v>
      </c>
      <c r="S8" s="7">
        <f>_xlfn.NORM.DIST(Tablo1738[[#This Row],[TOTAL GRADE]],$N$56,$O$56,FALSE)</f>
        <v>1.2705893806020505E-2</v>
      </c>
      <c r="AA8" s="29"/>
      <c r="AB8" s="29"/>
      <c r="AC8" s="29"/>
      <c r="AD8" s="29"/>
      <c r="AE8" s="45"/>
      <c r="AG8" s="2"/>
    </row>
    <row r="9" spans="2:33" x14ac:dyDescent="0.3">
      <c r="B9" s="8">
        <v>5</v>
      </c>
      <c r="C9" s="9">
        <v>8</v>
      </c>
      <c r="D9" s="10" t="s">
        <v>3</v>
      </c>
      <c r="E9" s="10" t="s">
        <v>4</v>
      </c>
      <c r="F9" s="2">
        <v>1</v>
      </c>
      <c r="G9" s="2">
        <v>1</v>
      </c>
      <c r="H9" s="2">
        <v>15</v>
      </c>
      <c r="I9" s="2">
        <v>9</v>
      </c>
      <c r="J9" s="2">
        <v>6</v>
      </c>
      <c r="K9" s="2">
        <v>15</v>
      </c>
      <c r="L9" s="2">
        <v>8</v>
      </c>
      <c r="M9" s="28">
        <f t="shared" si="0"/>
        <v>55</v>
      </c>
      <c r="N9" s="38" cm="1">
        <f t="array" ref="N9">Tablo1738[[#This Row],[Q1]]/Tablo1939[Q1]*$C$43+G9/Tablo1939[Q2]*$D$43+H9/Tablo1939[Q3]*$E$43+I9/Tablo1939[Q4]*$F$43+J9/Tablo1939[Q5]*$G$43+K9/Tablo1939[Q6]*$H$43+L9/Tablo1939[Q7]*$I$43</f>
        <v>39.5</v>
      </c>
      <c r="O9" s="38" cm="1">
        <f t="array" ref="O9">Tablo1738[[#This Row],[Q1]]/Tablo1939[Q1]*$C$44+G9/Tablo1939[Q2]*$D$44+H9/Tablo1939[Q3]*$E$44+I9/Tablo1939[Q4]*$F$44+J9/Tablo1939[Q5]*$G$44+K9/Tablo1939[Q6]*$H$44+L9/Tablo1939[Q7]*$I$44</f>
        <v>3.75</v>
      </c>
      <c r="P9" s="38" cm="1">
        <f t="array" ref="P9">Tablo1738[[#This Row],[Q1]]/Tablo1939[Q1]*$C$45+G9/Tablo1939[Q2]*$D$45+H9/Tablo1939[Q3]*$E$45+I9/Tablo1939[Q4]*$F$45+J9/Tablo1939[Q5]*$G$45+K9/Tablo1939[Q6]*$H$45+L9/Tablo1939[Q7]*$I$45</f>
        <v>26.75</v>
      </c>
      <c r="Q9" s="38" cm="1">
        <f t="array" ref="Q9">Tablo1738[[#This Row],[Q1]]/Tablo1939[Q1]*$C$46+G9/Tablo1939[Q2]*$D$46+H9/Tablo1939[Q3]*$E$46+I9/Tablo1939[Q4]*$F$46+J9/Tablo1939[Q5]*$G$46+K9/Tablo1939[Q6]*$H$46+L9/Tablo1939[Q7]*$I$46</f>
        <v>2</v>
      </c>
      <c r="R9" s="38">
        <f t="shared" si="1"/>
        <v>72</v>
      </c>
      <c r="S9" s="7">
        <f>_xlfn.NORM.DIST(Tablo1738[[#This Row],[TOTAL GRADE]],$N$56,$O$56,FALSE)</f>
        <v>1.4177956179946404E-2</v>
      </c>
      <c r="AA9" s="29"/>
      <c r="AB9" s="29"/>
      <c r="AC9" s="29"/>
      <c r="AD9" s="29"/>
      <c r="AE9" s="45"/>
      <c r="AG9" s="32"/>
    </row>
    <row r="10" spans="2:33" x14ac:dyDescent="0.3">
      <c r="B10" s="13">
        <v>6</v>
      </c>
      <c r="C10" s="9">
        <v>9</v>
      </c>
      <c r="D10" s="10" t="s">
        <v>3</v>
      </c>
      <c r="E10" s="10" t="s">
        <v>4</v>
      </c>
      <c r="F10" s="2">
        <v>1</v>
      </c>
      <c r="G10" s="2">
        <v>1</v>
      </c>
      <c r="H10" s="2">
        <v>9</v>
      </c>
      <c r="I10" s="2">
        <v>12</v>
      </c>
      <c r="J10" s="2">
        <v>8</v>
      </c>
      <c r="K10" s="2">
        <v>15</v>
      </c>
      <c r="L10" s="2">
        <v>7</v>
      </c>
      <c r="M10" s="28">
        <f t="shared" si="0"/>
        <v>53</v>
      </c>
      <c r="N10" s="38" cm="1">
        <f t="array" ref="N10">Tablo1738[[#This Row],[Q1]]/Tablo1939[Q1]*$C$43+G10/Tablo1939[Q2]*$D$43+H10/Tablo1939[Q3]*$E$43+I10/Tablo1939[Q4]*$F$43+J10/Tablo1939[Q5]*$G$43+K10/Tablo1939[Q6]*$H$43+L10/Tablo1939[Q7]*$I$43</f>
        <v>39.833333333333329</v>
      </c>
      <c r="O10" s="38" cm="1">
        <f t="array" ref="O10">Tablo1738[[#This Row],[Q1]]/Tablo1939[Q1]*$C$44+G10/Tablo1939[Q2]*$D$44+H10/Tablo1939[Q3]*$E$44+I10/Tablo1939[Q4]*$F$44+J10/Tablo1939[Q5]*$G$44+K10/Tablo1939[Q6]*$H$44+L10/Tablo1939[Q7]*$I$44</f>
        <v>2.25</v>
      </c>
      <c r="P10" s="38" cm="1">
        <f t="array" ref="P10">Tablo1738[[#This Row],[Q1]]/Tablo1939[Q1]*$C$45+G10/Tablo1939[Q2]*$D$45+H10/Tablo1939[Q3]*$E$45+I10/Tablo1939[Q4]*$F$45+J10/Tablo1939[Q5]*$G$45+K10/Tablo1939[Q6]*$H$45+L10/Tablo1939[Q7]*$I$45</f>
        <v>23.75</v>
      </c>
      <c r="Q10" s="38" cm="1">
        <f t="array" ref="Q10">Tablo1738[[#This Row],[Q1]]/Tablo1939[Q1]*$C$46+G10/Tablo1939[Q2]*$D$46+H10/Tablo1939[Q3]*$E$46+I10/Tablo1939[Q4]*$F$46+J10/Tablo1939[Q5]*$G$46+K10/Tablo1939[Q6]*$H$46+L10/Tablo1939[Q7]*$I$46</f>
        <v>2</v>
      </c>
      <c r="R10" s="38">
        <f t="shared" si="1"/>
        <v>67.833333333333329</v>
      </c>
      <c r="S10" s="7">
        <f>_xlfn.NORM.DIST(Tablo1738[[#This Row],[TOTAL GRADE]],$N$56,$O$56,FALSE)</f>
        <v>1.5629036846777963E-2</v>
      </c>
      <c r="AA10" s="29"/>
      <c r="AB10" s="29"/>
      <c r="AC10" s="29"/>
      <c r="AD10" s="29"/>
      <c r="AE10" s="45"/>
      <c r="AG10" s="32"/>
    </row>
    <row r="11" spans="2:33" x14ac:dyDescent="0.3">
      <c r="B11" s="8">
        <v>7</v>
      </c>
      <c r="C11" s="9">
        <v>10</v>
      </c>
      <c r="D11" s="10" t="s">
        <v>3</v>
      </c>
      <c r="E11" s="10" t="s">
        <v>4</v>
      </c>
      <c r="F11" s="2">
        <v>0</v>
      </c>
      <c r="G11" s="2">
        <v>2</v>
      </c>
      <c r="H11" s="2">
        <v>17</v>
      </c>
      <c r="I11" s="2">
        <v>15</v>
      </c>
      <c r="J11" s="2">
        <v>10</v>
      </c>
      <c r="K11" s="2">
        <v>6</v>
      </c>
      <c r="L11" s="2">
        <v>0</v>
      </c>
      <c r="M11" s="28">
        <f t="shared" si="0"/>
        <v>50</v>
      </c>
      <c r="N11" s="38" cm="1">
        <f t="array" ref="N11">Tablo1738[[#This Row],[Q1]]/Tablo1939[Q1]*$C$43+G11/Tablo1939[Q2]*$D$43+H11/Tablo1939[Q3]*$E$43+I11/Tablo1939[Q4]*$F$43+J11/Tablo1939[Q5]*$G$43+K11/Tablo1939[Q6]*$H$43+L11/Tablo1939[Q7]*$I$43</f>
        <v>36.166666666666664</v>
      </c>
      <c r="O11" s="38" cm="1">
        <f t="array" ref="O11">Tablo1738[[#This Row],[Q1]]/Tablo1939[Q1]*$C$44+G11/Tablo1939[Q2]*$D$44+H11/Tablo1939[Q3]*$E$44+I11/Tablo1939[Q4]*$F$44+J11/Tablo1939[Q5]*$G$44+K11/Tablo1939[Q6]*$H$44+L11/Tablo1939[Q7]*$I$44</f>
        <v>4.25</v>
      </c>
      <c r="P11" s="38" cm="1">
        <f t="array" ref="P11">Tablo1738[[#This Row],[Q1]]/Tablo1939[Q1]*$C$45+G11/Tablo1939[Q2]*$D$45+H11/Tablo1939[Q3]*$E$45+I11/Tablo1939[Q4]*$F$45+J11/Tablo1939[Q5]*$G$45+K11/Tablo1939[Q6]*$H$45+L11/Tablo1939[Q7]*$I$45</f>
        <v>26.25</v>
      </c>
      <c r="Q11" s="38" cm="1">
        <f t="array" ref="Q11">Tablo1738[[#This Row],[Q1]]/Tablo1939[Q1]*$C$46+G11/Tablo1939[Q2]*$D$46+H11/Tablo1939[Q3]*$E$46+I11/Tablo1939[Q4]*$F$46+J11/Tablo1939[Q5]*$G$46+K11/Tablo1939[Q6]*$H$46+L11/Tablo1939[Q7]*$I$46</f>
        <v>0</v>
      </c>
      <c r="R11" s="38">
        <f t="shared" si="1"/>
        <v>66.666666666666657</v>
      </c>
      <c r="S11" s="7">
        <f>_xlfn.NORM.DIST(Tablo1738[[#This Row],[TOTAL GRADE]],$N$56,$O$56,FALSE)</f>
        <v>1.7680383242776862E-2</v>
      </c>
      <c r="AA11" s="29"/>
      <c r="AB11" s="29"/>
      <c r="AC11" s="29"/>
      <c r="AD11" s="29"/>
      <c r="AE11" s="45"/>
    </row>
    <row r="12" spans="2:33" x14ac:dyDescent="0.3">
      <c r="B12" s="13">
        <v>8</v>
      </c>
      <c r="C12" s="9">
        <v>11</v>
      </c>
      <c r="D12" s="10" t="s">
        <v>3</v>
      </c>
      <c r="E12" s="10" t="s">
        <v>4</v>
      </c>
      <c r="F12" s="2">
        <v>0</v>
      </c>
      <c r="G12" s="2">
        <v>5</v>
      </c>
      <c r="H12" s="2">
        <v>8</v>
      </c>
      <c r="I12" s="2">
        <v>9</v>
      </c>
      <c r="J12" s="2">
        <v>8</v>
      </c>
      <c r="K12" s="2">
        <v>9</v>
      </c>
      <c r="L12" s="2">
        <v>11</v>
      </c>
      <c r="M12" s="28">
        <f t="shared" si="0"/>
        <v>50</v>
      </c>
      <c r="N12" s="38" cm="1">
        <f t="array" ref="N12">Tablo1738[[#This Row],[Q1]]/Tablo1939[Q1]*$C$43+G12/Tablo1939[Q2]*$D$43+H12/Tablo1939[Q3]*$E$43+I12/Tablo1939[Q4]*$F$43+J12/Tablo1939[Q5]*$G$43+K12/Tablo1939[Q6]*$H$43+L12/Tablo1939[Q7]*$I$43</f>
        <v>40.333333333333329</v>
      </c>
      <c r="O12" s="38" cm="1">
        <f t="array" ref="O12">Tablo1738[[#This Row],[Q1]]/Tablo1939[Q1]*$C$44+G12/Tablo1939[Q2]*$D$44+H12/Tablo1939[Q3]*$E$44+I12/Tablo1939[Q4]*$F$44+J12/Tablo1939[Q5]*$G$44+K12/Tablo1939[Q6]*$H$44+L12/Tablo1939[Q7]*$I$44</f>
        <v>2</v>
      </c>
      <c r="P12" s="38" cm="1">
        <f t="array" ref="P12">Tablo1738[[#This Row],[Q1]]/Tablo1939[Q1]*$C$45+G12/Tablo1939[Q2]*$D$45+H12/Tablo1939[Q3]*$E$45+I12/Tablo1939[Q4]*$F$45+J12/Tablo1939[Q5]*$G$45+K12/Tablo1939[Q6]*$H$45+L12/Tablo1939[Q7]*$I$45</f>
        <v>21.5</v>
      </c>
      <c r="Q12" s="38" cm="1">
        <f t="array" ref="Q12">Tablo1738[[#This Row],[Q1]]/Tablo1939[Q1]*$C$46+G12/Tablo1939[Q2]*$D$46+H12/Tablo1939[Q3]*$E$46+I12/Tablo1939[Q4]*$F$46+J12/Tablo1939[Q5]*$G$46+K12/Tablo1939[Q6]*$H$46+L12/Tablo1939[Q7]*$I$46</f>
        <v>0</v>
      </c>
      <c r="R12" s="38">
        <f t="shared" si="1"/>
        <v>63.833333333333329</v>
      </c>
      <c r="S12" s="7">
        <f>_xlfn.NORM.DIST(Tablo1738[[#This Row],[TOTAL GRADE]],$N$56,$O$56,FALSE)</f>
        <v>1.7680383242776862E-2</v>
      </c>
      <c r="AA12" s="29"/>
      <c r="AB12" s="29"/>
      <c r="AC12" s="29"/>
      <c r="AD12" s="29"/>
      <c r="AE12" s="45"/>
    </row>
    <row r="13" spans="2:33" x14ac:dyDescent="0.3">
      <c r="B13" s="8">
        <v>9</v>
      </c>
      <c r="C13" s="9">
        <v>12</v>
      </c>
      <c r="D13" s="10" t="s">
        <v>3</v>
      </c>
      <c r="E13" s="10" t="s">
        <v>4</v>
      </c>
      <c r="F13" s="2">
        <v>1</v>
      </c>
      <c r="G13" s="2">
        <v>1</v>
      </c>
      <c r="H13" s="2">
        <v>9</v>
      </c>
      <c r="I13" s="2">
        <v>10</v>
      </c>
      <c r="J13" s="2">
        <v>6</v>
      </c>
      <c r="K13" s="2">
        <v>10</v>
      </c>
      <c r="L13" s="2">
        <v>11</v>
      </c>
      <c r="M13" s="28">
        <f t="shared" si="0"/>
        <v>48</v>
      </c>
      <c r="N13" s="38" cm="1">
        <f t="array" ref="N13">Tablo1738[[#This Row],[Q1]]/Tablo1939[Q1]*$C$43+G13/Tablo1939[Q2]*$D$43+H13/Tablo1939[Q3]*$E$43+I13/Tablo1939[Q4]*$F$43+J13/Tablo1939[Q5]*$G$43+K13/Tablo1939[Q6]*$H$43+L13/Tablo1939[Q7]*$I$43</f>
        <v>37.166666666666664</v>
      </c>
      <c r="O13" s="38" cm="1">
        <f t="array" ref="O13">Tablo1738[[#This Row],[Q1]]/Tablo1939[Q1]*$C$44+G13/Tablo1939[Q2]*$D$44+H13/Tablo1939[Q3]*$E$44+I13/Tablo1939[Q4]*$F$44+J13/Tablo1939[Q5]*$G$44+K13/Tablo1939[Q6]*$H$44+L13/Tablo1939[Q7]*$I$44</f>
        <v>2.25</v>
      </c>
      <c r="P13" s="38" cm="1">
        <f t="array" ref="P13">Tablo1738[[#This Row],[Q1]]/Tablo1939[Q1]*$C$45+G13/Tablo1939[Q2]*$D$45+H13/Tablo1939[Q3]*$E$45+I13/Tablo1939[Q4]*$F$45+J13/Tablo1939[Q5]*$G$45+K13/Tablo1939[Q6]*$H$45+L13/Tablo1939[Q7]*$I$45</f>
        <v>19.416666666666664</v>
      </c>
      <c r="Q13" s="38" cm="1">
        <f t="array" ref="Q13">Tablo1738[[#This Row],[Q1]]/Tablo1939[Q1]*$C$46+G13/Tablo1939[Q2]*$D$46+H13/Tablo1939[Q3]*$E$46+I13/Tablo1939[Q4]*$F$46+J13/Tablo1939[Q5]*$G$46+K13/Tablo1939[Q6]*$H$46+L13/Tablo1939[Q7]*$I$46</f>
        <v>2</v>
      </c>
      <c r="R13" s="38">
        <f t="shared" si="1"/>
        <v>60.833333333333329</v>
      </c>
      <c r="S13" s="7">
        <f>_xlfn.NORM.DIST(Tablo1738[[#This Row],[TOTAL GRADE]],$N$56,$O$56,FALSE)</f>
        <v>1.8905392662284057E-2</v>
      </c>
      <c r="AA13" s="29"/>
      <c r="AB13" s="29"/>
      <c r="AC13" s="29"/>
      <c r="AD13" s="29"/>
      <c r="AE13" s="45"/>
    </row>
    <row r="14" spans="2:33" x14ac:dyDescent="0.3">
      <c r="B14" s="13">
        <v>10</v>
      </c>
      <c r="C14" s="9">
        <v>13</v>
      </c>
      <c r="D14" s="10" t="s">
        <v>3</v>
      </c>
      <c r="E14" s="10" t="s">
        <v>4</v>
      </c>
      <c r="F14" s="2">
        <v>6</v>
      </c>
      <c r="G14" s="2">
        <v>2</v>
      </c>
      <c r="H14" s="2">
        <v>0</v>
      </c>
      <c r="I14" s="2">
        <v>16</v>
      </c>
      <c r="J14" s="2">
        <v>11</v>
      </c>
      <c r="K14" s="2">
        <v>4</v>
      </c>
      <c r="L14" s="2">
        <v>9</v>
      </c>
      <c r="M14" s="28">
        <f t="shared" si="0"/>
        <v>48</v>
      </c>
      <c r="N14" s="38" cm="1">
        <f t="array" ref="N14">Tablo1738[[#This Row],[Q1]]/Tablo1939[Q1]*$C$43+G14/Tablo1939[Q2]*$D$43+H14/Tablo1939[Q3]*$E$43+I14/Tablo1939[Q4]*$F$43+J14/Tablo1939[Q5]*$G$43+K14/Tablo1939[Q6]*$H$43+L14/Tablo1939[Q7]*$I$43</f>
        <v>37</v>
      </c>
      <c r="O14" s="38" cm="1">
        <f t="array" ref="O14">Tablo1738[[#This Row],[Q1]]/Tablo1939[Q1]*$C$44+G14/Tablo1939[Q2]*$D$44+H14/Tablo1939[Q3]*$E$44+I14/Tablo1939[Q4]*$F$44+J14/Tablo1939[Q5]*$G$44+K14/Tablo1939[Q6]*$H$44+L14/Tablo1939[Q7]*$I$44</f>
        <v>0</v>
      </c>
      <c r="P14" s="38" cm="1">
        <f t="array" ref="P14">Tablo1738[[#This Row],[Q1]]/Tablo1939[Q1]*$C$45+G14/Tablo1939[Q2]*$D$45+H14/Tablo1939[Q3]*$E$45+I14/Tablo1939[Q4]*$F$45+J14/Tablo1939[Q5]*$G$45+K14/Tablo1939[Q6]*$H$45+L14/Tablo1939[Q7]*$I$45</f>
        <v>12.666666666666666</v>
      </c>
      <c r="Q14" s="38" cm="1">
        <f t="array" ref="Q14">Tablo1738[[#This Row],[Q1]]/Tablo1939[Q1]*$C$46+G14/Tablo1939[Q2]*$D$46+H14/Tablo1939[Q3]*$E$46+I14/Tablo1939[Q4]*$F$46+J14/Tablo1939[Q5]*$G$46+K14/Tablo1939[Q6]*$H$46+L14/Tablo1939[Q7]*$I$46</f>
        <v>12</v>
      </c>
      <c r="R14" s="38">
        <f t="shared" si="1"/>
        <v>61.666666666666664</v>
      </c>
      <c r="S14" s="7">
        <f>_xlfn.NORM.DIST(Tablo1738[[#This Row],[TOTAL GRADE]],$N$56,$O$56,FALSE)</f>
        <v>1.8905392662284057E-2</v>
      </c>
      <c r="AA14" s="29"/>
      <c r="AB14" s="29"/>
      <c r="AC14" s="29"/>
      <c r="AD14" s="29"/>
      <c r="AE14" s="45"/>
    </row>
    <row r="15" spans="2:33" x14ac:dyDescent="0.3">
      <c r="B15" s="8">
        <v>11</v>
      </c>
      <c r="C15" s="9">
        <v>14</v>
      </c>
      <c r="D15" s="10" t="s">
        <v>3</v>
      </c>
      <c r="E15" s="10" t="s">
        <v>4</v>
      </c>
      <c r="F15" s="2">
        <v>3</v>
      </c>
      <c r="G15" s="2">
        <v>1</v>
      </c>
      <c r="H15" s="2">
        <v>1</v>
      </c>
      <c r="I15" s="2">
        <v>14</v>
      </c>
      <c r="J15" s="2">
        <v>9</v>
      </c>
      <c r="K15" s="2">
        <v>10</v>
      </c>
      <c r="L15" s="2">
        <v>9</v>
      </c>
      <c r="M15" s="28">
        <f t="shared" si="0"/>
        <v>47</v>
      </c>
      <c r="N15" s="38" cm="1">
        <f t="array" ref="N15">Tablo1738[[#This Row],[Q1]]/Tablo1939[Q1]*$C$43+G15/Tablo1939[Q2]*$D$43+H15/Tablo1939[Q3]*$E$43+I15/Tablo1939[Q4]*$F$43+J15/Tablo1939[Q5]*$G$43+K15/Tablo1939[Q6]*$H$43+L15/Tablo1939[Q7]*$I$43</f>
        <v>37.166666666666664</v>
      </c>
      <c r="O15" s="38" cm="1">
        <f t="array" ref="O15">Tablo1738[[#This Row],[Q1]]/Tablo1939[Q1]*$C$44+G15/Tablo1939[Q2]*$D$44+H15/Tablo1939[Q3]*$E$44+I15/Tablo1939[Q4]*$F$44+J15/Tablo1939[Q5]*$G$44+K15/Tablo1939[Q6]*$H$44+L15/Tablo1939[Q7]*$I$44</f>
        <v>0.25</v>
      </c>
      <c r="P15" s="38" cm="1">
        <f t="array" ref="P15">Tablo1738[[#This Row],[Q1]]/Tablo1939[Q1]*$C$45+G15/Tablo1939[Q2]*$D$45+H15/Tablo1939[Q3]*$E$45+I15/Tablo1939[Q4]*$F$45+J15/Tablo1939[Q5]*$G$45+K15/Tablo1939[Q6]*$H$45+L15/Tablo1939[Q7]*$I$45</f>
        <v>15.416666666666666</v>
      </c>
      <c r="Q15" s="38" cm="1">
        <f t="array" ref="Q15">Tablo1738[[#This Row],[Q1]]/Tablo1939[Q1]*$C$46+G15/Tablo1939[Q2]*$D$46+H15/Tablo1939[Q3]*$E$46+I15/Tablo1939[Q4]*$F$46+J15/Tablo1939[Q5]*$G$46+K15/Tablo1939[Q6]*$H$46+L15/Tablo1939[Q7]*$I$46</f>
        <v>6</v>
      </c>
      <c r="R15" s="38">
        <f t="shared" si="1"/>
        <v>58.833333333333329</v>
      </c>
      <c r="S15" s="7">
        <f>_xlfn.NORM.DIST(Tablo1738[[#This Row],[TOTAL GRADE]],$N$56,$O$56,FALSE)</f>
        <v>1.9460277639275211E-2</v>
      </c>
      <c r="AA15" s="29"/>
      <c r="AB15" s="29"/>
      <c r="AC15" s="29"/>
      <c r="AD15" s="29"/>
      <c r="AE15" s="45"/>
    </row>
    <row r="16" spans="2:33" x14ac:dyDescent="0.3">
      <c r="B16" s="13">
        <v>12</v>
      </c>
      <c r="C16" s="9">
        <v>15</v>
      </c>
      <c r="D16" s="10" t="s">
        <v>3</v>
      </c>
      <c r="E16" s="10" t="s">
        <v>4</v>
      </c>
      <c r="F16" s="2">
        <v>2</v>
      </c>
      <c r="G16" s="2">
        <v>1</v>
      </c>
      <c r="H16" s="2">
        <v>14</v>
      </c>
      <c r="I16" s="2">
        <v>12</v>
      </c>
      <c r="J16" s="2">
        <v>6</v>
      </c>
      <c r="K16" s="2">
        <v>5</v>
      </c>
      <c r="L16" s="2">
        <v>4</v>
      </c>
      <c r="M16" s="28">
        <f t="shared" si="0"/>
        <v>44</v>
      </c>
      <c r="N16" s="38" cm="1">
        <f t="array" ref="N16">Tablo1738[[#This Row],[Q1]]/Tablo1939[Q1]*$C$43+G16/Tablo1939[Q2]*$D$43+H16/Tablo1939[Q3]*$E$43+I16/Tablo1939[Q4]*$F$43+J16/Tablo1939[Q5]*$G$43+K16/Tablo1939[Q6]*$H$43+L16/Tablo1939[Q7]*$I$43</f>
        <v>31.333333333333332</v>
      </c>
      <c r="O16" s="38" cm="1">
        <f t="array" ref="O16">Tablo1738[[#This Row],[Q1]]/Tablo1939[Q1]*$C$44+G16/Tablo1939[Q2]*$D$44+H16/Tablo1939[Q3]*$E$44+I16/Tablo1939[Q4]*$F$44+J16/Tablo1939[Q5]*$G$44+K16/Tablo1939[Q6]*$H$44+L16/Tablo1939[Q7]*$I$44</f>
        <v>3.5</v>
      </c>
      <c r="P16" s="38" cm="1">
        <f t="array" ref="P16">Tablo1738[[#This Row],[Q1]]/Tablo1939[Q1]*$C$45+G16/Tablo1939[Q2]*$D$45+H16/Tablo1939[Q3]*$E$45+I16/Tablo1939[Q4]*$F$45+J16/Tablo1939[Q5]*$G$45+K16/Tablo1939[Q6]*$H$45+L16/Tablo1939[Q7]*$I$45</f>
        <v>20.833333333333332</v>
      </c>
      <c r="Q16" s="38" cm="1">
        <f t="array" ref="Q16">Tablo1738[[#This Row],[Q1]]/Tablo1939[Q1]*$C$46+G16/Tablo1939[Q2]*$D$46+H16/Tablo1939[Q3]*$E$46+I16/Tablo1939[Q4]*$F$46+J16/Tablo1939[Q5]*$G$46+K16/Tablo1939[Q6]*$H$46+L16/Tablo1939[Q7]*$I$46</f>
        <v>4</v>
      </c>
      <c r="R16" s="38">
        <f t="shared" si="1"/>
        <v>59.666666666666657</v>
      </c>
      <c r="S16" s="7">
        <f>_xlfn.NORM.DIST(Tablo1738[[#This Row],[TOTAL GRADE]],$N$56,$O$56,FALSE)</f>
        <v>2.0840315400294896E-2</v>
      </c>
      <c r="AA16" s="29"/>
      <c r="AB16" s="29"/>
      <c r="AC16" s="29"/>
      <c r="AD16" s="29"/>
      <c r="AE16" s="45"/>
    </row>
    <row r="17" spans="2:31" x14ac:dyDescent="0.3">
      <c r="B17" s="8">
        <v>13</v>
      </c>
      <c r="C17" s="9">
        <v>16</v>
      </c>
      <c r="D17" s="10" t="s">
        <v>3</v>
      </c>
      <c r="E17" s="10" t="s">
        <v>4</v>
      </c>
      <c r="F17" s="2">
        <v>0</v>
      </c>
      <c r="G17" s="2">
        <v>1</v>
      </c>
      <c r="H17" s="2">
        <v>14</v>
      </c>
      <c r="I17" s="2">
        <v>3</v>
      </c>
      <c r="J17" s="2">
        <v>5</v>
      </c>
      <c r="K17" s="2">
        <v>11</v>
      </c>
      <c r="L17" s="2">
        <v>9</v>
      </c>
      <c r="M17" s="28">
        <f t="shared" si="0"/>
        <v>43</v>
      </c>
      <c r="N17" s="38" cm="1">
        <f t="array" ref="N17">Tablo1738[[#This Row],[Q1]]/Tablo1939[Q1]*$C$43+G17/Tablo1939[Q2]*$D$43+H17/Tablo1939[Q3]*$E$43+I17/Tablo1939[Q4]*$F$43+J17/Tablo1939[Q5]*$G$43+K17/Tablo1939[Q6]*$H$43+L17/Tablo1939[Q7]*$I$43</f>
        <v>30.666666666666664</v>
      </c>
      <c r="O17" s="38" cm="1">
        <f t="array" ref="O17">Tablo1738[[#This Row],[Q1]]/Tablo1939[Q1]*$C$44+G17/Tablo1939[Q2]*$D$44+H17/Tablo1939[Q3]*$E$44+I17/Tablo1939[Q4]*$F$44+J17/Tablo1939[Q5]*$G$44+K17/Tablo1939[Q6]*$H$44+L17/Tablo1939[Q7]*$I$44</f>
        <v>3.5</v>
      </c>
      <c r="P17" s="38" cm="1">
        <f t="array" ref="P17">Tablo1738[[#This Row],[Q1]]/Tablo1939[Q1]*$C$45+G17/Tablo1939[Q2]*$D$45+H17/Tablo1939[Q3]*$E$45+I17/Tablo1939[Q4]*$F$45+J17/Tablo1939[Q5]*$G$45+K17/Tablo1939[Q6]*$H$45+L17/Tablo1939[Q7]*$I$45</f>
        <v>20.333333333333332</v>
      </c>
      <c r="Q17" s="38" cm="1">
        <f t="array" ref="Q17">Tablo1738[[#This Row],[Q1]]/Tablo1939[Q1]*$C$46+G17/Tablo1939[Q2]*$D$46+H17/Tablo1939[Q3]*$E$46+I17/Tablo1939[Q4]*$F$46+J17/Tablo1939[Q5]*$G$46+K17/Tablo1939[Q6]*$H$46+L17/Tablo1939[Q7]*$I$46</f>
        <v>0</v>
      </c>
      <c r="R17" s="38">
        <f t="shared" si="1"/>
        <v>54.5</v>
      </c>
      <c r="S17" s="7">
        <f>_xlfn.NORM.DIST(Tablo1738[[#This Row],[TOTAL GRADE]],$N$56,$O$56,FALSE)</f>
        <v>2.1192285407833772E-2</v>
      </c>
      <c r="AA17" s="29"/>
      <c r="AB17" s="29"/>
      <c r="AC17" s="29"/>
      <c r="AD17" s="29"/>
      <c r="AE17" s="45"/>
    </row>
    <row r="18" spans="2:31" x14ac:dyDescent="0.3">
      <c r="B18" s="13">
        <v>14</v>
      </c>
      <c r="C18" s="9">
        <v>17</v>
      </c>
      <c r="D18" s="10" t="s">
        <v>3</v>
      </c>
      <c r="E18" s="10" t="s">
        <v>4</v>
      </c>
      <c r="F18" s="2">
        <v>3</v>
      </c>
      <c r="G18" s="2">
        <v>4</v>
      </c>
      <c r="H18" s="2">
        <v>11</v>
      </c>
      <c r="I18" s="2">
        <v>10</v>
      </c>
      <c r="J18" s="2">
        <v>6</v>
      </c>
      <c r="K18" s="2">
        <v>2</v>
      </c>
      <c r="L18" s="2">
        <v>6</v>
      </c>
      <c r="M18" s="28">
        <f t="shared" si="0"/>
        <v>42</v>
      </c>
      <c r="N18" s="38" cm="1">
        <f t="array" ref="N18">Tablo1738[[#This Row],[Q1]]/Tablo1939[Q1]*$C$43+G18/Tablo1939[Q2]*$D$43+H18/Tablo1939[Q3]*$E$43+I18/Tablo1939[Q4]*$F$43+J18/Tablo1939[Q5]*$G$43+K18/Tablo1939[Q6]*$H$43+L18/Tablo1939[Q7]*$I$43</f>
        <v>30.833333333333332</v>
      </c>
      <c r="O18" s="38" cm="1">
        <f t="array" ref="O18">Tablo1738[[#This Row],[Q1]]/Tablo1939[Q1]*$C$44+G18/Tablo1939[Q2]*$D$44+H18/Tablo1939[Q3]*$E$44+I18/Tablo1939[Q4]*$F$44+J18/Tablo1939[Q5]*$G$44+K18/Tablo1939[Q6]*$H$44+L18/Tablo1939[Q7]*$I$44</f>
        <v>2.75</v>
      </c>
      <c r="P18" s="38" cm="1">
        <f t="array" ref="P18">Tablo1738[[#This Row],[Q1]]/Tablo1939[Q1]*$C$45+G18/Tablo1939[Q2]*$D$45+H18/Tablo1939[Q3]*$E$45+I18/Tablo1939[Q4]*$F$45+J18/Tablo1939[Q5]*$G$45+K18/Tablo1939[Q6]*$H$45+L18/Tablo1939[Q7]*$I$45</f>
        <v>18.583333333333332</v>
      </c>
      <c r="Q18" s="38" cm="1">
        <f t="array" ref="Q18">Tablo1738[[#This Row],[Q1]]/Tablo1939[Q1]*$C$46+G18/Tablo1939[Q2]*$D$46+H18/Tablo1939[Q3]*$E$46+I18/Tablo1939[Q4]*$F$46+J18/Tablo1939[Q5]*$G$46+K18/Tablo1939[Q6]*$H$46+L18/Tablo1939[Q7]*$I$46</f>
        <v>6</v>
      </c>
      <c r="R18" s="38">
        <f t="shared" si="1"/>
        <v>58.166666666666657</v>
      </c>
      <c r="S18" s="7">
        <f>_xlfn.NORM.DIST(Tablo1738[[#This Row],[TOTAL GRADE]],$N$56,$O$56,FALSE)</f>
        <v>2.1484677809694316E-2</v>
      </c>
      <c r="AA18" s="29"/>
      <c r="AB18" s="29"/>
      <c r="AC18" s="29"/>
      <c r="AD18" s="29"/>
      <c r="AE18" s="45"/>
    </row>
    <row r="19" spans="2:31" x14ac:dyDescent="0.3">
      <c r="B19" s="8">
        <v>15</v>
      </c>
      <c r="C19" s="9">
        <v>18</v>
      </c>
      <c r="D19" s="10" t="s">
        <v>3</v>
      </c>
      <c r="E19" s="10" t="s">
        <v>4</v>
      </c>
      <c r="F19" s="2">
        <v>0</v>
      </c>
      <c r="G19" s="2">
        <v>0</v>
      </c>
      <c r="H19" s="2">
        <v>7</v>
      </c>
      <c r="I19" s="2">
        <v>15</v>
      </c>
      <c r="J19" s="2">
        <v>6</v>
      </c>
      <c r="K19" s="2">
        <v>10</v>
      </c>
      <c r="L19" s="2">
        <v>4</v>
      </c>
      <c r="M19" s="28">
        <f t="shared" si="0"/>
        <v>42</v>
      </c>
      <c r="N19" s="38" cm="1">
        <f t="array" ref="N19">Tablo1738[[#This Row],[Q1]]/Tablo1939[Q1]*$C$43+G19/Tablo1939[Q2]*$D$43+H19/Tablo1939[Q3]*$E$43+I19/Tablo1939[Q4]*$F$43+J19/Tablo1939[Q5]*$G$43+K19/Tablo1939[Q6]*$H$43+L19/Tablo1939[Q7]*$I$43</f>
        <v>33.166666666666664</v>
      </c>
      <c r="O19" s="38" cm="1">
        <f t="array" ref="O19">Tablo1738[[#This Row],[Q1]]/Tablo1939[Q1]*$C$44+G19/Tablo1939[Q2]*$D$44+H19/Tablo1939[Q3]*$E$44+I19/Tablo1939[Q4]*$F$44+J19/Tablo1939[Q5]*$G$44+K19/Tablo1939[Q6]*$H$44+L19/Tablo1939[Q7]*$I$44</f>
        <v>1.75</v>
      </c>
      <c r="P19" s="38" cm="1">
        <f t="array" ref="P19">Tablo1738[[#This Row],[Q1]]/Tablo1939[Q1]*$C$45+G19/Tablo1939[Q2]*$D$45+H19/Tablo1939[Q3]*$E$45+I19/Tablo1939[Q4]*$F$45+J19/Tablo1939[Q5]*$G$45+K19/Tablo1939[Q6]*$H$45+L19/Tablo1939[Q7]*$I$45</f>
        <v>19.416666666666664</v>
      </c>
      <c r="Q19" s="38" cm="1">
        <f t="array" ref="Q19">Tablo1738[[#This Row],[Q1]]/Tablo1939[Q1]*$C$46+G19/Tablo1939[Q2]*$D$46+H19/Tablo1939[Q3]*$E$46+I19/Tablo1939[Q4]*$F$46+J19/Tablo1939[Q5]*$G$46+K19/Tablo1939[Q6]*$H$46+L19/Tablo1939[Q7]*$I$46</f>
        <v>0</v>
      </c>
      <c r="R19" s="38">
        <f t="shared" si="1"/>
        <v>54.333333333333329</v>
      </c>
      <c r="S19" s="7">
        <f>_xlfn.NORM.DIST(Tablo1738[[#This Row],[TOTAL GRADE]],$N$56,$O$56,FALSE)</f>
        <v>2.1484677809694316E-2</v>
      </c>
      <c r="AA19" s="29"/>
      <c r="AB19" s="29"/>
      <c r="AC19" s="29"/>
      <c r="AD19" s="29"/>
      <c r="AE19" s="45"/>
    </row>
    <row r="20" spans="2:31" x14ac:dyDescent="0.3">
      <c r="B20" s="13">
        <v>16</v>
      </c>
      <c r="C20" s="9">
        <v>19</v>
      </c>
      <c r="D20" s="10" t="s">
        <v>3</v>
      </c>
      <c r="E20" s="10" t="s">
        <v>4</v>
      </c>
      <c r="F20" s="2">
        <v>1</v>
      </c>
      <c r="G20" s="2">
        <v>3</v>
      </c>
      <c r="H20" s="2">
        <v>12</v>
      </c>
      <c r="I20" s="2">
        <v>10</v>
      </c>
      <c r="J20" s="2">
        <v>8</v>
      </c>
      <c r="K20" s="2">
        <v>5</v>
      </c>
      <c r="L20" s="2">
        <v>1</v>
      </c>
      <c r="M20" s="28">
        <f t="shared" si="0"/>
        <v>40</v>
      </c>
      <c r="N20" s="38" cm="1">
        <f t="array" ref="N20">Tablo1738[[#This Row],[Q1]]/Tablo1939[Q1]*$C$43+G20/Tablo1939[Q2]*$D$43+H20/Tablo1939[Q3]*$E$43+I20/Tablo1939[Q4]*$F$43+J20/Tablo1939[Q5]*$G$43+K20/Tablo1939[Q6]*$H$43+L20/Tablo1939[Q7]*$I$43</f>
        <v>28.666666666666664</v>
      </c>
      <c r="O20" s="38" cm="1">
        <f t="array" ref="O20">Tablo1738[[#This Row],[Q1]]/Tablo1939[Q1]*$C$44+G20/Tablo1939[Q2]*$D$44+H20/Tablo1939[Q3]*$E$44+I20/Tablo1939[Q4]*$F$44+J20/Tablo1939[Q5]*$G$44+K20/Tablo1939[Q6]*$H$44+L20/Tablo1939[Q7]*$I$44</f>
        <v>3</v>
      </c>
      <c r="P20" s="38" cm="1">
        <f t="array" ref="P20">Tablo1738[[#This Row],[Q1]]/Tablo1939[Q1]*$C$45+G20/Tablo1939[Q2]*$D$45+H20/Tablo1939[Q3]*$E$45+I20/Tablo1939[Q4]*$F$45+J20/Tablo1939[Q5]*$G$45+K20/Tablo1939[Q6]*$H$45+L20/Tablo1939[Q7]*$I$45</f>
        <v>20.333333333333332</v>
      </c>
      <c r="Q20" s="38" cm="1">
        <f t="array" ref="Q20">Tablo1738[[#This Row],[Q1]]/Tablo1939[Q1]*$C$46+G20/Tablo1939[Q2]*$D$46+H20/Tablo1939[Q3]*$E$46+I20/Tablo1939[Q4]*$F$46+J20/Tablo1939[Q5]*$G$46+K20/Tablo1939[Q6]*$H$46+L20/Tablo1939[Q7]*$I$46</f>
        <v>2</v>
      </c>
      <c r="R20" s="38">
        <f t="shared" si="1"/>
        <v>54</v>
      </c>
      <c r="S20" s="7">
        <f>_xlfn.NORM.DIST(Tablo1738[[#This Row],[TOTAL GRADE]],$N$56,$O$56,FALSE)</f>
        <v>2.1880819321820844E-2</v>
      </c>
      <c r="AA20" s="29"/>
      <c r="AB20" s="29"/>
      <c r="AC20" s="29"/>
      <c r="AD20" s="29"/>
      <c r="AE20" s="45"/>
    </row>
    <row r="21" spans="2:31" x14ac:dyDescent="0.3">
      <c r="B21" s="8">
        <v>17</v>
      </c>
      <c r="C21" s="9">
        <v>20</v>
      </c>
      <c r="D21" s="10" t="s">
        <v>3</v>
      </c>
      <c r="E21" s="10" t="s">
        <v>4</v>
      </c>
      <c r="F21" s="2">
        <v>1</v>
      </c>
      <c r="G21" s="2">
        <v>1</v>
      </c>
      <c r="H21" s="2">
        <v>11</v>
      </c>
      <c r="I21" s="2">
        <v>9</v>
      </c>
      <c r="J21" s="2">
        <v>3</v>
      </c>
      <c r="K21" s="2">
        <v>10</v>
      </c>
      <c r="L21" s="2">
        <v>5</v>
      </c>
      <c r="M21" s="28">
        <f t="shared" si="0"/>
        <v>40</v>
      </c>
      <c r="N21" s="38" cm="1">
        <f t="array" ref="N21">Tablo1738[[#This Row],[Q1]]/Tablo1939[Q1]*$C$43+G21/Tablo1939[Q2]*$D$43+H21/Tablo1939[Q3]*$E$43+I21/Tablo1939[Q4]*$F$43+J21/Tablo1939[Q5]*$G$43+K21/Tablo1939[Q6]*$H$43+L21/Tablo1939[Q7]*$I$43</f>
        <v>29.166666666666664</v>
      </c>
      <c r="O21" s="38" cm="1">
        <f t="array" ref="O21">Tablo1738[[#This Row],[Q1]]/Tablo1939[Q1]*$C$44+G21/Tablo1939[Q2]*$D$44+H21/Tablo1939[Q3]*$E$44+I21/Tablo1939[Q4]*$F$44+J21/Tablo1939[Q5]*$G$44+K21/Tablo1939[Q6]*$H$44+L21/Tablo1939[Q7]*$I$44</f>
        <v>2.75</v>
      </c>
      <c r="P21" s="38" cm="1">
        <f t="array" ref="P21">Tablo1738[[#This Row],[Q1]]/Tablo1939[Q1]*$C$45+G21/Tablo1939[Q2]*$D$45+H21/Tablo1939[Q3]*$E$45+I21/Tablo1939[Q4]*$F$45+J21/Tablo1939[Q5]*$G$45+K21/Tablo1939[Q6]*$H$45+L21/Tablo1939[Q7]*$I$45</f>
        <v>20.416666666666664</v>
      </c>
      <c r="Q21" s="38" cm="1">
        <f t="array" ref="Q21">Tablo1738[[#This Row],[Q1]]/Tablo1939[Q1]*$C$46+G21/Tablo1939[Q2]*$D$46+H21/Tablo1939[Q3]*$E$46+I21/Tablo1939[Q4]*$F$46+J21/Tablo1939[Q5]*$G$46+K21/Tablo1939[Q6]*$H$46+L21/Tablo1939[Q7]*$I$46</f>
        <v>2</v>
      </c>
      <c r="R21" s="38">
        <f t="shared" si="1"/>
        <v>54.333333333333329</v>
      </c>
      <c r="S21" s="7">
        <f>_xlfn.NORM.DIST(Tablo1738[[#This Row],[TOTAL GRADE]],$N$56,$O$56,FALSE)</f>
        <v>2.1880819321820844E-2</v>
      </c>
      <c r="AA21" s="29"/>
      <c r="AB21" s="29"/>
      <c r="AC21" s="29"/>
      <c r="AD21" s="29"/>
      <c r="AE21" s="45"/>
    </row>
    <row r="22" spans="2:31" x14ac:dyDescent="0.3">
      <c r="B22" s="13">
        <v>18</v>
      </c>
      <c r="C22" s="9">
        <v>21</v>
      </c>
      <c r="D22" s="10" t="s">
        <v>3</v>
      </c>
      <c r="E22" s="10" t="s">
        <v>4</v>
      </c>
      <c r="F22" s="2">
        <v>3</v>
      </c>
      <c r="G22" s="2">
        <v>1</v>
      </c>
      <c r="H22" s="2">
        <v>7</v>
      </c>
      <c r="I22" s="2">
        <v>9</v>
      </c>
      <c r="J22" s="2">
        <v>5</v>
      </c>
      <c r="K22" s="2">
        <v>0</v>
      </c>
      <c r="L22" s="2">
        <v>12</v>
      </c>
      <c r="M22" s="28">
        <f t="shared" si="0"/>
        <v>37</v>
      </c>
      <c r="N22" s="38" cm="1">
        <f t="array" ref="N22">Tablo1738[[#This Row],[Q1]]/Tablo1939[Q1]*$C$43+G22/Tablo1939[Q2]*$D$43+H22/Tablo1939[Q3]*$E$43+I22/Tablo1939[Q4]*$F$43+J22/Tablo1939[Q5]*$G$43+K22/Tablo1939[Q6]*$H$43+L22/Tablo1939[Q7]*$I$43</f>
        <v>28.833333333333332</v>
      </c>
      <c r="O22" s="38" cm="1">
        <f t="array" ref="O22">Tablo1738[[#This Row],[Q1]]/Tablo1939[Q1]*$C$44+G22/Tablo1939[Q2]*$D$44+H22/Tablo1939[Q3]*$E$44+I22/Tablo1939[Q4]*$F$44+J22/Tablo1939[Q5]*$G$44+K22/Tablo1939[Q6]*$H$44+L22/Tablo1939[Q7]*$I$44</f>
        <v>1.75</v>
      </c>
      <c r="P22" s="38" cm="1">
        <f t="array" ref="P22">Tablo1738[[#This Row],[Q1]]/Tablo1939[Q1]*$C$45+G22/Tablo1939[Q2]*$D$45+H22/Tablo1939[Q3]*$E$45+I22/Tablo1939[Q4]*$F$45+J22/Tablo1939[Q5]*$G$45+K22/Tablo1939[Q6]*$H$45+L22/Tablo1939[Q7]*$I$45</f>
        <v>10.75</v>
      </c>
      <c r="Q22" s="38" cm="1">
        <f t="array" ref="Q22">Tablo1738[[#This Row],[Q1]]/Tablo1939[Q1]*$C$46+G22/Tablo1939[Q2]*$D$46+H22/Tablo1939[Q3]*$E$46+I22/Tablo1939[Q4]*$F$46+J22/Tablo1939[Q5]*$G$46+K22/Tablo1939[Q6]*$H$46+L22/Tablo1939[Q7]*$I$46</f>
        <v>6</v>
      </c>
      <c r="R22" s="38">
        <f t="shared" si="1"/>
        <v>47.333333333333329</v>
      </c>
      <c r="S22" s="7">
        <f>_xlfn.NORM.DIST(Tablo1738[[#This Row],[TOTAL GRADE]],$N$56,$O$56,FALSE)</f>
        <v>2.1980990760215053E-2</v>
      </c>
      <c r="AA22" s="29"/>
      <c r="AB22" s="29"/>
      <c r="AC22" s="29"/>
      <c r="AD22" s="29"/>
      <c r="AE22" s="45"/>
    </row>
    <row r="23" spans="2:31" x14ac:dyDescent="0.3">
      <c r="B23" s="8">
        <v>19</v>
      </c>
      <c r="C23" s="9">
        <v>22</v>
      </c>
      <c r="D23" s="14" t="s">
        <v>3</v>
      </c>
      <c r="E23" s="10" t="s">
        <v>4</v>
      </c>
      <c r="F23" s="2">
        <v>0</v>
      </c>
      <c r="G23" s="2">
        <v>2</v>
      </c>
      <c r="H23" s="2">
        <v>14</v>
      </c>
      <c r="I23" s="2">
        <v>9</v>
      </c>
      <c r="J23" s="2">
        <v>6</v>
      </c>
      <c r="K23" s="2">
        <v>0</v>
      </c>
      <c r="L23" s="2">
        <v>5</v>
      </c>
      <c r="M23" s="28">
        <f t="shared" si="0"/>
        <v>36</v>
      </c>
      <c r="N23" s="38" cm="1">
        <f t="array" ref="N23">Tablo1738[[#This Row],[Q1]]/Tablo1939[Q1]*$C$43+G23/Tablo1939[Q2]*$D$43+H23/Tablo1939[Q3]*$E$43+I23/Tablo1939[Q4]*$F$43+J23/Tablo1939[Q5]*$G$43+K23/Tablo1939[Q6]*$H$43+L23/Tablo1939[Q7]*$I$43</f>
        <v>27</v>
      </c>
      <c r="O23" s="38" cm="1">
        <f t="array" ref="O23">Tablo1738[[#This Row],[Q1]]/Tablo1939[Q1]*$C$44+G23/Tablo1939[Q2]*$D$44+H23/Tablo1939[Q3]*$E$44+I23/Tablo1939[Q4]*$F$44+J23/Tablo1939[Q5]*$G$44+K23/Tablo1939[Q6]*$H$44+L23/Tablo1939[Q7]*$I$44</f>
        <v>3.5</v>
      </c>
      <c r="P23" s="38" cm="1">
        <f t="array" ref="P23">Tablo1738[[#This Row],[Q1]]/Tablo1939[Q1]*$C$45+G23/Tablo1939[Q2]*$D$45+H23/Tablo1939[Q3]*$E$45+I23/Tablo1939[Q4]*$F$45+J23/Tablo1939[Q5]*$G$45+K23/Tablo1939[Q6]*$H$45+L23/Tablo1939[Q7]*$I$45</f>
        <v>17</v>
      </c>
      <c r="Q23" s="38" cm="1">
        <f t="array" ref="Q23">Tablo1738[[#This Row],[Q1]]/Tablo1939[Q1]*$C$46+G23/Tablo1939[Q2]*$D$46+H23/Tablo1939[Q3]*$E$46+I23/Tablo1939[Q4]*$F$46+J23/Tablo1939[Q5]*$G$46+K23/Tablo1939[Q6]*$H$46+L23/Tablo1939[Q7]*$I$46</f>
        <v>0</v>
      </c>
      <c r="R23" s="38">
        <f t="shared" si="1"/>
        <v>47.5</v>
      </c>
      <c r="S23" s="7">
        <f>_xlfn.NORM.DIST(Tablo1738[[#This Row],[TOTAL GRADE]],$N$56,$O$56,FALSE)</f>
        <v>2.1880819321820844E-2</v>
      </c>
      <c r="AA23" s="29"/>
      <c r="AB23" s="29"/>
      <c r="AC23" s="29"/>
      <c r="AD23" s="29"/>
      <c r="AE23" s="45"/>
    </row>
    <row r="24" spans="2:31" x14ac:dyDescent="0.3">
      <c r="B24" s="13">
        <v>20</v>
      </c>
      <c r="C24" s="9">
        <v>23</v>
      </c>
      <c r="D24" s="10" t="s">
        <v>3</v>
      </c>
      <c r="E24" s="10" t="s">
        <v>4</v>
      </c>
      <c r="F24" s="2">
        <v>5</v>
      </c>
      <c r="G24" s="2">
        <v>2</v>
      </c>
      <c r="H24" s="2">
        <v>7</v>
      </c>
      <c r="I24" s="2">
        <v>12</v>
      </c>
      <c r="J24" s="2">
        <v>6</v>
      </c>
      <c r="K24" s="2">
        <v>3</v>
      </c>
      <c r="L24" s="2">
        <v>1</v>
      </c>
      <c r="M24" s="28">
        <f t="shared" si="0"/>
        <v>36</v>
      </c>
      <c r="N24" s="38" cm="1">
        <f t="array" ref="N24">Tablo1738[[#This Row],[Q1]]/Tablo1939[Q1]*$C$43+G24/Tablo1939[Q2]*$D$43+H24/Tablo1939[Q3]*$E$43+I24/Tablo1939[Q4]*$F$43+J24/Tablo1939[Q5]*$G$43+K24/Tablo1939[Q6]*$H$43+L24/Tablo1939[Q7]*$I$43</f>
        <v>24.5</v>
      </c>
      <c r="O24" s="38" cm="1">
        <f t="array" ref="O24">Tablo1738[[#This Row],[Q1]]/Tablo1939[Q1]*$C$44+G24/Tablo1939[Q2]*$D$44+H24/Tablo1939[Q3]*$E$44+I24/Tablo1939[Q4]*$F$44+J24/Tablo1939[Q5]*$G$44+K24/Tablo1939[Q6]*$H$44+L24/Tablo1939[Q7]*$I$44</f>
        <v>1.75</v>
      </c>
      <c r="P24" s="38" cm="1">
        <f t="array" ref="P24">Tablo1738[[#This Row],[Q1]]/Tablo1939[Q1]*$C$45+G24/Tablo1939[Q2]*$D$45+H24/Tablo1939[Q3]*$E$45+I24/Tablo1939[Q4]*$F$45+J24/Tablo1939[Q5]*$G$45+K24/Tablo1939[Q6]*$H$45+L24/Tablo1939[Q7]*$I$45</f>
        <v>15.25</v>
      </c>
      <c r="Q24" s="38" cm="1">
        <f t="array" ref="Q24">Tablo1738[[#This Row],[Q1]]/Tablo1939[Q1]*$C$46+G24/Tablo1939[Q2]*$D$46+H24/Tablo1939[Q3]*$E$46+I24/Tablo1939[Q4]*$F$46+J24/Tablo1939[Q5]*$G$46+K24/Tablo1939[Q6]*$H$46+L24/Tablo1939[Q7]*$I$46</f>
        <v>10</v>
      </c>
      <c r="R24" s="38">
        <f t="shared" si="1"/>
        <v>51.5</v>
      </c>
      <c r="S24" s="7">
        <f>_xlfn.NORM.DIST(Tablo1738[[#This Row],[TOTAL GRADE]],$N$56,$O$56,FALSE)</f>
        <v>2.1880819321820844E-2</v>
      </c>
      <c r="AA24" s="29"/>
      <c r="AB24" s="29"/>
      <c r="AC24" s="29"/>
      <c r="AD24" s="29"/>
      <c r="AE24" s="45"/>
    </row>
    <row r="25" spans="2:31" x14ac:dyDescent="0.3">
      <c r="B25" s="8">
        <v>21</v>
      </c>
      <c r="C25" s="9">
        <v>24</v>
      </c>
      <c r="D25" s="10" t="s">
        <v>3</v>
      </c>
      <c r="E25" s="10" t="s">
        <v>4</v>
      </c>
      <c r="F25" s="2">
        <v>8</v>
      </c>
      <c r="G25" s="2">
        <v>1</v>
      </c>
      <c r="H25" s="2">
        <v>10</v>
      </c>
      <c r="I25" s="2">
        <v>2</v>
      </c>
      <c r="J25" s="2">
        <v>2</v>
      </c>
      <c r="K25" s="2">
        <v>5</v>
      </c>
      <c r="L25" s="2">
        <v>7</v>
      </c>
      <c r="M25" s="28">
        <f t="shared" si="0"/>
        <v>35</v>
      </c>
      <c r="N25" s="38" cm="1">
        <f t="array" ref="N25">Tablo1738[[#This Row],[Q1]]/Tablo1939[Q1]*$C$43+G25/Tablo1939[Q2]*$D$43+H25/Tablo1939[Q3]*$E$43+I25/Tablo1939[Q4]*$F$43+J25/Tablo1939[Q5]*$G$43+K25/Tablo1939[Q6]*$H$43+L25/Tablo1939[Q7]*$I$43</f>
        <v>19.666666666666668</v>
      </c>
      <c r="O25" s="38" cm="1">
        <f t="array" ref="O25">Tablo1738[[#This Row],[Q1]]/Tablo1939[Q1]*$C$44+G25/Tablo1939[Q2]*$D$44+H25/Tablo1939[Q3]*$E$44+I25/Tablo1939[Q4]*$F$44+J25/Tablo1939[Q5]*$G$44+K25/Tablo1939[Q6]*$H$44+L25/Tablo1939[Q7]*$I$44</f>
        <v>2.5</v>
      </c>
      <c r="P25" s="38" cm="1">
        <f t="array" ref="P25">Tablo1738[[#This Row],[Q1]]/Tablo1939[Q1]*$C$45+G25/Tablo1939[Q2]*$D$45+H25/Tablo1939[Q3]*$E$45+I25/Tablo1939[Q4]*$F$45+J25/Tablo1939[Q5]*$G$45+K25/Tablo1939[Q6]*$H$45+L25/Tablo1939[Q7]*$I$45</f>
        <v>12.833333333333332</v>
      </c>
      <c r="Q25" s="38" cm="1">
        <f t="array" ref="Q25">Tablo1738[[#This Row],[Q1]]/Tablo1939[Q1]*$C$46+G25/Tablo1939[Q2]*$D$46+H25/Tablo1939[Q3]*$E$46+I25/Tablo1939[Q4]*$F$46+J25/Tablo1939[Q5]*$G$46+K25/Tablo1939[Q6]*$H$46+L25/Tablo1939[Q7]*$I$46</f>
        <v>16</v>
      </c>
      <c r="R25" s="38">
        <f t="shared" si="1"/>
        <v>51</v>
      </c>
      <c r="S25" s="7">
        <f>_xlfn.NORM.DIST(Tablo1738[[#This Row],[TOTAL GRADE]],$N$56,$O$56,FALSE)</f>
        <v>2.1714880340688841E-2</v>
      </c>
      <c r="AA25" s="29"/>
      <c r="AB25" s="29"/>
      <c r="AC25" s="29"/>
      <c r="AD25" s="29"/>
      <c r="AE25" s="45"/>
    </row>
    <row r="26" spans="2:31" x14ac:dyDescent="0.3">
      <c r="B26" s="13">
        <v>22</v>
      </c>
      <c r="C26" s="9">
        <v>25</v>
      </c>
      <c r="D26" s="10" t="s">
        <v>3</v>
      </c>
      <c r="E26" s="10" t="s">
        <v>4</v>
      </c>
      <c r="F26" s="2">
        <v>0</v>
      </c>
      <c r="G26" s="2">
        <v>2</v>
      </c>
      <c r="H26" s="2">
        <v>7</v>
      </c>
      <c r="I26" s="2">
        <v>8</v>
      </c>
      <c r="J26" s="2">
        <v>8</v>
      </c>
      <c r="K26" s="2">
        <v>3</v>
      </c>
      <c r="L26" s="2">
        <v>0</v>
      </c>
      <c r="M26" s="28">
        <f t="shared" si="0"/>
        <v>28</v>
      </c>
      <c r="N26" s="38" cm="1">
        <f t="array" ref="N26">Tablo1738[[#This Row],[Q1]]/Tablo1939[Q1]*$C$43+G26/Tablo1939[Q2]*$D$43+H26/Tablo1939[Q3]*$E$43+I26/Tablo1939[Q4]*$F$43+J26/Tablo1939[Q5]*$G$43+K26/Tablo1939[Q6]*$H$43+L26/Tablo1939[Q7]*$I$43</f>
        <v>20.833333333333332</v>
      </c>
      <c r="O26" s="38" cm="1">
        <f t="array" ref="O26">Tablo1738[[#This Row],[Q1]]/Tablo1939[Q1]*$C$44+G26/Tablo1939[Q2]*$D$44+H26/Tablo1939[Q3]*$E$44+I26/Tablo1939[Q4]*$F$44+J26/Tablo1939[Q5]*$G$44+K26/Tablo1939[Q6]*$H$44+L26/Tablo1939[Q7]*$I$44</f>
        <v>1.75</v>
      </c>
      <c r="P26" s="38" cm="1">
        <f t="array" ref="P26">Tablo1738[[#This Row],[Q1]]/Tablo1939[Q1]*$C$45+G26/Tablo1939[Q2]*$D$45+H26/Tablo1939[Q3]*$E$45+I26/Tablo1939[Q4]*$F$45+J26/Tablo1939[Q5]*$G$45+K26/Tablo1939[Q6]*$H$45+L26/Tablo1939[Q7]*$I$45</f>
        <v>13.25</v>
      </c>
      <c r="Q26" s="38" cm="1">
        <f t="array" ref="Q26">Tablo1738[[#This Row],[Q1]]/Tablo1939[Q1]*$C$46+G26/Tablo1939[Q2]*$D$46+H26/Tablo1939[Q3]*$E$46+I26/Tablo1939[Q4]*$F$46+J26/Tablo1939[Q5]*$G$46+K26/Tablo1939[Q6]*$H$46+L26/Tablo1939[Q7]*$I$46</f>
        <v>0</v>
      </c>
      <c r="R26" s="38">
        <f t="shared" si="1"/>
        <v>35.833333333333329</v>
      </c>
      <c r="S26" s="7">
        <f>_xlfn.NORM.DIST(Tablo1738[[#This Row],[TOTAL GRADE]],$N$56,$O$56,FALSE)</f>
        <v>1.8905392662284057E-2</v>
      </c>
      <c r="AA26" s="29"/>
      <c r="AB26" s="29"/>
      <c r="AC26" s="29"/>
      <c r="AD26" s="29"/>
      <c r="AE26" s="45"/>
    </row>
    <row r="27" spans="2:31" x14ac:dyDescent="0.3">
      <c r="B27" s="8">
        <v>23</v>
      </c>
      <c r="C27" s="9">
        <v>26</v>
      </c>
      <c r="D27" s="14" t="s">
        <v>3</v>
      </c>
      <c r="E27" s="10" t="s">
        <v>4</v>
      </c>
      <c r="F27" s="2">
        <v>0</v>
      </c>
      <c r="G27" s="2">
        <v>2</v>
      </c>
      <c r="H27" s="2">
        <v>8</v>
      </c>
      <c r="I27" s="2">
        <v>5</v>
      </c>
      <c r="J27" s="2">
        <v>5</v>
      </c>
      <c r="K27" s="2">
        <v>3</v>
      </c>
      <c r="L27" s="2">
        <v>2</v>
      </c>
      <c r="M27" s="28">
        <f t="shared" si="0"/>
        <v>25</v>
      </c>
      <c r="N27" s="38" cm="1">
        <f t="array" ref="N27">Tablo1738[[#This Row],[Q1]]/Tablo1939[Q1]*$C$43+G27/Tablo1939[Q2]*$D$43+H27/Tablo1939[Q3]*$E$43+I27/Tablo1939[Q4]*$F$43+J27/Tablo1939[Q5]*$G$43+K27/Tablo1939[Q6]*$H$43+L27/Tablo1939[Q7]*$I$43</f>
        <v>18.333333333333332</v>
      </c>
      <c r="O27" s="38" cm="1">
        <f t="array" ref="O27">Tablo1738[[#This Row],[Q1]]/Tablo1939[Q1]*$C$44+G27/Tablo1939[Q2]*$D$44+H27/Tablo1939[Q3]*$E$44+I27/Tablo1939[Q4]*$F$44+J27/Tablo1939[Q5]*$G$44+K27/Tablo1939[Q6]*$H$44+L27/Tablo1939[Q7]*$I$44</f>
        <v>2</v>
      </c>
      <c r="P27" s="38" cm="1">
        <f t="array" ref="P27">Tablo1738[[#This Row],[Q1]]/Tablo1939[Q1]*$C$45+G27/Tablo1939[Q2]*$D$45+H27/Tablo1939[Q3]*$E$45+I27/Tablo1939[Q4]*$F$45+J27/Tablo1939[Q5]*$G$45+K27/Tablo1939[Q6]*$H$45+L27/Tablo1939[Q7]*$I$45</f>
        <v>12.5</v>
      </c>
      <c r="Q27" s="38" cm="1">
        <f t="array" ref="Q27">Tablo1738[[#This Row],[Q1]]/Tablo1939[Q1]*$C$46+G27/Tablo1939[Q2]*$D$46+H27/Tablo1939[Q3]*$E$46+I27/Tablo1939[Q4]*$F$46+J27/Tablo1939[Q5]*$G$46+K27/Tablo1939[Q6]*$H$46+L27/Tablo1939[Q7]*$I$46</f>
        <v>0</v>
      </c>
      <c r="R27" s="38">
        <f t="shared" si="1"/>
        <v>32.833333333333329</v>
      </c>
      <c r="S27" s="7">
        <f>_xlfn.NORM.DIST(Tablo1738[[#This Row],[TOTAL GRADE]],$N$56,$O$56,FALSE)</f>
        <v>1.7020055707633003E-2</v>
      </c>
      <c r="AA27" s="29"/>
      <c r="AB27" s="29"/>
      <c r="AC27" s="29"/>
      <c r="AD27" s="29"/>
      <c r="AE27" s="45"/>
    </row>
    <row r="28" spans="2:31" x14ac:dyDescent="0.3">
      <c r="B28" s="13">
        <v>24</v>
      </c>
      <c r="C28" s="9">
        <v>27</v>
      </c>
      <c r="D28" s="10" t="s">
        <v>3</v>
      </c>
      <c r="E28" s="10" t="s">
        <v>4</v>
      </c>
      <c r="F28" s="2">
        <v>0</v>
      </c>
      <c r="G28" s="2">
        <v>0</v>
      </c>
      <c r="H28" s="2">
        <v>6</v>
      </c>
      <c r="I28" s="2">
        <v>6</v>
      </c>
      <c r="J28" s="2">
        <v>2</v>
      </c>
      <c r="K28" s="2">
        <v>5</v>
      </c>
      <c r="L28" s="2">
        <v>5</v>
      </c>
      <c r="M28" s="28">
        <f t="shared" si="0"/>
        <v>24</v>
      </c>
      <c r="N28" s="38" cm="1">
        <f t="array" ref="N28">Tablo1738[[#This Row],[Q1]]/Tablo1939[Q1]*$C$43+G28/Tablo1939[Q2]*$D$43+H28/Tablo1939[Q3]*$E$43+I28/Tablo1939[Q4]*$F$43+J28/Tablo1939[Q5]*$G$43+K28/Tablo1939[Q6]*$H$43+L28/Tablo1939[Q7]*$I$43</f>
        <v>18.666666666666668</v>
      </c>
      <c r="O28" s="38" cm="1">
        <f t="array" ref="O28">Tablo1738[[#This Row],[Q1]]/Tablo1939[Q1]*$C$44+G28/Tablo1939[Q2]*$D$44+H28/Tablo1939[Q3]*$E$44+I28/Tablo1939[Q4]*$F$44+J28/Tablo1939[Q5]*$G$44+K28/Tablo1939[Q6]*$H$44+L28/Tablo1939[Q7]*$I$44</f>
        <v>1.5</v>
      </c>
      <c r="P28" s="38" cm="1">
        <f t="array" ref="P28">Tablo1738[[#This Row],[Q1]]/Tablo1939[Q1]*$C$45+G28/Tablo1939[Q2]*$D$45+H28/Tablo1939[Q3]*$E$45+I28/Tablo1939[Q4]*$F$45+J28/Tablo1939[Q5]*$G$45+K28/Tablo1939[Q6]*$H$45+L28/Tablo1939[Q7]*$I$45</f>
        <v>10.833333333333332</v>
      </c>
      <c r="Q28" s="38" cm="1">
        <f t="array" ref="Q28">Tablo1738[[#This Row],[Q1]]/Tablo1939[Q1]*$C$46+G28/Tablo1939[Q2]*$D$46+H28/Tablo1939[Q3]*$E$46+I28/Tablo1939[Q4]*$F$46+J28/Tablo1939[Q5]*$G$46+K28/Tablo1939[Q6]*$H$46+L28/Tablo1939[Q7]*$I$46</f>
        <v>0</v>
      </c>
      <c r="R28" s="38">
        <f t="shared" si="1"/>
        <v>31</v>
      </c>
      <c r="S28" s="7">
        <f>_xlfn.NORM.DIST(Tablo1738[[#This Row],[TOTAL GRADE]],$N$56,$O$56,FALSE)</f>
        <v>1.6334574426045821E-2</v>
      </c>
      <c r="AA28" s="29"/>
      <c r="AB28" s="29"/>
      <c r="AC28" s="29"/>
      <c r="AD28" s="29"/>
      <c r="AE28" s="45"/>
    </row>
    <row r="29" spans="2:31" x14ac:dyDescent="0.3">
      <c r="B29" s="8">
        <v>25</v>
      </c>
      <c r="C29" s="9">
        <v>28</v>
      </c>
      <c r="D29" s="10" t="s">
        <v>3</v>
      </c>
      <c r="E29" s="10" t="s">
        <v>4</v>
      </c>
      <c r="F29" s="2">
        <v>1</v>
      </c>
      <c r="G29" s="2">
        <v>1</v>
      </c>
      <c r="H29" s="2">
        <v>7</v>
      </c>
      <c r="I29" s="2">
        <v>5</v>
      </c>
      <c r="J29" s="2">
        <v>6</v>
      </c>
      <c r="K29" s="2">
        <v>0</v>
      </c>
      <c r="L29" s="2">
        <v>2</v>
      </c>
      <c r="M29" s="28">
        <f t="shared" si="0"/>
        <v>22</v>
      </c>
      <c r="N29" s="38" cm="1">
        <f t="array" ref="N29">Tablo1738[[#This Row],[Q1]]/Tablo1939[Q1]*$C$43+G29/Tablo1939[Q2]*$D$43+H29/Tablo1939[Q3]*$E$43+I29/Tablo1939[Q4]*$F$43+J29/Tablo1939[Q5]*$G$43+K29/Tablo1939[Q6]*$H$43+L29/Tablo1939[Q7]*$I$43</f>
        <v>15.5</v>
      </c>
      <c r="O29" s="38" cm="1">
        <f t="array" ref="O29">Tablo1738[[#This Row],[Q1]]/Tablo1939[Q1]*$C$44+G29/Tablo1939[Q2]*$D$44+H29/Tablo1939[Q3]*$E$44+I29/Tablo1939[Q4]*$F$44+J29/Tablo1939[Q5]*$G$44+K29/Tablo1939[Q6]*$H$44+L29/Tablo1939[Q7]*$I$44</f>
        <v>1.75</v>
      </c>
      <c r="P29" s="38" cm="1">
        <f t="array" ref="P29">Tablo1738[[#This Row],[Q1]]/Tablo1939[Q1]*$C$45+G29/Tablo1939[Q2]*$D$45+H29/Tablo1939[Q3]*$E$45+I29/Tablo1939[Q4]*$F$45+J29/Tablo1939[Q5]*$G$45+K29/Tablo1939[Q6]*$H$45+L29/Tablo1939[Q7]*$I$45</f>
        <v>8.75</v>
      </c>
      <c r="Q29" s="38" cm="1">
        <f t="array" ref="Q29">Tablo1738[[#This Row],[Q1]]/Tablo1939[Q1]*$C$46+G29/Tablo1939[Q2]*$D$46+H29/Tablo1939[Q3]*$E$46+I29/Tablo1939[Q4]*$F$46+J29/Tablo1939[Q5]*$G$46+K29/Tablo1939[Q6]*$H$46+L29/Tablo1939[Q7]*$I$46</f>
        <v>2</v>
      </c>
      <c r="R29" s="38">
        <f t="shared" si="1"/>
        <v>28</v>
      </c>
      <c r="S29" s="7">
        <f>_xlfn.NORM.DIST(Tablo1738[[#This Row],[TOTAL GRADE]],$N$56,$O$56,FALSE)</f>
        <v>1.4908506887514609E-2</v>
      </c>
      <c r="AA29" s="29"/>
      <c r="AB29" s="29"/>
      <c r="AC29" s="29"/>
      <c r="AD29" s="29"/>
      <c r="AE29" s="45"/>
    </row>
    <row r="30" spans="2:31" x14ac:dyDescent="0.3">
      <c r="B30" s="13">
        <v>26</v>
      </c>
      <c r="C30" s="9">
        <v>29</v>
      </c>
      <c r="D30" s="10" t="s">
        <v>3</v>
      </c>
      <c r="E30" s="10" t="s">
        <v>4</v>
      </c>
      <c r="F30" s="2">
        <v>0</v>
      </c>
      <c r="G30" s="2">
        <v>0</v>
      </c>
      <c r="H30" s="2">
        <v>5</v>
      </c>
      <c r="I30" s="2">
        <v>0</v>
      </c>
      <c r="J30" s="2">
        <v>6</v>
      </c>
      <c r="K30" s="2">
        <v>5</v>
      </c>
      <c r="L30" s="2">
        <v>5</v>
      </c>
      <c r="M30" s="28">
        <f t="shared" si="0"/>
        <v>21</v>
      </c>
      <c r="N30" s="38" cm="1">
        <f t="array" ref="N30">Tablo1738[[#This Row],[Q1]]/Tablo1939[Q1]*$C$43+G30/Tablo1939[Q2]*$D$43+H30/Tablo1939[Q3]*$E$43+I30/Tablo1939[Q4]*$F$43+J30/Tablo1939[Q5]*$G$43+K30/Tablo1939[Q6]*$H$43+L30/Tablo1939[Q7]*$I$43</f>
        <v>14.833333333333332</v>
      </c>
      <c r="O30" s="38" cm="1">
        <f t="array" ref="O30">Tablo1738[[#This Row],[Q1]]/Tablo1939[Q1]*$C$44+G30/Tablo1939[Q2]*$D$44+H30/Tablo1939[Q3]*$E$44+I30/Tablo1939[Q4]*$F$44+J30/Tablo1939[Q5]*$G$44+K30/Tablo1939[Q6]*$H$44+L30/Tablo1939[Q7]*$I$44</f>
        <v>1.25</v>
      </c>
      <c r="P30" s="38" cm="1">
        <f t="array" ref="P30">Tablo1738[[#This Row],[Q1]]/Tablo1939[Q1]*$C$45+G30/Tablo1939[Q2]*$D$45+H30/Tablo1939[Q3]*$E$45+I30/Tablo1939[Q4]*$F$45+J30/Tablo1939[Q5]*$G$45+K30/Tablo1939[Q6]*$H$45+L30/Tablo1939[Q7]*$I$45</f>
        <v>7.083333333333333</v>
      </c>
      <c r="Q30" s="38" cm="1">
        <f t="array" ref="Q30">Tablo1738[[#This Row],[Q1]]/Tablo1939[Q1]*$C$46+G30/Tablo1939[Q2]*$D$46+H30/Tablo1939[Q3]*$E$46+I30/Tablo1939[Q4]*$F$46+J30/Tablo1939[Q5]*$G$46+K30/Tablo1939[Q6]*$H$46+L30/Tablo1939[Q7]*$I$46</f>
        <v>0</v>
      </c>
      <c r="R30" s="38">
        <f t="shared" si="1"/>
        <v>23.166666666666664</v>
      </c>
      <c r="S30" s="7">
        <f>_xlfn.NORM.DIST(Tablo1738[[#This Row],[TOTAL GRADE]],$N$56,$O$56,FALSE)</f>
        <v>1.4177956179946404E-2</v>
      </c>
      <c r="AA30" s="29"/>
      <c r="AB30" s="29"/>
      <c r="AC30" s="29"/>
      <c r="AD30" s="29"/>
      <c r="AE30" s="45"/>
    </row>
    <row r="31" spans="2:31" x14ac:dyDescent="0.3">
      <c r="B31" s="8">
        <v>27</v>
      </c>
      <c r="C31" s="9">
        <v>30</v>
      </c>
      <c r="D31" s="10" t="s">
        <v>3</v>
      </c>
      <c r="E31" s="10" t="s">
        <v>4</v>
      </c>
      <c r="F31" s="2">
        <v>2</v>
      </c>
      <c r="G31" s="2">
        <v>1</v>
      </c>
      <c r="H31" s="2">
        <v>0</v>
      </c>
      <c r="I31" s="2">
        <v>4</v>
      </c>
      <c r="J31" s="2">
        <v>3</v>
      </c>
      <c r="K31" s="2">
        <v>1</v>
      </c>
      <c r="L31" s="2">
        <v>6</v>
      </c>
      <c r="M31" s="28">
        <f t="shared" si="0"/>
        <v>17</v>
      </c>
      <c r="N31" s="38" cm="1">
        <f t="array" ref="N31">Tablo1738[[#This Row],[Q1]]/Tablo1939[Q1]*$C$43+G31/Tablo1939[Q2]*$D$43+H31/Tablo1939[Q3]*$E$43+I31/Tablo1939[Q4]*$F$43+J31/Tablo1939[Q5]*$G$43+K31/Tablo1939[Q6]*$H$43+L31/Tablo1939[Q7]*$I$43</f>
        <v>13.666666666666668</v>
      </c>
      <c r="O31" s="38" cm="1">
        <f t="array" ref="O31">Tablo1738[[#This Row],[Q1]]/Tablo1939[Q1]*$C$44+G31/Tablo1939[Q2]*$D$44+H31/Tablo1939[Q3]*$E$44+I31/Tablo1939[Q4]*$F$44+J31/Tablo1939[Q5]*$G$44+K31/Tablo1939[Q6]*$H$44+L31/Tablo1939[Q7]*$I$44</f>
        <v>0</v>
      </c>
      <c r="P31" s="38" cm="1">
        <f t="array" ref="P31">Tablo1738[[#This Row],[Q1]]/Tablo1939[Q1]*$C$45+G31/Tablo1939[Q2]*$D$45+H31/Tablo1939[Q3]*$E$45+I31/Tablo1939[Q4]*$F$45+J31/Tablo1939[Q5]*$G$45+K31/Tablo1939[Q6]*$H$45+L31/Tablo1939[Q7]*$I$45</f>
        <v>3.6666666666666665</v>
      </c>
      <c r="Q31" s="38" cm="1">
        <f t="array" ref="Q31">Tablo1738[[#This Row],[Q1]]/Tablo1939[Q1]*$C$46+G31/Tablo1939[Q2]*$D$46+H31/Tablo1939[Q3]*$E$46+I31/Tablo1939[Q4]*$F$46+J31/Tablo1939[Q5]*$G$46+K31/Tablo1939[Q6]*$H$46+L31/Tablo1939[Q7]*$I$46</f>
        <v>4</v>
      </c>
      <c r="R31" s="38">
        <f t="shared" si="1"/>
        <v>21.333333333333336</v>
      </c>
      <c r="S31" s="7">
        <f>_xlfn.NORM.DIST(Tablo1738[[#This Row],[TOTAL GRADE]],$N$56,$O$56,FALSE)</f>
        <v>1.1248820574905113E-2</v>
      </c>
      <c r="AA31" s="29"/>
      <c r="AB31" s="29"/>
      <c r="AC31" s="29"/>
      <c r="AD31" s="29"/>
      <c r="AE31" s="45"/>
    </row>
    <row r="32" spans="2:31" x14ac:dyDescent="0.3">
      <c r="B32" s="13">
        <v>28</v>
      </c>
      <c r="C32" s="9">
        <v>1</v>
      </c>
      <c r="D32" s="10" t="s">
        <v>3</v>
      </c>
      <c r="E32" s="10" t="s">
        <v>4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8">
        <f t="shared" si="0"/>
        <v>0</v>
      </c>
      <c r="N32" s="38" cm="1">
        <f t="array" ref="N32">Tablo1738[[#This Row],[Q1]]/Tablo1939[Q1]*$C$43+G32/Tablo1939[Q2]*$D$43+H32/Tablo1939[Q3]*$E$43+I32/Tablo1939[Q4]*$F$43+J32/Tablo1939[Q5]*$G$43+K32/Tablo1939[Q6]*$H$43+L32/Tablo1939[Q7]*$I$43</f>
        <v>0</v>
      </c>
      <c r="O32" s="38" cm="1">
        <f t="array" ref="O32">Tablo1738[[#This Row],[Q1]]/Tablo1939[Q1]*$C$44+G32/Tablo1939[Q2]*$D$44+H32/Tablo1939[Q3]*$E$44+I32/Tablo1939[Q4]*$F$44+J32/Tablo1939[Q5]*$G$44+K32/Tablo1939[Q6]*$H$44+L32/Tablo1939[Q7]*$I$44</f>
        <v>0</v>
      </c>
      <c r="P32" s="38" cm="1">
        <f t="array" ref="P32">Tablo1738[[#This Row],[Q1]]/Tablo1939[Q1]*$C$45+G32/Tablo1939[Q2]*$D$45+H32/Tablo1939[Q3]*$E$45+I32/Tablo1939[Q4]*$F$45+J32/Tablo1939[Q5]*$G$45+K32/Tablo1939[Q6]*$H$45+L32/Tablo1939[Q7]*$I$45</f>
        <v>0</v>
      </c>
      <c r="Q32" s="38" cm="1">
        <f t="array" ref="Q32">Tablo1738[[#This Row],[Q1]]/Tablo1939[Q1]*$C$46+G32/Tablo1939[Q2]*$D$46+H32/Tablo1939[Q3]*$E$46+I32/Tablo1939[Q4]*$F$46+J32/Tablo1939[Q5]*$G$46+K32/Tablo1939[Q6]*$H$46+L32/Tablo1939[Q7]*$I$46</f>
        <v>0</v>
      </c>
      <c r="R32" s="38">
        <f t="shared" si="1"/>
        <v>0</v>
      </c>
      <c r="S32" s="7">
        <f>_xlfn.NORM.DIST(Tablo1738[[#This Row],[TOTAL GRADE]],$N$56,$O$56,FALSE)</f>
        <v>2.4428421796479677E-3</v>
      </c>
      <c r="AA32" s="9"/>
      <c r="AB32" s="9"/>
      <c r="AC32" s="9"/>
      <c r="AD32" s="9"/>
      <c r="AE32" s="46"/>
    </row>
    <row r="33" spans="2:31" x14ac:dyDescent="0.3">
      <c r="B33" s="8">
        <v>29</v>
      </c>
      <c r="C33" s="9">
        <v>2</v>
      </c>
      <c r="D33" s="10" t="s">
        <v>3</v>
      </c>
      <c r="E33" s="10" t="s">
        <v>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8">
        <f t="shared" si="0"/>
        <v>0</v>
      </c>
      <c r="N33" s="38" cm="1">
        <f t="array" ref="N33">Tablo1738[[#This Row],[Q1]]/Tablo1939[Q1]*$C$43+G33/Tablo1939[Q2]*$D$43+H33/Tablo1939[Q3]*$E$43+I33/Tablo1939[Q4]*$F$43+J33/Tablo1939[Q5]*$G$43+K33/Tablo1939[Q6]*$H$43+L33/Tablo1939[Q7]*$I$43</f>
        <v>0</v>
      </c>
      <c r="O33" s="38" cm="1">
        <f t="array" ref="O33">Tablo1738[[#This Row],[Q1]]/Tablo1939[Q1]*$C$44+G33/Tablo1939[Q2]*$D$44+H33/Tablo1939[Q3]*$E$44+I33/Tablo1939[Q4]*$F$44+J33/Tablo1939[Q5]*$G$44+K33/Tablo1939[Q6]*$H$44+L33/Tablo1939[Q7]*$I$44</f>
        <v>0</v>
      </c>
      <c r="P33" s="38" cm="1">
        <f t="array" ref="P33">Tablo1738[[#This Row],[Q1]]/Tablo1939[Q1]*$C$45+G33/Tablo1939[Q2]*$D$45+H33/Tablo1939[Q3]*$E$45+I33/Tablo1939[Q4]*$F$45+J33/Tablo1939[Q5]*$G$45+K33/Tablo1939[Q6]*$H$45+L33/Tablo1939[Q7]*$I$45</f>
        <v>0</v>
      </c>
      <c r="Q33" s="38" cm="1">
        <f t="array" ref="Q33">Tablo1738[[#This Row],[Q1]]/Tablo1939[Q1]*$C$46+G33/Tablo1939[Q2]*$D$46+H33/Tablo1939[Q3]*$E$46+I33/Tablo1939[Q4]*$F$46+J33/Tablo1939[Q5]*$G$46+K33/Tablo1939[Q6]*$H$46+L33/Tablo1939[Q7]*$I$46</f>
        <v>0</v>
      </c>
      <c r="R33" s="38">
        <f t="shared" si="1"/>
        <v>0</v>
      </c>
      <c r="S33" s="7">
        <f>_xlfn.NORM.DIST(Tablo1738[[#This Row],[TOTAL GRADE]],$N$56,$O$56,FALSE)</f>
        <v>2.4428421796479677E-3</v>
      </c>
      <c r="AA33" s="9"/>
      <c r="AB33" s="9"/>
      <c r="AC33" s="9"/>
      <c r="AD33" s="9"/>
      <c r="AE33" s="46"/>
    </row>
    <row r="34" spans="2:31" x14ac:dyDescent="0.3">
      <c r="B34" s="22">
        <v>30</v>
      </c>
      <c r="C34" s="9">
        <v>3</v>
      </c>
      <c r="D34" s="10" t="s">
        <v>3</v>
      </c>
      <c r="E34" s="10" t="s">
        <v>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8">
        <f t="shared" si="0"/>
        <v>0</v>
      </c>
      <c r="N34" s="38" cm="1">
        <f t="array" ref="N34">Tablo1738[[#This Row],[Q1]]/Tablo1939[Q1]*$C$43+G34/Tablo1939[Q2]*$D$43+H34/Tablo1939[Q3]*$E$43+I34/Tablo1939[Q4]*$F$43+J34/Tablo1939[Q5]*$G$43+K34/Tablo1939[Q6]*$H$43+L34/Tablo1939[Q7]*$I$43</f>
        <v>0</v>
      </c>
      <c r="O34" s="38" cm="1">
        <f t="array" ref="O34">Tablo1738[[#This Row],[Q1]]/Tablo1939[Q1]*$C$44+G34/Tablo1939[Q2]*$D$44+H34/Tablo1939[Q3]*$E$44+I34/Tablo1939[Q4]*$F$44+J34/Tablo1939[Q5]*$G$44+K34/Tablo1939[Q6]*$H$44+L34/Tablo1939[Q7]*$I$44</f>
        <v>0</v>
      </c>
      <c r="P34" s="38" cm="1">
        <f t="array" ref="P34">Tablo1738[[#This Row],[Q1]]/Tablo1939[Q1]*$C$45+G34/Tablo1939[Q2]*$D$45+H34/Tablo1939[Q3]*$E$45+I34/Tablo1939[Q4]*$F$45+J34/Tablo1939[Q5]*$G$45+K34/Tablo1939[Q6]*$H$45+L34/Tablo1939[Q7]*$I$45</f>
        <v>0</v>
      </c>
      <c r="Q34" s="38" cm="1">
        <f t="array" ref="Q34">Tablo1738[[#This Row],[Q1]]/Tablo1939[Q1]*$C$46+G34/Tablo1939[Q2]*$D$46+H34/Tablo1939[Q3]*$E$46+I34/Tablo1939[Q4]*$F$46+J34/Tablo1939[Q5]*$G$46+K34/Tablo1939[Q6]*$H$46+L34/Tablo1939[Q7]*$I$46</f>
        <v>0</v>
      </c>
      <c r="R34" s="38">
        <f t="shared" si="1"/>
        <v>0</v>
      </c>
      <c r="S34" s="7">
        <f>_xlfn.NORM.DIST(Tablo1738[[#This Row],[TOTAL GRADE]],$N$56,$O$56,FALSE)</f>
        <v>2.4428421796479677E-3</v>
      </c>
      <c r="AA34" s="9"/>
      <c r="AB34" s="9"/>
      <c r="AC34" s="9"/>
      <c r="AD34" s="9"/>
      <c r="AE34" s="46"/>
    </row>
    <row r="35" spans="2:31" x14ac:dyDescent="0.3">
      <c r="C35"/>
      <c r="D35"/>
      <c r="E35"/>
      <c r="F35"/>
      <c r="G35"/>
      <c r="H35"/>
      <c r="I35"/>
      <c r="J35"/>
      <c r="K35"/>
      <c r="L35"/>
      <c r="M35" s="9"/>
      <c r="N35" s="9"/>
      <c r="O35" s="9"/>
      <c r="P35" s="9"/>
      <c r="Q35"/>
      <c r="R35"/>
      <c r="S35"/>
      <c r="AA35" s="9"/>
      <c r="AB35" s="9"/>
      <c r="AC35" s="9"/>
      <c r="AD35" s="9"/>
      <c r="AE35" s="46"/>
    </row>
    <row r="36" spans="2:31" x14ac:dyDescent="0.3">
      <c r="B36" s="39" t="s">
        <v>45</v>
      </c>
      <c r="C36" s="39" t="s">
        <v>46</v>
      </c>
      <c r="D36" s="7" t="s">
        <v>70</v>
      </c>
      <c r="E36" s="7" t="s">
        <v>71</v>
      </c>
      <c r="F36"/>
      <c r="G36" t="s">
        <v>72</v>
      </c>
      <c r="H36" s="37" t="s">
        <v>56</v>
      </c>
      <c r="I36" s="37" t="s">
        <v>57</v>
      </c>
      <c r="J36" s="37" t="s">
        <v>58</v>
      </c>
      <c r="K36" s="37" t="s">
        <v>59</v>
      </c>
      <c r="L36" s="37" t="s">
        <v>60</v>
      </c>
      <c r="M36" s="37" t="s">
        <v>61</v>
      </c>
      <c r="N36" s="37" t="s">
        <v>62</v>
      </c>
      <c r="O36" s="26" t="s">
        <v>73</v>
      </c>
      <c r="P36" s="9"/>
      <c r="Q36"/>
      <c r="R36"/>
      <c r="S36"/>
      <c r="AA36" s="9"/>
      <c r="AB36" s="9"/>
      <c r="AC36" s="9"/>
      <c r="AD36" s="9"/>
      <c r="AE36" s="46"/>
    </row>
    <row r="37" spans="2:31" x14ac:dyDescent="0.3">
      <c r="B37" s="28">
        <v>1</v>
      </c>
      <c r="C37" s="2" t="s">
        <v>48</v>
      </c>
      <c r="D37">
        <f>[1]MAIN!Q35</f>
        <v>70</v>
      </c>
      <c r="E37" s="23">
        <f>Tablo436[[#This Row],[DERS ÇIKTISI KATSAYISI]]-J43</f>
        <v>0</v>
      </c>
      <c r="F37"/>
      <c r="G37" s="7" t="s">
        <v>74</v>
      </c>
      <c r="H37" s="2">
        <v>10</v>
      </c>
      <c r="I37" s="2">
        <v>5</v>
      </c>
      <c r="J37" s="2">
        <v>20</v>
      </c>
      <c r="K37" s="2">
        <v>20</v>
      </c>
      <c r="L37" s="2">
        <v>15</v>
      </c>
      <c r="M37" s="2">
        <v>15</v>
      </c>
      <c r="N37" s="2">
        <v>15</v>
      </c>
      <c r="O37" s="2">
        <f>SUM(H37:N37)</f>
        <v>100</v>
      </c>
      <c r="P37" s="9"/>
      <c r="Q37"/>
      <c r="R37"/>
      <c r="S37"/>
      <c r="AA37" s="9"/>
      <c r="AB37" s="9"/>
      <c r="AC37" s="9"/>
      <c r="AD37" s="9"/>
      <c r="AE37" s="46"/>
    </row>
    <row r="38" spans="2:31" x14ac:dyDescent="0.3">
      <c r="B38" s="28">
        <v>2</v>
      </c>
      <c r="C38" s="2" t="s">
        <v>49</v>
      </c>
      <c r="D38">
        <v>5</v>
      </c>
      <c r="E38" s="23">
        <f>Tablo436[[#This Row],[DERS ÇIKTISI KATSAYISI]]-J44</f>
        <v>0</v>
      </c>
      <c r="F38"/>
      <c r="G38"/>
      <c r="H38"/>
      <c r="I38"/>
      <c r="J38"/>
      <c r="K38"/>
      <c r="L38"/>
      <c r="M38" s="9"/>
      <c r="N38" s="9"/>
      <c r="O38" s="9"/>
      <c r="P38" s="9"/>
      <c r="Q38"/>
      <c r="R38"/>
      <c r="S38"/>
      <c r="AA38" s="9"/>
      <c r="AB38" s="9"/>
      <c r="AC38" s="9"/>
      <c r="AD38" s="9"/>
      <c r="AE38" s="46"/>
    </row>
    <row r="39" spans="2:31" x14ac:dyDescent="0.3">
      <c r="B39" s="28">
        <v>3</v>
      </c>
      <c r="C39" s="2" t="s">
        <v>50</v>
      </c>
      <c r="D39">
        <f>[1]MAIN!Q37</f>
        <v>40</v>
      </c>
      <c r="E39" s="23">
        <f>Tablo436[[#This Row],[DERS ÇIKTISI KATSAYISI]]-J45</f>
        <v>0</v>
      </c>
      <c r="F39"/>
      <c r="G39"/>
      <c r="H39"/>
      <c r="I39"/>
      <c r="J39"/>
      <c r="K39"/>
      <c r="L39"/>
      <c r="M39" s="9"/>
      <c r="N39" s="9"/>
      <c r="O39" s="9"/>
      <c r="P39" s="9"/>
      <c r="Q39"/>
      <c r="R39"/>
      <c r="S39"/>
      <c r="AA39" s="9"/>
      <c r="AB39" s="9"/>
      <c r="AC39" s="9"/>
      <c r="AD39" s="9"/>
      <c r="AE39" s="46"/>
    </row>
    <row r="40" spans="2:31" x14ac:dyDescent="0.3">
      <c r="B40" s="2">
        <v>4</v>
      </c>
      <c r="C40" s="2" t="s">
        <v>51</v>
      </c>
      <c r="D40">
        <f>[1]MAIN!Q38</f>
        <v>20</v>
      </c>
      <c r="E40" s="23">
        <f>Tablo436[[#This Row],[DERS ÇIKTISI KATSAYISI]]-J46</f>
        <v>0</v>
      </c>
      <c r="F40"/>
      <c r="G40"/>
      <c r="H40"/>
      <c r="I40"/>
      <c r="J40"/>
      <c r="K40"/>
      <c r="L40"/>
      <c r="M40" s="9"/>
      <c r="N40" s="9"/>
      <c r="O40" s="9"/>
      <c r="P40" s="9"/>
      <c r="Q40"/>
      <c r="R40"/>
      <c r="S40"/>
      <c r="AA40" s="9"/>
      <c r="AB40" s="9"/>
      <c r="AC40" s="9"/>
      <c r="AD40" s="9"/>
      <c r="AE40" s="46"/>
    </row>
    <row r="41" spans="2:31" x14ac:dyDescent="0.3">
      <c r="C41"/>
      <c r="D41"/>
      <c r="E41"/>
      <c r="F41"/>
      <c r="G41"/>
      <c r="H41"/>
      <c r="I41"/>
      <c r="J41"/>
      <c r="K41"/>
      <c r="L41"/>
      <c r="M41" s="9"/>
      <c r="N41" s="9"/>
      <c r="O41" s="9"/>
      <c r="P41" s="9"/>
      <c r="Q41"/>
      <c r="R41"/>
      <c r="S41"/>
      <c r="AA41" s="9"/>
      <c r="AB41" s="9"/>
      <c r="AC41" s="9"/>
      <c r="AD41" s="9"/>
      <c r="AE41" s="46"/>
    </row>
    <row r="42" spans="2:31" x14ac:dyDescent="0.3">
      <c r="B42" s="7" t="s">
        <v>75</v>
      </c>
      <c r="C42" s="37" t="s">
        <v>56</v>
      </c>
      <c r="D42" s="37" t="s">
        <v>57</v>
      </c>
      <c r="E42" s="37" t="s">
        <v>58</v>
      </c>
      <c r="F42" s="37" t="s">
        <v>59</v>
      </c>
      <c r="G42" s="37" t="s">
        <v>60</v>
      </c>
      <c r="H42" s="37" t="s">
        <v>61</v>
      </c>
      <c r="I42" s="37" t="s">
        <v>62</v>
      </c>
      <c r="J42" s="5" t="s">
        <v>76</v>
      </c>
      <c r="K42" s="26" t="s">
        <v>77</v>
      </c>
      <c r="L42" s="7" t="s">
        <v>78</v>
      </c>
      <c r="M42" s="9"/>
      <c r="N42" s="9"/>
      <c r="O42" s="9"/>
      <c r="P42" s="9"/>
      <c r="Q42"/>
      <c r="R42"/>
      <c r="S42"/>
      <c r="AA42" s="9"/>
      <c r="AB42" s="9"/>
      <c r="AC42" s="9"/>
      <c r="AD42" s="9"/>
      <c r="AE42" s="46"/>
    </row>
    <row r="43" spans="2:31" x14ac:dyDescent="0.3">
      <c r="B43" s="21">
        <v>1</v>
      </c>
      <c r="C43" s="38">
        <v>0</v>
      </c>
      <c r="D43" s="38">
        <v>5</v>
      </c>
      <c r="E43" s="38">
        <v>10</v>
      </c>
      <c r="F43" s="38">
        <v>20</v>
      </c>
      <c r="G43" s="38">
        <v>10</v>
      </c>
      <c r="H43" s="38">
        <v>10</v>
      </c>
      <c r="I43" s="38">
        <v>15</v>
      </c>
      <c r="J43" s="29">
        <f>SUM(Tablo1637[[#This Row],[Q1]:[Q7]])</f>
        <v>70</v>
      </c>
      <c r="K43" s="40">
        <f>IF($J43=0,"0",SUM(Tablo1738[DÇ1])/(30*D37))</f>
        <v>0.4028174603174603</v>
      </c>
      <c r="L43" s="41">
        <f>$K43*$D37</f>
        <v>28.197222222222219</v>
      </c>
      <c r="M43" s="9"/>
      <c r="N43" s="9"/>
      <c r="O43" s="9"/>
      <c r="P43" s="9"/>
      <c r="Q43"/>
      <c r="R43"/>
      <c r="S43"/>
      <c r="AA43" s="9"/>
      <c r="AB43" s="9"/>
      <c r="AC43" s="9"/>
      <c r="AD43" s="9"/>
      <c r="AE43" s="46"/>
    </row>
    <row r="44" spans="2:31" x14ac:dyDescent="0.3">
      <c r="B44" s="9">
        <v>2</v>
      </c>
      <c r="C44" s="29">
        <v>0</v>
      </c>
      <c r="D44" s="29">
        <v>0</v>
      </c>
      <c r="E44" s="29">
        <v>5</v>
      </c>
      <c r="F44" s="29">
        <v>0</v>
      </c>
      <c r="G44" s="29">
        <v>0</v>
      </c>
      <c r="H44" s="29">
        <v>0</v>
      </c>
      <c r="I44" s="29">
        <v>0</v>
      </c>
      <c r="J44" s="29">
        <f>SUM(Tablo1637[[#This Row],[Q1]:[Q7]])</f>
        <v>5</v>
      </c>
      <c r="K44" s="40">
        <f>IF($J44=0,"0",SUM(Tablo1738[DÇ2])/(30*D38))</f>
        <v>0.40916666666666668</v>
      </c>
      <c r="L44" s="29">
        <f>$K44*$D38</f>
        <v>2.0458333333333334</v>
      </c>
      <c r="M44" s="9"/>
      <c r="N44" s="9"/>
      <c r="O44" s="9"/>
      <c r="P44" s="9"/>
      <c r="Q44"/>
      <c r="R44"/>
      <c r="S44"/>
      <c r="AA44" s="9"/>
      <c r="AB44" s="9"/>
      <c r="AC44" s="9"/>
      <c r="AD44" s="9"/>
      <c r="AE44" s="46"/>
    </row>
    <row r="45" spans="2:31" x14ac:dyDescent="0.3">
      <c r="B45" s="9">
        <v>3</v>
      </c>
      <c r="C45" s="29">
        <v>0</v>
      </c>
      <c r="D45" s="29">
        <v>5</v>
      </c>
      <c r="E45" s="29">
        <v>15</v>
      </c>
      <c r="F45" s="29">
        <v>10</v>
      </c>
      <c r="G45" s="29">
        <v>0</v>
      </c>
      <c r="H45" s="29">
        <v>10</v>
      </c>
      <c r="I45" s="29">
        <v>0</v>
      </c>
      <c r="J45" s="29">
        <f>SUM(Tablo1637[[#This Row],[Q1]:[Q7]])</f>
        <v>40</v>
      </c>
      <c r="K45" s="40">
        <f>IF($J45=0,"0",SUM(Tablo1738[DÇ3])/(30*D39))</f>
        <v>0.39246527777777773</v>
      </c>
      <c r="L45" s="29">
        <f>$K45*$D39</f>
        <v>15.698611111111109</v>
      </c>
      <c r="M45" s="9"/>
      <c r="N45" s="9"/>
      <c r="O45" s="9"/>
      <c r="P45" s="9"/>
      <c r="Q45"/>
      <c r="R45"/>
      <c r="S45"/>
      <c r="AA45" s="9"/>
      <c r="AB45" s="9"/>
      <c r="AC45" s="9"/>
      <c r="AD45" s="9"/>
      <c r="AE45" s="46"/>
    </row>
    <row r="46" spans="2:31" x14ac:dyDescent="0.3">
      <c r="B46" s="9">
        <v>4</v>
      </c>
      <c r="C46" s="29">
        <v>20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f>SUM(Tablo1637[[#This Row],[Q1]:[Q7]])</f>
        <v>20</v>
      </c>
      <c r="K46" s="40">
        <f>IF($J46=0,"0",SUM(Tablo1738[DÇ4])/(30*D40))</f>
        <v>0.17666666666666667</v>
      </c>
      <c r="L46" s="29">
        <f>$K46*$D40</f>
        <v>3.5333333333333332</v>
      </c>
      <c r="M46" s="9"/>
      <c r="N46" s="9"/>
      <c r="O46" s="9"/>
      <c r="P46" s="9"/>
      <c r="Q46"/>
      <c r="R46"/>
      <c r="S46"/>
      <c r="AA46" s="9"/>
      <c r="AB46" s="9"/>
      <c r="AC46" s="9"/>
      <c r="AD46" s="9"/>
      <c r="AE46" s="46"/>
    </row>
    <row r="47" spans="2:31" x14ac:dyDescent="0.3">
      <c r="B47" s="42" t="s">
        <v>79</v>
      </c>
      <c r="C47" s="42"/>
      <c r="D47" s="42"/>
      <c r="E47" s="42"/>
      <c r="F47" s="42"/>
      <c r="G47" s="42"/>
      <c r="H47" s="42"/>
      <c r="I47" s="42"/>
      <c r="J47" s="42"/>
      <c r="K47" s="42"/>
      <c r="L47"/>
      <c r="M47" s="9"/>
      <c r="N47" s="9"/>
      <c r="O47" s="9"/>
      <c r="P47" s="9"/>
      <c r="Q47"/>
      <c r="R47"/>
      <c r="S47"/>
      <c r="AA47" s="9"/>
      <c r="AB47" s="9"/>
      <c r="AC47" s="9"/>
      <c r="AD47" s="9"/>
      <c r="AE47" s="46"/>
    </row>
    <row r="48" spans="2:31" x14ac:dyDescent="0.3">
      <c r="C48"/>
      <c r="D48"/>
      <c r="G48" s="2"/>
      <c r="K48"/>
      <c r="L48" s="2"/>
      <c r="M48" s="9"/>
      <c r="N48" s="9"/>
      <c r="O48" s="9"/>
      <c r="P48" s="9"/>
      <c r="Q48"/>
      <c r="R48"/>
      <c r="S48"/>
      <c r="AA48" s="9"/>
      <c r="AB48" s="9"/>
      <c r="AC48" s="9"/>
      <c r="AD48" s="9"/>
      <c r="AE48" s="46"/>
    </row>
    <row r="49" spans="2:31" x14ac:dyDescent="0.3">
      <c r="C49"/>
      <c r="D49"/>
      <c r="G49" s="2"/>
      <c r="K49"/>
      <c r="L49" s="2"/>
      <c r="M49" s="9"/>
      <c r="N49" s="9"/>
      <c r="O49" s="9"/>
      <c r="P49" s="9"/>
      <c r="Q49"/>
      <c r="R49"/>
      <c r="S49"/>
      <c r="AA49" s="9"/>
      <c r="AB49" s="9"/>
      <c r="AC49" s="9"/>
      <c r="AD49" s="9"/>
      <c r="AE49" s="46"/>
    </row>
    <row r="50" spans="2:31" x14ac:dyDescent="0.3">
      <c r="C50"/>
      <c r="D50"/>
      <c r="G50" s="2"/>
      <c r="K50"/>
      <c r="L50" s="2"/>
      <c r="M50" s="9"/>
      <c r="N50" s="9"/>
      <c r="O50" s="9"/>
      <c r="P50" s="9"/>
      <c r="Q50"/>
      <c r="R50"/>
      <c r="S50"/>
      <c r="AA50" s="9"/>
      <c r="AB50" s="9"/>
      <c r="AC50" s="9"/>
      <c r="AD50" s="9"/>
      <c r="AE50" s="46"/>
    </row>
    <row r="51" spans="2:31" x14ac:dyDescent="0.3">
      <c r="B51" s="28"/>
      <c r="C51" s="28"/>
      <c r="D51"/>
      <c r="G51" s="2"/>
      <c r="L51" s="2"/>
      <c r="M51" s="9"/>
      <c r="N51" s="9"/>
      <c r="O51" s="9"/>
      <c r="P51" s="9"/>
      <c r="Q51"/>
      <c r="R51"/>
      <c r="S51"/>
      <c r="AA51" s="9"/>
      <c r="AB51" s="9"/>
      <c r="AC51" s="9"/>
      <c r="AD51" s="9"/>
      <c r="AE51" s="46"/>
    </row>
    <row r="52" spans="2:31" x14ac:dyDescent="0.3">
      <c r="B52" s="28"/>
      <c r="C52" s="28"/>
      <c r="D52"/>
      <c r="G52" s="2"/>
      <c r="L52" s="2"/>
      <c r="M52" s="9"/>
      <c r="N52" s="9"/>
      <c r="O52" s="9"/>
      <c r="P52" s="9"/>
      <c r="Q52"/>
      <c r="R52"/>
      <c r="S52"/>
      <c r="AA52" s="9"/>
      <c r="AB52" s="9"/>
      <c r="AC52" s="9"/>
      <c r="AD52" s="9"/>
      <c r="AE52" s="46"/>
    </row>
    <row r="53" spans="2:31" x14ac:dyDescent="0.3">
      <c r="B53" s="28"/>
      <c r="C53" s="28"/>
      <c r="D53"/>
      <c r="G53" s="2"/>
      <c r="L53" s="2"/>
      <c r="M53" s="9"/>
      <c r="N53" s="9"/>
      <c r="O53" s="9"/>
      <c r="P53" s="9"/>
      <c r="Q53"/>
      <c r="R53"/>
      <c r="S53"/>
      <c r="AA53" s="9"/>
      <c r="AB53" s="9"/>
      <c r="AC53" s="9"/>
      <c r="AD53" s="9"/>
      <c r="AE53" s="46"/>
    </row>
    <row r="54" spans="2:31" x14ac:dyDescent="0.3">
      <c r="B54" s="28"/>
      <c r="C54" s="28"/>
      <c r="D54"/>
      <c r="G54" s="2"/>
      <c r="L54" s="2"/>
      <c r="M54" s="9"/>
      <c r="N54" s="9"/>
      <c r="O54" s="9"/>
      <c r="P54" s="9"/>
      <c r="Q54"/>
      <c r="R54"/>
      <c r="S54"/>
      <c r="AA54" s="9"/>
      <c r="AB54" s="9"/>
      <c r="AC54" s="9"/>
      <c r="AD54" s="9"/>
      <c r="AE54" s="46"/>
    </row>
    <row r="55" spans="2:31" x14ac:dyDescent="0.3">
      <c r="B55" s="28"/>
      <c r="C55" s="28"/>
      <c r="D55"/>
      <c r="G55" s="2"/>
      <c r="L55" s="2"/>
      <c r="M55" s="9"/>
      <c r="N55" s="21" t="s">
        <v>37</v>
      </c>
      <c r="O55" s="21" t="s">
        <v>38</v>
      </c>
      <c r="P55" s="9"/>
      <c r="Q55"/>
      <c r="R55"/>
      <c r="S55"/>
      <c r="AA55" s="9"/>
      <c r="AB55" s="9"/>
      <c r="AC55" s="9"/>
      <c r="AD55" s="9"/>
      <c r="AE55" s="46"/>
    </row>
    <row r="56" spans="2:31" x14ac:dyDescent="0.3">
      <c r="B56" s="28"/>
      <c r="C56" s="28"/>
      <c r="D56"/>
      <c r="G56" s="2"/>
      <c r="L56" s="2"/>
      <c r="M56" s="9"/>
      <c r="N56" s="9">
        <f>AVERAGE(Tablo1738[TOTAL GRADE])</f>
        <v>38</v>
      </c>
      <c r="O56" s="9">
        <f>_xlfn.STDEV.P(Tablo1738[TOTAL GRADE])</f>
        <v>18.121810064118872</v>
      </c>
      <c r="P56" s="9"/>
      <c r="Q56"/>
      <c r="R56"/>
      <c r="S56"/>
      <c r="AA56" s="9"/>
      <c r="AB56" s="9"/>
      <c r="AC56" s="9"/>
      <c r="AD56" s="9"/>
      <c r="AE56" s="46"/>
    </row>
    <row r="57" spans="2:31" x14ac:dyDescent="0.3">
      <c r="B57" s="28"/>
      <c r="C57" s="28"/>
      <c r="D57"/>
      <c r="G57" s="2"/>
      <c r="L57" s="2"/>
      <c r="M57" s="9"/>
      <c r="N57" s="9"/>
      <c r="O57" s="9"/>
      <c r="P57" s="9"/>
      <c r="Q57"/>
      <c r="R57"/>
      <c r="S57"/>
      <c r="AA57" s="9"/>
      <c r="AB57" s="9"/>
      <c r="AC57" s="9"/>
      <c r="AD57" s="9"/>
      <c r="AE57" s="46"/>
    </row>
    <row r="58" spans="2:31" x14ac:dyDescent="0.3">
      <c r="B58" s="28"/>
      <c r="C58" s="28"/>
      <c r="D58"/>
      <c r="G58" s="2"/>
      <c r="L58" s="2"/>
      <c r="M58" s="9"/>
      <c r="N58" s="9"/>
      <c r="O58" s="9"/>
      <c r="P58" s="9"/>
      <c r="Q58"/>
      <c r="R58"/>
      <c r="S58"/>
      <c r="AA58" s="9"/>
      <c r="AB58" s="9"/>
      <c r="AC58" s="9"/>
      <c r="AD58" s="9"/>
      <c r="AE58" s="46"/>
    </row>
    <row r="59" spans="2:31" x14ac:dyDescent="0.3">
      <c r="B59" s="28"/>
      <c r="C59" s="28"/>
      <c r="D59"/>
      <c r="G59" s="2"/>
      <c r="L59" s="2"/>
      <c r="M59" s="9"/>
      <c r="N59" s="9"/>
      <c r="O59" s="9"/>
      <c r="P59" s="9"/>
      <c r="Q59"/>
      <c r="R59"/>
      <c r="S59"/>
      <c r="AA59" s="9"/>
      <c r="AB59" s="9"/>
      <c r="AC59" s="9"/>
      <c r="AD59" s="9"/>
      <c r="AE59" s="46"/>
    </row>
    <row r="60" spans="2:31" x14ac:dyDescent="0.3">
      <c r="B60" s="28"/>
      <c r="C60" s="28"/>
      <c r="D60"/>
      <c r="G60" s="2"/>
      <c r="L60" s="2"/>
      <c r="M60" s="9"/>
      <c r="N60" s="9"/>
      <c r="O60" s="9"/>
      <c r="P60" s="9"/>
      <c r="Q60"/>
      <c r="R60"/>
      <c r="S60"/>
      <c r="AA60" s="9"/>
      <c r="AB60" s="9"/>
      <c r="AC60" s="9"/>
      <c r="AD60" s="9"/>
      <c r="AE60" s="46"/>
    </row>
    <row r="61" spans="2:31" x14ac:dyDescent="0.3">
      <c r="B61" s="28"/>
      <c r="C61" s="28"/>
      <c r="D61"/>
      <c r="G61" s="2"/>
      <c r="L61" s="2"/>
      <c r="M61" s="9"/>
      <c r="N61" s="9"/>
      <c r="O61" s="9"/>
      <c r="P61" s="9"/>
      <c r="Q61"/>
      <c r="R61"/>
      <c r="S61"/>
      <c r="AA61" s="9"/>
      <c r="AB61" s="9"/>
      <c r="AC61" s="9"/>
      <c r="AD61" s="9"/>
      <c r="AE61" s="46"/>
    </row>
    <row r="62" spans="2:31" x14ac:dyDescent="0.3">
      <c r="B62" s="28"/>
      <c r="C62" s="28"/>
      <c r="D62"/>
      <c r="G62" s="2"/>
      <c r="L62" s="2"/>
      <c r="M62" s="9"/>
      <c r="N62" s="9"/>
      <c r="O62" s="9"/>
      <c r="P62" s="9"/>
      <c r="Q62"/>
      <c r="R62"/>
      <c r="S62"/>
      <c r="AA62" s="9"/>
      <c r="AB62" s="9"/>
      <c r="AC62" s="9"/>
      <c r="AD62" s="9"/>
      <c r="AE62" s="46"/>
    </row>
    <row r="63" spans="2:31" x14ac:dyDescent="0.3">
      <c r="B63" s="28"/>
      <c r="C63" s="28"/>
      <c r="D63"/>
      <c r="G63" s="2"/>
      <c r="L63" s="2"/>
      <c r="M63" s="9"/>
      <c r="N63" s="9"/>
      <c r="O63" s="9"/>
      <c r="P63" s="9"/>
      <c r="Q63"/>
      <c r="R63"/>
      <c r="S63"/>
      <c r="AA63" s="9"/>
      <c r="AB63" s="9"/>
      <c r="AC63" s="9"/>
      <c r="AD63" s="9"/>
      <c r="AE63" s="46"/>
    </row>
    <row r="64" spans="2:31" x14ac:dyDescent="0.3">
      <c r="B64" s="28"/>
      <c r="C64" s="28"/>
      <c r="D64"/>
      <c r="G64" s="2"/>
      <c r="L64" s="2"/>
      <c r="M64" s="9"/>
      <c r="N64" s="9"/>
      <c r="O64" s="9"/>
      <c r="P64" s="9"/>
      <c r="Q64"/>
      <c r="R64"/>
      <c r="S64"/>
      <c r="AA64" s="9"/>
      <c r="AB64" s="9"/>
      <c r="AC64" s="9"/>
      <c r="AD64" s="9"/>
      <c r="AE64" s="46"/>
    </row>
    <row r="65" spans="2:31" x14ac:dyDescent="0.3">
      <c r="B65" s="28"/>
      <c r="C65" s="28"/>
      <c r="D65"/>
      <c r="G65" s="2"/>
      <c r="L65" s="2"/>
      <c r="M65" s="9"/>
      <c r="N65" s="9"/>
      <c r="O65" s="9"/>
      <c r="P65" s="9"/>
      <c r="Q65"/>
      <c r="R65"/>
      <c r="S65"/>
      <c r="AA65" s="9"/>
      <c r="AB65" s="9"/>
      <c r="AC65" s="9"/>
      <c r="AD65" s="9"/>
      <c r="AE65" s="46"/>
    </row>
    <row r="66" spans="2:31" x14ac:dyDescent="0.3">
      <c r="B66" s="28"/>
      <c r="C66" s="28"/>
      <c r="D66"/>
      <c r="G66" s="2"/>
      <c r="L66" s="2"/>
      <c r="M66" s="9"/>
      <c r="N66" s="9"/>
      <c r="O66" s="9"/>
      <c r="P66" s="9"/>
      <c r="Q66"/>
      <c r="R66"/>
      <c r="S66"/>
      <c r="AA66" s="9"/>
      <c r="AB66" s="9"/>
      <c r="AC66" s="9"/>
      <c r="AD66" s="9"/>
      <c r="AE66" s="46"/>
    </row>
    <row r="67" spans="2:31" x14ac:dyDescent="0.3">
      <c r="B67" s="28"/>
      <c r="C67" s="28"/>
      <c r="D67"/>
      <c r="G67" s="2"/>
      <c r="L67" s="2"/>
      <c r="M67" s="9"/>
      <c r="N67" s="9"/>
      <c r="O67" s="9"/>
      <c r="P67" s="9"/>
      <c r="Q67"/>
      <c r="R67"/>
      <c r="S67"/>
      <c r="AA67" s="9"/>
      <c r="AB67" s="9"/>
      <c r="AC67" s="9"/>
      <c r="AD67" s="9"/>
      <c r="AE67" s="46"/>
    </row>
    <row r="68" spans="2:31" x14ac:dyDescent="0.3">
      <c r="B68" s="28"/>
      <c r="C68" s="28"/>
      <c r="D68"/>
      <c r="G68" s="2"/>
      <c r="L68" s="2"/>
      <c r="M68" s="9"/>
      <c r="N68" s="9"/>
      <c r="O68" s="9"/>
      <c r="P68" s="9"/>
      <c r="Q68"/>
      <c r="R68"/>
      <c r="S68"/>
      <c r="AA68" s="9"/>
      <c r="AB68" s="9"/>
      <c r="AC68" s="9"/>
      <c r="AD68" s="9"/>
      <c r="AE68" s="46"/>
    </row>
    <row r="69" spans="2:31" x14ac:dyDescent="0.3">
      <c r="B69" s="28"/>
      <c r="G69" s="2"/>
      <c r="L69" s="2"/>
      <c r="M69" s="2"/>
      <c r="N69" s="2"/>
      <c r="O69" s="2"/>
      <c r="P69" s="2"/>
      <c r="Q69" s="2"/>
      <c r="R69" s="2"/>
      <c r="S69" s="2"/>
      <c r="T69" s="2"/>
      <c r="U69" s="9"/>
      <c r="V69" s="9"/>
      <c r="W69" s="9"/>
      <c r="X69" s="9"/>
      <c r="Y69" s="9"/>
      <c r="Z69" s="9"/>
      <c r="AA69" s="9"/>
      <c r="AB69" s="9"/>
      <c r="AC69" s="9"/>
      <c r="AD69" s="9"/>
      <c r="AE69" s="46"/>
    </row>
    <row r="70" spans="2:31" x14ac:dyDescent="0.3">
      <c r="B70" s="28"/>
      <c r="G70" s="2"/>
      <c r="L70" s="2"/>
      <c r="M70" s="2"/>
      <c r="N70" s="2"/>
      <c r="O70" s="2"/>
      <c r="P70" s="2"/>
      <c r="Q70" s="2"/>
      <c r="R70" s="2"/>
      <c r="S70" s="2"/>
      <c r="T70" s="2"/>
      <c r="U70" s="9"/>
      <c r="V70" s="9"/>
      <c r="W70" s="9"/>
      <c r="X70" s="9"/>
      <c r="Y70" s="9"/>
      <c r="Z70" s="9"/>
      <c r="AA70" s="9"/>
      <c r="AB70" s="9"/>
      <c r="AC70" s="9"/>
      <c r="AD70" s="9"/>
      <c r="AE70" s="46"/>
    </row>
    <row r="71" spans="2:31" x14ac:dyDescent="0.3">
      <c r="B71" s="28"/>
      <c r="G71" s="2"/>
      <c r="L71" s="2"/>
      <c r="M71" s="2"/>
      <c r="N71" s="2"/>
      <c r="O71" s="2"/>
      <c r="P71" s="2"/>
      <c r="Q71" s="2"/>
      <c r="R71" s="2"/>
      <c r="S71" s="2"/>
      <c r="T71" s="2"/>
      <c r="U71" s="9"/>
      <c r="V71" s="9"/>
      <c r="W71" s="9"/>
      <c r="X71" s="9"/>
      <c r="Y71" s="9"/>
      <c r="Z71" s="9"/>
      <c r="AA71" s="9"/>
      <c r="AB71" s="9"/>
      <c r="AC71" s="9"/>
      <c r="AD71" s="9"/>
      <c r="AE71" s="46"/>
    </row>
    <row r="72" spans="2:31" x14ac:dyDescent="0.3">
      <c r="B72" s="28"/>
      <c r="G72" s="2"/>
      <c r="L72" s="2"/>
      <c r="M72" s="2"/>
      <c r="N72" s="2"/>
      <c r="O72" s="2"/>
      <c r="P72" s="2"/>
      <c r="Q72" s="2"/>
      <c r="R72" s="2"/>
      <c r="S72" s="2"/>
      <c r="T72" s="2"/>
      <c r="U72" s="9"/>
      <c r="V72" s="9"/>
      <c r="W72" s="9"/>
      <c r="X72" s="9"/>
      <c r="Y72" s="9"/>
      <c r="Z72" s="9"/>
      <c r="AA72" s="9"/>
      <c r="AB72" s="9"/>
      <c r="AC72" s="9"/>
      <c r="AD72" s="9"/>
      <c r="AE72" s="46"/>
    </row>
    <row r="73" spans="2:31" x14ac:dyDescent="0.3">
      <c r="B73" s="28"/>
      <c r="G73" s="2"/>
      <c r="L73" s="2"/>
      <c r="M73" s="2"/>
      <c r="N73" s="2"/>
      <c r="O73" s="2"/>
      <c r="P73" s="2"/>
      <c r="Q73" s="2"/>
      <c r="R73" s="2"/>
      <c r="S73" s="2"/>
      <c r="T73" s="2"/>
      <c r="U73" s="9"/>
      <c r="V73" s="9"/>
      <c r="W73" s="9"/>
      <c r="X73" s="9"/>
      <c r="Y73" s="9"/>
      <c r="Z73" s="9"/>
      <c r="AA73" s="9"/>
      <c r="AB73" s="9"/>
      <c r="AC73" s="9"/>
      <c r="AD73" s="9"/>
      <c r="AE73" s="46"/>
    </row>
    <row r="74" spans="2:31" x14ac:dyDescent="0.3">
      <c r="B74" s="28"/>
      <c r="G74" s="2"/>
      <c r="L74" s="2"/>
      <c r="M74" s="2"/>
      <c r="N74" s="2"/>
      <c r="O74" s="2"/>
      <c r="P74" s="2"/>
      <c r="Q74" s="2"/>
      <c r="R74" s="2"/>
      <c r="S74" s="2"/>
      <c r="T74" s="2"/>
      <c r="U74" s="9"/>
      <c r="V74" s="9"/>
      <c r="W74" s="9"/>
      <c r="X74" s="9"/>
      <c r="Y74" s="9"/>
      <c r="Z74" s="9"/>
      <c r="AA74" s="9"/>
      <c r="AB74" s="9"/>
      <c r="AC74" s="9"/>
      <c r="AD74" s="9"/>
      <c r="AE74" s="46"/>
    </row>
    <row r="75" spans="2:31" x14ac:dyDescent="0.3">
      <c r="B75" s="28"/>
      <c r="G75" s="2"/>
      <c r="L75" s="2"/>
      <c r="M75" s="2"/>
      <c r="N75" s="2"/>
      <c r="O75" s="2"/>
      <c r="P75" s="2"/>
      <c r="Q75" s="2"/>
      <c r="R75" s="2"/>
      <c r="S75" s="2"/>
      <c r="T75" s="2"/>
      <c r="U75" s="9"/>
      <c r="V75" s="9"/>
      <c r="W75" s="9"/>
      <c r="X75" s="9"/>
      <c r="Y75" s="9"/>
      <c r="Z75" s="9"/>
      <c r="AA75" s="9"/>
      <c r="AB75" s="9"/>
      <c r="AC75" s="9"/>
      <c r="AD75" s="9"/>
      <c r="AE75" s="46"/>
    </row>
    <row r="76" spans="2:31" x14ac:dyDescent="0.3">
      <c r="B76" s="28"/>
      <c r="G76" s="2"/>
      <c r="L76" s="2"/>
      <c r="M76" s="2"/>
      <c r="N76" s="2"/>
      <c r="O76" s="2"/>
      <c r="P76" s="2"/>
      <c r="Q76" s="2"/>
      <c r="R76" s="2"/>
      <c r="S76" s="2"/>
      <c r="T76" s="2"/>
      <c r="U76" s="9"/>
      <c r="V76" s="9"/>
      <c r="W76" s="9"/>
      <c r="X76" s="9"/>
      <c r="Y76" s="9"/>
      <c r="Z76" s="9"/>
      <c r="AA76" s="9"/>
      <c r="AB76" s="9"/>
      <c r="AC76" s="9"/>
      <c r="AD76" s="9"/>
      <c r="AE76" s="46"/>
    </row>
    <row r="77" spans="2:31" x14ac:dyDescent="0.3">
      <c r="B77" s="28"/>
      <c r="G77" s="2"/>
      <c r="L77" s="2"/>
      <c r="M77" s="2"/>
      <c r="N77" s="2"/>
      <c r="O77" s="2"/>
      <c r="P77" s="2"/>
      <c r="Q77" s="2"/>
      <c r="R77" s="2"/>
      <c r="S77" s="2"/>
      <c r="T77" s="2"/>
      <c r="U77" s="9"/>
      <c r="V77" s="9"/>
      <c r="W77" s="9"/>
      <c r="X77" s="9"/>
      <c r="Y77" s="9"/>
      <c r="Z77" s="9"/>
      <c r="AA77" s="9"/>
      <c r="AB77" s="9"/>
      <c r="AC77" s="9"/>
      <c r="AD77" s="9"/>
      <c r="AE77" s="46"/>
    </row>
    <row r="78" spans="2:31" x14ac:dyDescent="0.3">
      <c r="B78" s="28"/>
      <c r="G78" s="2"/>
      <c r="L78" s="2"/>
      <c r="M78" s="2"/>
      <c r="N78" s="2"/>
      <c r="O78" s="2"/>
      <c r="P78" s="2"/>
      <c r="Q78" s="2"/>
      <c r="R78" s="2"/>
      <c r="S78" s="2"/>
      <c r="T78" s="2"/>
      <c r="U78" s="9"/>
      <c r="V78" s="9"/>
      <c r="W78" s="9"/>
      <c r="X78" s="9"/>
      <c r="Y78" s="9"/>
      <c r="Z78" s="9"/>
      <c r="AA78" s="9"/>
      <c r="AB78" s="9"/>
      <c r="AC78" s="9"/>
      <c r="AD78" s="9"/>
      <c r="AE78" s="46"/>
    </row>
    <row r="79" spans="2:31" x14ac:dyDescent="0.3">
      <c r="B79" s="28"/>
      <c r="G79" s="2"/>
      <c r="L79" s="2"/>
      <c r="M79" s="2"/>
      <c r="N79" s="2"/>
      <c r="O79" s="2"/>
      <c r="P79" s="2"/>
      <c r="Q79" s="2"/>
      <c r="R79" s="2"/>
      <c r="S79" s="2"/>
      <c r="T79" s="2"/>
      <c r="U79" s="9"/>
      <c r="V79" s="9"/>
      <c r="W79" s="9"/>
      <c r="X79" s="9"/>
      <c r="Y79" s="9"/>
      <c r="Z79" s="9"/>
      <c r="AA79" s="9"/>
      <c r="AB79" s="9"/>
      <c r="AC79" s="9"/>
      <c r="AD79" s="9"/>
      <c r="AE79" s="46"/>
    </row>
    <row r="80" spans="2:31" x14ac:dyDescent="0.3">
      <c r="B80" s="28"/>
      <c r="G80" s="2"/>
      <c r="L80" s="2"/>
      <c r="M80" s="2"/>
      <c r="N80" s="2"/>
      <c r="O80" s="2"/>
      <c r="P80" s="2"/>
      <c r="Q80" s="2"/>
      <c r="R80" s="2"/>
      <c r="S80" s="2"/>
      <c r="T80" s="2"/>
      <c r="U80" s="9"/>
      <c r="V80" s="9"/>
      <c r="W80" s="9"/>
      <c r="X80" s="9"/>
      <c r="Y80" s="9"/>
      <c r="Z80" s="9"/>
      <c r="AA80" s="9"/>
      <c r="AB80" s="9"/>
      <c r="AC80" s="9"/>
      <c r="AD80" s="9"/>
      <c r="AE80" s="46"/>
    </row>
    <row r="81" spans="2:20" x14ac:dyDescent="0.3">
      <c r="B81" s="28"/>
      <c r="T81" s="2"/>
    </row>
    <row r="82" spans="2:20" x14ac:dyDescent="0.3">
      <c r="B82" s="28"/>
      <c r="T82" s="2"/>
    </row>
    <row r="83" spans="2:20" x14ac:dyDescent="0.3">
      <c r="B83" s="28"/>
      <c r="T83" s="2"/>
    </row>
    <row r="84" spans="2:20" x14ac:dyDescent="0.3">
      <c r="B84" s="28"/>
      <c r="T84" s="2"/>
    </row>
    <row r="85" spans="2:20" x14ac:dyDescent="0.3">
      <c r="B85" s="28"/>
      <c r="T85" s="2"/>
    </row>
    <row r="86" spans="2:20" x14ac:dyDescent="0.3">
      <c r="B86" s="28"/>
      <c r="T86" s="2"/>
    </row>
    <row r="87" spans="2:20" x14ac:dyDescent="0.3">
      <c r="B87" s="28"/>
      <c r="T87" s="2"/>
    </row>
    <row r="88" spans="2:20" x14ac:dyDescent="0.3">
      <c r="B88" s="28"/>
      <c r="T88" s="2"/>
    </row>
    <row r="89" spans="2:20" x14ac:dyDescent="0.3">
      <c r="B89" s="28"/>
      <c r="T89" s="2"/>
    </row>
    <row r="90" spans="2:20" x14ac:dyDescent="0.3">
      <c r="B90" s="28"/>
      <c r="T90" s="2"/>
    </row>
    <row r="91" spans="2:20" x14ac:dyDescent="0.3">
      <c r="B91" s="28"/>
      <c r="T91" s="2"/>
    </row>
    <row r="92" spans="2:20" x14ac:dyDescent="0.3">
      <c r="B92" s="28"/>
      <c r="T92" s="2"/>
    </row>
    <row r="93" spans="2:20" x14ac:dyDescent="0.3">
      <c r="B93" s="28"/>
      <c r="T93" s="2"/>
    </row>
    <row r="94" spans="2:20" x14ac:dyDescent="0.3">
      <c r="B94" s="28"/>
      <c r="T94" s="2"/>
    </row>
    <row r="95" spans="2:20" x14ac:dyDescent="0.3">
      <c r="B95" s="28"/>
      <c r="T95" s="2"/>
    </row>
    <row r="96" spans="2:20" x14ac:dyDescent="0.3">
      <c r="B96" s="28"/>
      <c r="T96" s="2"/>
    </row>
    <row r="97" spans="2:20" x14ac:dyDescent="0.3">
      <c r="B97" s="28"/>
      <c r="T97" s="2"/>
    </row>
  </sheetData>
  <mergeCells count="2">
    <mergeCell ref="B1:V1"/>
    <mergeCell ref="B47:K47"/>
  </mergeCells>
  <conditionalFormatting sqref="E40">
    <cfRule type="cellIs" dxfId="235" priority="1" operator="greaterThan">
      <formula>$D$40</formula>
    </cfRule>
  </conditionalFormatting>
  <conditionalFormatting sqref="E37:E40">
    <cfRule type="cellIs" dxfId="234" priority="21" operator="equal">
      <formula>0</formula>
    </cfRule>
    <cfRule type="cellIs" dxfId="233" priority="22" operator="lessThan">
      <formula>0</formula>
    </cfRule>
  </conditionalFormatting>
  <conditionalFormatting sqref="F5:L34">
    <cfRule type="cellIs" dxfId="232" priority="20" operator="lessThan">
      <formula>0</formula>
    </cfRule>
  </conditionalFormatting>
  <conditionalFormatting sqref="F5:F34">
    <cfRule type="cellIs" dxfId="231" priority="19" operator="greaterThan">
      <formula>"0$T$10"</formula>
    </cfRule>
  </conditionalFormatting>
  <conditionalFormatting sqref="M5:M34">
    <cfRule type="cellIs" dxfId="230" priority="17" operator="greaterThan">
      <formula>100</formula>
    </cfRule>
    <cfRule type="cellIs" dxfId="229" priority="18" operator="lessThan">
      <formula>0</formula>
    </cfRule>
  </conditionalFormatting>
  <conditionalFormatting sqref="J43">
    <cfRule type="cellIs" dxfId="228" priority="8" operator="greaterThan">
      <formula>$D$37</formula>
    </cfRule>
    <cfRule type="cellIs" dxfId="227" priority="12" operator="lessThan">
      <formula>$D$37</formula>
    </cfRule>
    <cfRule type="cellIs" dxfId="226" priority="16" operator="equal">
      <formula>$D$37</formula>
    </cfRule>
  </conditionalFormatting>
  <conditionalFormatting sqref="J44">
    <cfRule type="cellIs" dxfId="225" priority="7" operator="greaterThan">
      <formula>$D$38</formula>
    </cfRule>
    <cfRule type="cellIs" dxfId="224" priority="11" operator="lessThan">
      <formula>$D$38</formula>
    </cfRule>
    <cfRule type="cellIs" dxfId="223" priority="15" operator="equal">
      <formula>$D$38</formula>
    </cfRule>
  </conditionalFormatting>
  <conditionalFormatting sqref="J45">
    <cfRule type="cellIs" dxfId="222" priority="6" operator="greaterThan">
      <formula>$D$39</formula>
    </cfRule>
    <cfRule type="cellIs" dxfId="221" priority="10" operator="lessThan">
      <formula>$D$39</formula>
    </cfRule>
    <cfRule type="cellIs" dxfId="220" priority="14" operator="equal">
      <formula>$D$39</formula>
    </cfRule>
  </conditionalFormatting>
  <conditionalFormatting sqref="J46">
    <cfRule type="cellIs" dxfId="219" priority="5" operator="greaterThan">
      <formula>$D$40</formula>
    </cfRule>
    <cfRule type="cellIs" dxfId="218" priority="9" operator="lessThan">
      <formula>$D$40</formula>
    </cfRule>
    <cfRule type="cellIs" dxfId="217" priority="13" operator="equal">
      <formula>$D$40</formula>
    </cfRule>
  </conditionalFormatting>
  <conditionalFormatting sqref="Q5:Q34">
    <cfRule type="cellIs" dxfId="216" priority="23" operator="greaterThan">
      <formula>$J$46</formula>
    </cfRule>
  </conditionalFormatting>
  <conditionalFormatting sqref="G5:G34">
    <cfRule type="cellIs" dxfId="215" priority="24" operator="greaterThan">
      <formula>$I$37</formula>
    </cfRule>
  </conditionalFormatting>
  <conditionalFormatting sqref="H5:H34">
    <cfRule type="cellIs" dxfId="214" priority="25" operator="greaterThan">
      <formula>$J$37</formula>
    </cfRule>
  </conditionalFormatting>
  <conditionalFormatting sqref="I5:I34">
    <cfRule type="cellIs" dxfId="213" priority="26" operator="greaterThan">
      <formula>$K$37</formula>
    </cfRule>
  </conditionalFormatting>
  <conditionalFormatting sqref="J5:J34">
    <cfRule type="cellIs" dxfId="212" priority="27" operator="greaterThan">
      <formula>$L$37</formula>
    </cfRule>
  </conditionalFormatting>
  <conditionalFormatting sqref="K5:K34">
    <cfRule type="cellIs" dxfId="211" priority="28" operator="greaterThan">
      <formula>$M$37</formula>
    </cfRule>
  </conditionalFormatting>
  <conditionalFormatting sqref="L5:L34">
    <cfRule type="cellIs" dxfId="210" priority="29" operator="greaterThan">
      <formula>$N$37</formula>
    </cfRule>
  </conditionalFormatting>
  <conditionalFormatting sqref="N5:N34">
    <cfRule type="cellIs" dxfId="209" priority="30" operator="greaterThan">
      <formula>$J$43</formula>
    </cfRule>
  </conditionalFormatting>
  <conditionalFormatting sqref="O5:O34">
    <cfRule type="cellIs" dxfId="208" priority="31" operator="greaterThan">
      <formula>$J$44</formula>
    </cfRule>
  </conditionalFormatting>
  <conditionalFormatting sqref="P5:P34">
    <cfRule type="cellIs" dxfId="207" priority="32" operator="greaterThan">
      <formula>$J$45</formula>
    </cfRule>
  </conditionalFormatting>
  <conditionalFormatting sqref="E37">
    <cfRule type="cellIs" dxfId="206" priority="4" operator="greaterThan">
      <formula>$D$37</formula>
    </cfRule>
  </conditionalFormatting>
  <conditionalFormatting sqref="E38">
    <cfRule type="cellIs" dxfId="205" priority="3" operator="greaterThan">
      <formula>$D$38</formula>
    </cfRule>
  </conditionalFormatting>
  <conditionalFormatting sqref="E39">
    <cfRule type="cellIs" dxfId="204" priority="2" operator="greaterThan">
      <formula>$D$39</formula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F03A-2C67-4D2C-BA8A-6FA8FBD2F968}">
  <dimension ref="B1:V45"/>
  <sheetViews>
    <sheetView zoomScale="55" zoomScaleNormal="55" workbookViewId="0">
      <selection activeCell="B1" sqref="B1:V1"/>
    </sheetView>
  </sheetViews>
  <sheetFormatPr defaultRowHeight="14.4" x14ac:dyDescent="0.3"/>
  <cols>
    <col min="2" max="2" width="8.33203125" customWidth="1"/>
    <col min="3" max="3" width="17.44140625" bestFit="1" customWidth="1"/>
    <col min="4" max="4" width="11.6640625" bestFit="1" customWidth="1"/>
    <col min="5" max="5" width="12" customWidth="1"/>
    <col min="6" max="6" width="10" bestFit="1" customWidth="1"/>
    <col min="7" max="8" width="11.6640625" bestFit="1" customWidth="1"/>
    <col min="9" max="9" width="14.88671875" bestFit="1" customWidth="1"/>
    <col min="10" max="10" width="15.77734375" customWidth="1"/>
    <col min="11" max="11" width="17.44140625" bestFit="1" customWidth="1"/>
    <col min="12" max="12" width="15.77734375" bestFit="1" customWidth="1"/>
    <col min="13" max="13" width="16.88671875" customWidth="1"/>
    <col min="14" max="14" width="18.21875" bestFit="1" customWidth="1"/>
    <col min="15" max="15" width="23.88671875" bestFit="1" customWidth="1"/>
    <col min="16" max="16" width="18" bestFit="1" customWidth="1"/>
    <col min="17" max="17" width="13.33203125" bestFit="1" customWidth="1"/>
    <col min="18" max="19" width="9.33203125" bestFit="1" customWidth="1"/>
    <col min="20" max="21" width="13.33203125" bestFit="1" customWidth="1"/>
    <col min="22" max="22" width="16.88671875" bestFit="1" customWidth="1"/>
    <col min="23" max="23" width="18.21875" bestFit="1" customWidth="1"/>
    <col min="24" max="24" width="23.88671875" bestFit="1" customWidth="1"/>
    <col min="25" max="25" width="18" bestFit="1" customWidth="1"/>
  </cols>
  <sheetData>
    <row r="1" spans="2:22" ht="33.6" x14ac:dyDescent="0.3"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2:22" x14ac:dyDescent="0.3">
      <c r="T3" s="7" t="s">
        <v>82</v>
      </c>
      <c r="U3" s="7" t="s">
        <v>83</v>
      </c>
    </row>
    <row r="4" spans="2:22" ht="15" thickBot="1" x14ac:dyDescent="0.35">
      <c r="B4" s="48" t="s">
        <v>1</v>
      </c>
      <c r="C4" s="4" t="s">
        <v>2</v>
      </c>
      <c r="D4" s="49" t="s">
        <v>3</v>
      </c>
      <c r="E4" s="49" t="s">
        <v>4</v>
      </c>
      <c r="F4" s="7" t="s">
        <v>84</v>
      </c>
      <c r="G4" s="7" t="s">
        <v>85</v>
      </c>
      <c r="H4" s="7" t="s">
        <v>86</v>
      </c>
      <c r="I4" s="7" t="s">
        <v>87</v>
      </c>
      <c r="J4" s="7" t="s">
        <v>88</v>
      </c>
      <c r="K4" s="7" t="s">
        <v>73</v>
      </c>
      <c r="L4" s="7" t="s">
        <v>64</v>
      </c>
      <c r="M4" s="7" t="s">
        <v>65</v>
      </c>
      <c r="N4" s="7" t="s">
        <v>66</v>
      </c>
      <c r="O4" s="7" t="s">
        <v>67</v>
      </c>
      <c r="P4" s="7" t="s">
        <v>68</v>
      </c>
      <c r="Q4" s="7" t="s">
        <v>11</v>
      </c>
      <c r="R4" s="7"/>
      <c r="S4" s="7"/>
      <c r="T4">
        <f>AVERAGE(Tablo3[TOTAL])</f>
        <v>4.6366666666666667</v>
      </c>
      <c r="U4">
        <f>_xlfn.STDEV.P(Tablo3[TOTAL])</f>
        <v>1.8974515072123006</v>
      </c>
    </row>
    <row r="5" spans="2:22" ht="15" thickTop="1" x14ac:dyDescent="0.3">
      <c r="B5" s="50">
        <v>1</v>
      </c>
      <c r="C5" s="9">
        <v>6</v>
      </c>
      <c r="D5" s="10" t="s">
        <v>3</v>
      </c>
      <c r="E5" s="10" t="s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f>(Tablo3[[#This Row],[HW1]]+Tablo3[[#This Row],[HW2]]+Tablo3[[#This Row],[HW3]]+Tablo3[[#This Row],[HW4]]+Tablo3[[#This Row],[HW5]])/5</f>
        <v>0</v>
      </c>
      <c r="L5" cm="1">
        <f t="array" ref="L5">Tablo3[[#This Row],[HW1]]*$D$38/Tablo11[HW1]+Tablo3[[#This Row],[HW2]]*$E$38/Tablo11[HW2]+Tablo3[[#This Row],[HW3]]*$F$38/Tablo11[HW3]+Tablo3[[#This Row],[HW4]]*$G$38/Tablo11[HW4]+Tablo3[[#This Row],[HW5]]*$H$38/Tablo11[HW5]</f>
        <v>0</v>
      </c>
      <c r="M5" cm="1">
        <f t="array" ref="M5">Tablo3[[#This Row],[HW1]]*$D$39/Tablo11[HW1]+Tablo3[[#This Row],[HW2]]*$E$39/Tablo11[HW2]+Tablo3[[#This Row],[HW3]]*$F$39/Tablo11[HW3]+Tablo3[[#This Row],[HW4]]*$G$39/Tablo11[HW4]+Tablo3[[#This Row],[HW5]]*$H$39/Tablo11[HW5]</f>
        <v>0</v>
      </c>
      <c r="N5" cm="1">
        <f t="array" ref="N5">Tablo3[[#This Row],[HW1]]*$D$40/Tablo11[HW1]+Tablo3[[#This Row],[HW2]]*$E$40/Tablo11[HW2]+Tablo3[[#This Row],[HW3]]*$F$40/Tablo11[HW3]+Tablo3[[#This Row],[HW4]]*$G$40/Tablo11[HW4]+Tablo3[[#This Row],[HW5]]*$H$40/Tablo11[HW5]</f>
        <v>0</v>
      </c>
      <c r="O5" cm="1">
        <f t="array" ref="O5">Tablo3[[#This Row],[HW1]]*$D$41/Tablo11[HW1]+Tablo3[[#This Row],[HW2]]*$E$41/Tablo11[HW2]+Tablo3[[#This Row],[HW3]]*$F$41/Tablo11[HW3]+Tablo3[[#This Row],[HW4]]*$G$41/Tablo11[HW4]+Tablo3[[#This Row],[HW5]]*$H$41/Tablo11[HW5]</f>
        <v>0</v>
      </c>
      <c r="P5">
        <f t="shared" ref="P5:P34" si="0">SUM(L5,M5,N5,O5)</f>
        <v>0</v>
      </c>
      <c r="Q5">
        <f>_xlfn.NORM.DIST(Tablo3[[#This Row],[TOTAL]],$T$4,$U$4,FALSE)</f>
        <v>1.0618999877097624E-2</v>
      </c>
    </row>
    <row r="6" spans="2:22" x14ac:dyDescent="0.3">
      <c r="B6" s="51">
        <v>2</v>
      </c>
      <c r="C6" s="9">
        <v>5</v>
      </c>
      <c r="D6" s="10" t="s">
        <v>3</v>
      </c>
      <c r="E6" s="10" t="s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f>(Tablo3[[#This Row],[HW1]]+Tablo3[[#This Row],[HW2]]+Tablo3[[#This Row],[HW3]]+Tablo3[[#This Row],[HW4]]+Tablo3[[#This Row],[HW5]])/5</f>
        <v>0</v>
      </c>
      <c r="L6" cm="1">
        <f t="array" ref="L6">Tablo3[[#This Row],[HW1]]*$D$38/Tablo11[HW1]+Tablo3[[#This Row],[HW2]]*$E$38/Tablo11[HW2]+Tablo3[[#This Row],[HW3]]*$F$38/Tablo11[HW3]+Tablo3[[#This Row],[HW4]]*$G$38/Tablo11[HW4]+Tablo3[[#This Row],[HW5]]*$H$38/Tablo11[HW5]</f>
        <v>0</v>
      </c>
      <c r="M6" cm="1">
        <f t="array" ref="M6">Tablo3[[#This Row],[HW1]]*$D$39/Tablo11[HW1]+Tablo3[[#This Row],[HW2]]*$E$39/Tablo11[HW2]+Tablo3[[#This Row],[HW3]]*$F$39/Tablo11[HW3]+Tablo3[[#This Row],[HW4]]*$G$39/Tablo11[HW4]+Tablo3[[#This Row],[HW5]]*$H$39/Tablo11[HW5]</f>
        <v>0</v>
      </c>
      <c r="N6" cm="1">
        <f t="array" ref="N6">Tablo3[[#This Row],[HW1]]*$D$40/Tablo11[HW1]+Tablo3[[#This Row],[HW2]]*$E$40/Tablo11[HW2]+Tablo3[[#This Row],[HW3]]*$F$40/Tablo11[HW3]+Tablo3[[#This Row],[HW4]]*$G$40/Tablo11[HW4]+Tablo3[[#This Row],[HW5]]*$H$40/Tablo11[HW5]</f>
        <v>0</v>
      </c>
      <c r="O6" cm="1">
        <f t="array" ref="O6">Tablo3[[#This Row],[HW1]]*$D$41/Tablo11[HW1]+Tablo3[[#This Row],[HW2]]*$E$41/Tablo11[HW2]+Tablo3[[#This Row],[HW3]]*$F$41/Tablo11[HW3]+Tablo3[[#This Row],[HW4]]*$G$41/Tablo11[HW4]+Tablo3[[#This Row],[HW5]]*$H$41/Tablo11[HW5]</f>
        <v>0</v>
      </c>
      <c r="P6">
        <f t="shared" si="0"/>
        <v>0</v>
      </c>
      <c r="Q6">
        <f>_xlfn.NORM.DIST(Tablo3[[#This Row],[TOTAL]],$T$4,$U$4,FALSE)</f>
        <v>1.0618999877097624E-2</v>
      </c>
    </row>
    <row r="7" spans="2:22" x14ac:dyDescent="0.3">
      <c r="B7" s="50">
        <v>3</v>
      </c>
      <c r="C7" s="9">
        <v>20</v>
      </c>
      <c r="D7" s="10" t="s">
        <v>3</v>
      </c>
      <c r="E7" s="10" t="s">
        <v>4</v>
      </c>
      <c r="F7">
        <v>2</v>
      </c>
      <c r="G7">
        <v>1</v>
      </c>
      <c r="H7">
        <v>0</v>
      </c>
      <c r="I7">
        <v>4</v>
      </c>
      <c r="J7">
        <v>3</v>
      </c>
      <c r="K7">
        <f>(Tablo3[[#This Row],[HW1]]+Tablo3[[#This Row],[HW2]]+Tablo3[[#This Row],[HW3]]+Tablo3[[#This Row],[HW4]]+Tablo3[[#This Row],[HW5]])/5</f>
        <v>2</v>
      </c>
      <c r="L7" cm="1">
        <f t="array" ref="L7">Tablo3[[#This Row],[HW1]]*$D$38/Tablo11[HW1]+Tablo3[[#This Row],[HW2]]*$E$38/Tablo11[HW2]+Tablo3[[#This Row],[HW3]]*$F$38/Tablo11[HW3]+Tablo3[[#This Row],[HW4]]*$G$38/Tablo11[HW4]+Tablo3[[#This Row],[HW5]]*$H$38/Tablo11[HW5]</f>
        <v>4.6666666666666661</v>
      </c>
      <c r="M7" cm="1">
        <f t="array" ref="M7">Tablo3[[#This Row],[HW1]]*$D$39/Tablo11[HW1]+Tablo3[[#This Row],[HW2]]*$E$39/Tablo11[HW2]+Tablo3[[#This Row],[HW3]]*$F$39/Tablo11[HW3]+Tablo3[[#This Row],[HW4]]*$G$39/Tablo11[HW4]+Tablo3[[#This Row],[HW5]]*$H$39/Tablo11[HW5]</f>
        <v>1</v>
      </c>
      <c r="N7" cm="1">
        <f t="array" ref="N7">Tablo3[[#This Row],[HW1]]*$D$40/Tablo11[HW1]+Tablo3[[#This Row],[HW2]]*$E$40/Tablo11[HW2]+Tablo3[[#This Row],[HW3]]*$F$40/Tablo11[HW3]+Tablo3[[#This Row],[HW4]]*$G$40/Tablo11[HW4]+Tablo3[[#This Row],[HW5]]*$H$40/Tablo11[HW5]</f>
        <v>2.4166666666666665</v>
      </c>
      <c r="O7" cm="1">
        <f t="array" ref="O7">Tablo3[[#This Row],[HW1]]*$D$41/Tablo11[HW1]+Tablo3[[#This Row],[HW2]]*$E$41/Tablo11[HW2]+Tablo3[[#This Row],[HW3]]*$F$41/Tablo11[HW3]+Tablo3[[#This Row],[HW4]]*$G$41/Tablo11[HW4]+Tablo3[[#This Row],[HW5]]*$H$41/Tablo11[HW5]</f>
        <v>1</v>
      </c>
      <c r="P7">
        <f t="shared" si="0"/>
        <v>9.0833333333333321</v>
      </c>
      <c r="Q7">
        <f>_xlfn.NORM.DIST(Tablo3[[#This Row],[TOTAL]],$T$4,$U$4,FALSE)</f>
        <v>8.0064646434437295E-2</v>
      </c>
    </row>
    <row r="8" spans="2:22" x14ac:dyDescent="0.3">
      <c r="B8" s="51">
        <v>4</v>
      </c>
      <c r="C8" s="9">
        <v>25</v>
      </c>
      <c r="D8" s="10" t="s">
        <v>3</v>
      </c>
      <c r="E8" s="10" t="s">
        <v>4</v>
      </c>
      <c r="F8">
        <v>0</v>
      </c>
      <c r="G8">
        <v>0</v>
      </c>
      <c r="H8">
        <v>5</v>
      </c>
      <c r="I8">
        <v>0</v>
      </c>
      <c r="J8">
        <v>6</v>
      </c>
      <c r="K8">
        <f>(Tablo3[[#This Row],[HW1]]+Tablo3[[#This Row],[HW2]]+Tablo3[[#This Row],[HW3]]+Tablo3[[#This Row],[HW4]]+Tablo3[[#This Row],[HW5]])/5</f>
        <v>2.2000000000000002</v>
      </c>
      <c r="L8" cm="1">
        <f t="array" ref="L8">Tablo3[[#This Row],[HW1]]*$D$38/Tablo11[HW1]+Tablo3[[#This Row],[HW2]]*$E$38/Tablo11[HW2]+Tablo3[[#This Row],[HW3]]*$F$38/Tablo11[HW3]+Tablo3[[#This Row],[HW4]]*$G$38/Tablo11[HW4]+Tablo3[[#This Row],[HW5]]*$H$38/Tablo11[HW5]</f>
        <v>5.5</v>
      </c>
      <c r="M8" cm="1">
        <f t="array" ref="M8">Tablo3[[#This Row],[HW1]]*$D$39/Tablo11[HW1]+Tablo3[[#This Row],[HW2]]*$E$39/Tablo11[HW2]+Tablo3[[#This Row],[HW3]]*$F$39/Tablo11[HW3]+Tablo3[[#This Row],[HW4]]*$G$39/Tablo11[HW4]+Tablo3[[#This Row],[HW5]]*$H$39/Tablo11[HW5]</f>
        <v>0</v>
      </c>
      <c r="N8" cm="1">
        <f t="array" ref="N8">Tablo3[[#This Row],[HW1]]*$D$40/Tablo11[HW1]+Tablo3[[#This Row],[HW2]]*$E$40/Tablo11[HW2]+Tablo3[[#This Row],[HW3]]*$F$40/Tablo11[HW3]+Tablo3[[#This Row],[HW4]]*$G$40/Tablo11[HW4]+Tablo3[[#This Row],[HW5]]*$H$40/Tablo11[HW5]</f>
        <v>1.5</v>
      </c>
      <c r="O8" cm="1">
        <f t="array" ref="O8">Tablo3[[#This Row],[HW1]]*$D$41/Tablo11[HW1]+Tablo3[[#This Row],[HW2]]*$E$41/Tablo11[HW2]+Tablo3[[#This Row],[HW3]]*$F$41/Tablo11[HW3]+Tablo3[[#This Row],[HW4]]*$G$41/Tablo11[HW4]+Tablo3[[#This Row],[HW5]]*$H$41/Tablo11[HW5]</f>
        <v>0</v>
      </c>
      <c r="P8">
        <f t="shared" si="0"/>
        <v>7</v>
      </c>
      <c r="Q8">
        <f>_xlfn.NORM.DIST(Tablo3[[#This Row],[TOTAL]],$T$4,$U$4,FALSE)</f>
        <v>9.2180416175694557E-2</v>
      </c>
    </row>
    <row r="9" spans="2:22" x14ac:dyDescent="0.3">
      <c r="B9" s="50">
        <v>5</v>
      </c>
      <c r="C9" s="9">
        <v>18</v>
      </c>
      <c r="D9" s="10" t="s">
        <v>3</v>
      </c>
      <c r="E9" s="10" t="s">
        <v>4</v>
      </c>
      <c r="F9">
        <v>0</v>
      </c>
      <c r="G9">
        <v>0</v>
      </c>
      <c r="H9">
        <v>6</v>
      </c>
      <c r="I9">
        <v>6</v>
      </c>
      <c r="J9">
        <v>2</v>
      </c>
      <c r="K9">
        <f>(Tablo3[[#This Row],[HW1]]+Tablo3[[#This Row],[HW2]]+Tablo3[[#This Row],[HW3]]+Tablo3[[#This Row],[HW4]]+Tablo3[[#This Row],[HW5]])/5</f>
        <v>2.8</v>
      </c>
      <c r="L9" cm="1">
        <f t="array" ref="L9">Tablo3[[#This Row],[HW1]]*$D$38/Tablo11[HW1]+Tablo3[[#This Row],[HW2]]*$E$38/Tablo11[HW2]+Tablo3[[#This Row],[HW3]]*$F$38/Tablo11[HW3]+Tablo3[[#This Row],[HW4]]*$G$38/Tablo11[HW4]+Tablo3[[#This Row],[HW5]]*$H$38/Tablo11[HW5]</f>
        <v>8</v>
      </c>
      <c r="M9" cm="1">
        <f t="array" ref="M9">Tablo3[[#This Row],[HW1]]*$D$39/Tablo11[HW1]+Tablo3[[#This Row],[HW2]]*$E$39/Tablo11[HW2]+Tablo3[[#This Row],[HW3]]*$F$39/Tablo11[HW3]+Tablo3[[#This Row],[HW4]]*$G$39/Tablo11[HW4]+Tablo3[[#This Row],[HW5]]*$H$39/Tablo11[HW5]</f>
        <v>0</v>
      </c>
      <c r="N9" cm="1">
        <f t="array" ref="N9">Tablo3[[#This Row],[HW1]]*$D$40/Tablo11[HW1]+Tablo3[[#This Row],[HW2]]*$E$40/Tablo11[HW2]+Tablo3[[#This Row],[HW3]]*$F$40/Tablo11[HW3]+Tablo3[[#This Row],[HW4]]*$G$40/Tablo11[HW4]+Tablo3[[#This Row],[HW5]]*$H$40/Tablo11[HW5]</f>
        <v>1.5</v>
      </c>
      <c r="O9" cm="1">
        <f t="array" ref="O9">Tablo3[[#This Row],[HW1]]*$D$41/Tablo11[HW1]+Tablo3[[#This Row],[HW2]]*$E$41/Tablo11[HW2]+Tablo3[[#This Row],[HW3]]*$F$41/Tablo11[HW3]+Tablo3[[#This Row],[HW4]]*$G$41/Tablo11[HW4]+Tablo3[[#This Row],[HW5]]*$H$41/Tablo11[HW5]</f>
        <v>0</v>
      </c>
      <c r="P9">
        <f t="shared" si="0"/>
        <v>9.5</v>
      </c>
      <c r="Q9">
        <f>_xlfn.NORM.DIST(Tablo3[[#This Row],[TOTAL]],$T$4,$U$4,FALSE)</f>
        <v>0.13160788610670937</v>
      </c>
    </row>
    <row r="10" spans="2:22" x14ac:dyDescent="0.3">
      <c r="B10" s="51">
        <v>6</v>
      </c>
      <c r="C10" s="9">
        <v>14</v>
      </c>
      <c r="D10" s="10" t="s">
        <v>3</v>
      </c>
      <c r="E10" s="10" t="s">
        <v>4</v>
      </c>
      <c r="F10">
        <v>0</v>
      </c>
      <c r="G10">
        <v>1</v>
      </c>
      <c r="H10">
        <v>8</v>
      </c>
      <c r="I10">
        <v>3</v>
      </c>
      <c r="J10">
        <v>5</v>
      </c>
      <c r="K10">
        <f>(Tablo3[[#This Row],[HW1]]+Tablo3[[#This Row],[HW2]]+Tablo3[[#This Row],[HW3]]+Tablo3[[#This Row],[HW4]]+Tablo3[[#This Row],[HW5]])/5</f>
        <v>3.4</v>
      </c>
      <c r="L10" cm="1">
        <f t="array" ref="L10">Tablo3[[#This Row],[HW1]]*$D$38/Tablo11[HW1]+Tablo3[[#This Row],[HW2]]*$E$38/Tablo11[HW2]+Tablo3[[#This Row],[HW3]]*$F$38/Tablo11[HW3]+Tablo3[[#This Row],[HW4]]*$G$38/Tablo11[HW4]+Tablo3[[#This Row],[HW5]]*$H$38/Tablo11[HW5]</f>
        <v>9</v>
      </c>
      <c r="M10" cm="1">
        <f t="array" ref="M10">Tablo3[[#This Row],[HW1]]*$D$39/Tablo11[HW1]+Tablo3[[#This Row],[HW2]]*$E$39/Tablo11[HW2]+Tablo3[[#This Row],[HW3]]*$F$39/Tablo11[HW3]+Tablo3[[#This Row],[HW4]]*$G$39/Tablo11[HW4]+Tablo3[[#This Row],[HW5]]*$H$39/Tablo11[HW5]</f>
        <v>1</v>
      </c>
      <c r="N10" cm="1">
        <f t="array" ref="N10">Tablo3[[#This Row],[HW1]]*$D$40/Tablo11[HW1]+Tablo3[[#This Row],[HW2]]*$E$40/Tablo11[HW2]+Tablo3[[#This Row],[HW3]]*$F$40/Tablo11[HW3]+Tablo3[[#This Row],[HW4]]*$G$40/Tablo11[HW4]+Tablo3[[#This Row],[HW5]]*$H$40/Tablo11[HW5]</f>
        <v>2.25</v>
      </c>
      <c r="O10" cm="1">
        <f t="array" ref="O10">Tablo3[[#This Row],[HW1]]*$D$41/Tablo11[HW1]+Tablo3[[#This Row],[HW2]]*$E$41/Tablo11[HW2]+Tablo3[[#This Row],[HW3]]*$F$41/Tablo11[HW3]+Tablo3[[#This Row],[HW4]]*$G$41/Tablo11[HW4]+Tablo3[[#This Row],[HW5]]*$H$41/Tablo11[HW5]</f>
        <v>0</v>
      </c>
      <c r="P10">
        <f t="shared" si="0"/>
        <v>12.25</v>
      </c>
      <c r="Q10">
        <f>_xlfn.NORM.DIST(Tablo3[[#This Row],[TOTAL]],$T$4,$U$4,FALSE)</f>
        <v>0.17001983922354477</v>
      </c>
    </row>
    <row r="11" spans="2:22" x14ac:dyDescent="0.3">
      <c r="B11" s="50">
        <v>7</v>
      </c>
      <c r="C11" s="9">
        <v>27</v>
      </c>
      <c r="D11" s="10" t="s">
        <v>3</v>
      </c>
      <c r="E11" s="10" t="s">
        <v>4</v>
      </c>
      <c r="F11">
        <v>1</v>
      </c>
      <c r="G11">
        <v>1</v>
      </c>
      <c r="H11">
        <v>7</v>
      </c>
      <c r="I11">
        <v>5</v>
      </c>
      <c r="J11">
        <v>6</v>
      </c>
      <c r="K11">
        <f>(Tablo3[[#This Row],[HW1]]+Tablo3[[#This Row],[HW2]]+Tablo3[[#This Row],[HW3]]+Tablo3[[#This Row],[HW4]]+Tablo3[[#This Row],[HW5]])/5</f>
        <v>4</v>
      </c>
      <c r="L11" cm="1">
        <f t="array" ref="L11">Tablo3[[#This Row],[HW1]]*$D$38/Tablo11[HW1]+Tablo3[[#This Row],[HW2]]*$E$38/Tablo11[HW2]+Tablo3[[#This Row],[HW3]]*$F$38/Tablo11[HW3]+Tablo3[[#This Row],[HW4]]*$G$38/Tablo11[HW4]+Tablo3[[#This Row],[HW5]]*$H$38/Tablo11[HW5]</f>
        <v>10.333333333333334</v>
      </c>
      <c r="M11" cm="1">
        <f t="array" ref="M11">Tablo3[[#This Row],[HW1]]*$D$39/Tablo11[HW1]+Tablo3[[#This Row],[HW2]]*$E$39/Tablo11[HW2]+Tablo3[[#This Row],[HW3]]*$F$39/Tablo11[HW3]+Tablo3[[#This Row],[HW4]]*$G$39/Tablo11[HW4]+Tablo3[[#This Row],[HW5]]*$H$39/Tablo11[HW5]</f>
        <v>1</v>
      </c>
      <c r="N11" cm="1">
        <f t="array" ref="N11">Tablo3[[#This Row],[HW1]]*$D$40/Tablo11[HW1]+Tablo3[[#This Row],[HW2]]*$E$40/Tablo11[HW2]+Tablo3[[#This Row],[HW3]]*$F$40/Tablo11[HW3]+Tablo3[[#This Row],[HW4]]*$G$40/Tablo11[HW4]+Tablo3[[#This Row],[HW5]]*$H$40/Tablo11[HW5]</f>
        <v>3.0833333333333335</v>
      </c>
      <c r="O11" cm="1">
        <f t="array" ref="O11">Tablo3[[#This Row],[HW1]]*$D$41/Tablo11[HW1]+Tablo3[[#This Row],[HW2]]*$E$41/Tablo11[HW2]+Tablo3[[#This Row],[HW3]]*$F$41/Tablo11[HW3]+Tablo3[[#This Row],[HW4]]*$G$41/Tablo11[HW4]+Tablo3[[#This Row],[HW5]]*$H$41/Tablo11[HW5]</f>
        <v>0.5</v>
      </c>
      <c r="P11">
        <f t="shared" si="0"/>
        <v>14.916666666666668</v>
      </c>
      <c r="Q11">
        <f>_xlfn.NORM.DIST(Tablo3[[#This Row],[TOTAL]],$T$4,$U$4,FALSE)</f>
        <v>0.19874294797332615</v>
      </c>
    </row>
    <row r="12" spans="2:22" x14ac:dyDescent="0.3">
      <c r="B12" s="51">
        <v>8</v>
      </c>
      <c r="C12" s="9">
        <v>9</v>
      </c>
      <c r="D12" s="10" t="s">
        <v>3</v>
      </c>
      <c r="E12" s="10" t="s">
        <v>4</v>
      </c>
      <c r="F12">
        <v>0</v>
      </c>
      <c r="G12">
        <v>2</v>
      </c>
      <c r="H12">
        <v>8</v>
      </c>
      <c r="I12">
        <v>5</v>
      </c>
      <c r="J12">
        <v>5</v>
      </c>
      <c r="K12">
        <f>(Tablo3[[#This Row],[HW1]]+Tablo3[[#This Row],[HW2]]+Tablo3[[#This Row],[HW3]]+Tablo3[[#This Row],[HW4]]+Tablo3[[#This Row],[HW5]])/5</f>
        <v>4</v>
      </c>
      <c r="L12" cm="1">
        <f t="array" ref="L12">Tablo3[[#This Row],[HW1]]*$D$38/Tablo11[HW1]+Tablo3[[#This Row],[HW2]]*$E$38/Tablo11[HW2]+Tablo3[[#This Row],[HW3]]*$F$38/Tablo11[HW3]+Tablo3[[#This Row],[HW4]]*$G$38/Tablo11[HW4]+Tablo3[[#This Row],[HW5]]*$H$38/Tablo11[HW5]</f>
        <v>10.833333333333334</v>
      </c>
      <c r="M12" cm="1">
        <f t="array" ref="M12">Tablo3[[#This Row],[HW1]]*$D$39/Tablo11[HW1]+Tablo3[[#This Row],[HW2]]*$E$39/Tablo11[HW2]+Tablo3[[#This Row],[HW3]]*$F$39/Tablo11[HW3]+Tablo3[[#This Row],[HW4]]*$G$39/Tablo11[HW4]+Tablo3[[#This Row],[HW5]]*$H$39/Tablo11[HW5]</f>
        <v>2</v>
      </c>
      <c r="N12" cm="1">
        <f t="array" ref="N12">Tablo3[[#This Row],[HW1]]*$D$40/Tablo11[HW1]+Tablo3[[#This Row],[HW2]]*$E$40/Tablo11[HW2]+Tablo3[[#This Row],[HW3]]*$F$40/Tablo11[HW3]+Tablo3[[#This Row],[HW4]]*$G$40/Tablo11[HW4]+Tablo3[[#This Row],[HW5]]*$H$40/Tablo11[HW5]</f>
        <v>3.0833333333333335</v>
      </c>
      <c r="O12" cm="1">
        <f t="array" ref="O12">Tablo3[[#This Row],[HW1]]*$D$41/Tablo11[HW1]+Tablo3[[#This Row],[HW2]]*$E$41/Tablo11[HW2]+Tablo3[[#This Row],[HW3]]*$F$41/Tablo11[HW3]+Tablo3[[#This Row],[HW4]]*$G$41/Tablo11[HW4]+Tablo3[[#This Row],[HW5]]*$H$41/Tablo11[HW5]</f>
        <v>0</v>
      </c>
      <c r="P12">
        <f t="shared" si="0"/>
        <v>15.916666666666668</v>
      </c>
      <c r="Q12">
        <f>_xlfn.NORM.DIST(Tablo3[[#This Row],[TOTAL]],$T$4,$U$4,FALSE)</f>
        <v>0.19874294797332615</v>
      </c>
    </row>
    <row r="13" spans="2:22" x14ac:dyDescent="0.3">
      <c r="B13" s="50">
        <v>9</v>
      </c>
      <c r="C13" s="9">
        <v>29</v>
      </c>
      <c r="D13" s="10" t="s">
        <v>3</v>
      </c>
      <c r="E13" s="10" t="s">
        <v>4</v>
      </c>
      <c r="F13">
        <v>0</v>
      </c>
      <c r="G13">
        <v>0</v>
      </c>
      <c r="H13">
        <v>7</v>
      </c>
      <c r="I13">
        <v>8</v>
      </c>
      <c r="J13">
        <v>6</v>
      </c>
      <c r="K13">
        <f>(Tablo3[[#This Row],[HW1]]+Tablo3[[#This Row],[HW2]]+Tablo3[[#This Row],[HW3]]+Tablo3[[#This Row],[HW4]]+Tablo3[[#This Row],[HW5]])/5</f>
        <v>4.2</v>
      </c>
      <c r="L13" cm="1">
        <f t="array" ref="L13">Tablo3[[#This Row],[HW1]]*$D$38/Tablo11[HW1]+Tablo3[[#This Row],[HW2]]*$E$38/Tablo11[HW2]+Tablo3[[#This Row],[HW3]]*$F$38/Tablo11[HW3]+Tablo3[[#This Row],[HW4]]*$G$38/Tablo11[HW4]+Tablo3[[#This Row],[HW5]]*$H$38/Tablo11[HW5]</f>
        <v>11.833333333333332</v>
      </c>
      <c r="M13" cm="1">
        <f t="array" ref="M13">Tablo3[[#This Row],[HW1]]*$D$39/Tablo11[HW1]+Tablo3[[#This Row],[HW2]]*$E$39/Tablo11[HW2]+Tablo3[[#This Row],[HW3]]*$F$39/Tablo11[HW3]+Tablo3[[#This Row],[HW4]]*$G$39/Tablo11[HW4]+Tablo3[[#This Row],[HW5]]*$H$39/Tablo11[HW5]</f>
        <v>0</v>
      </c>
      <c r="N13" cm="1">
        <f t="array" ref="N13">Tablo3[[#This Row],[HW1]]*$D$40/Tablo11[HW1]+Tablo3[[#This Row],[HW2]]*$E$40/Tablo11[HW2]+Tablo3[[#This Row],[HW3]]*$F$40/Tablo11[HW3]+Tablo3[[#This Row],[HW4]]*$G$40/Tablo11[HW4]+Tablo3[[#This Row],[HW5]]*$H$40/Tablo11[HW5]</f>
        <v>2.833333333333333</v>
      </c>
      <c r="O13" cm="1">
        <f t="array" ref="O13">Tablo3[[#This Row],[HW1]]*$D$41/Tablo11[HW1]+Tablo3[[#This Row],[HW2]]*$E$41/Tablo11[HW2]+Tablo3[[#This Row],[HW3]]*$F$41/Tablo11[HW3]+Tablo3[[#This Row],[HW4]]*$G$41/Tablo11[HW4]+Tablo3[[#This Row],[HW5]]*$H$41/Tablo11[HW5]</f>
        <v>0</v>
      </c>
      <c r="P13">
        <f t="shared" si="0"/>
        <v>14.666666666666664</v>
      </c>
      <c r="Q13">
        <f>_xlfn.NORM.DIST(Tablo3[[#This Row],[TOTAL]],$T$4,$U$4,FALSE)</f>
        <v>0.20475710386720036</v>
      </c>
    </row>
    <row r="14" spans="2:22" x14ac:dyDescent="0.3">
      <c r="B14" s="51">
        <v>10</v>
      </c>
      <c r="C14" s="9">
        <v>3</v>
      </c>
      <c r="D14" s="14" t="s">
        <v>3</v>
      </c>
      <c r="E14" s="10" t="s">
        <v>4</v>
      </c>
      <c r="F14">
        <v>8</v>
      </c>
      <c r="G14">
        <v>1</v>
      </c>
      <c r="H14">
        <v>8</v>
      </c>
      <c r="I14">
        <v>2</v>
      </c>
      <c r="J14">
        <v>2</v>
      </c>
      <c r="K14">
        <f>(Tablo3[[#This Row],[HW1]]+Tablo3[[#This Row],[HW2]]+Tablo3[[#This Row],[HW3]]+Tablo3[[#This Row],[HW4]]+Tablo3[[#This Row],[HW5]])/5</f>
        <v>4.2</v>
      </c>
      <c r="L14" cm="1">
        <f t="array" ref="L14">Tablo3[[#This Row],[HW1]]*$D$38/Tablo11[HW1]+Tablo3[[#This Row],[HW2]]*$E$38/Tablo11[HW2]+Tablo3[[#This Row],[HW3]]*$F$38/Tablo11[HW3]+Tablo3[[#This Row],[HW4]]*$G$38/Tablo11[HW4]+Tablo3[[#This Row],[HW5]]*$H$38/Tablo11[HW5]</f>
        <v>6.833333333333333</v>
      </c>
      <c r="M14" cm="1">
        <f t="array" ref="M14">Tablo3[[#This Row],[HW1]]*$D$39/Tablo11[HW1]+Tablo3[[#This Row],[HW2]]*$E$39/Tablo11[HW2]+Tablo3[[#This Row],[HW3]]*$F$39/Tablo11[HW3]+Tablo3[[#This Row],[HW4]]*$G$39/Tablo11[HW4]+Tablo3[[#This Row],[HW5]]*$H$39/Tablo11[HW5]</f>
        <v>1</v>
      </c>
      <c r="N14" cm="1">
        <f t="array" ref="N14">Tablo3[[#This Row],[HW1]]*$D$40/Tablo11[HW1]+Tablo3[[#This Row],[HW2]]*$E$40/Tablo11[HW2]+Tablo3[[#This Row],[HW3]]*$F$40/Tablo11[HW3]+Tablo3[[#This Row],[HW4]]*$G$40/Tablo11[HW4]+Tablo3[[#This Row],[HW5]]*$H$40/Tablo11[HW5]</f>
        <v>3.3333333333333335</v>
      </c>
      <c r="O14" cm="1">
        <f t="array" ref="O14">Tablo3[[#This Row],[HW1]]*$D$41/Tablo11[HW1]+Tablo3[[#This Row],[HW2]]*$E$41/Tablo11[HW2]+Tablo3[[#This Row],[HW3]]*$F$41/Tablo11[HW3]+Tablo3[[#This Row],[HW4]]*$G$41/Tablo11[HW4]+Tablo3[[#This Row],[HW5]]*$H$41/Tablo11[HW5]</f>
        <v>4</v>
      </c>
      <c r="P14">
        <f t="shared" si="0"/>
        <v>15.166666666666666</v>
      </c>
      <c r="Q14">
        <f>_xlfn.NORM.DIST(Tablo3[[#This Row],[TOTAL]],$T$4,$U$4,FALSE)</f>
        <v>0.20475710386720036</v>
      </c>
    </row>
    <row r="15" spans="2:22" x14ac:dyDescent="0.3">
      <c r="B15" s="50">
        <v>11</v>
      </c>
      <c r="C15" s="9">
        <v>22</v>
      </c>
      <c r="D15" s="10" t="s">
        <v>3</v>
      </c>
      <c r="E15" s="10" t="s">
        <v>4</v>
      </c>
      <c r="F15">
        <v>1</v>
      </c>
      <c r="G15">
        <v>1</v>
      </c>
      <c r="H15">
        <v>8</v>
      </c>
      <c r="I15">
        <v>9</v>
      </c>
      <c r="J15">
        <v>3</v>
      </c>
      <c r="K15">
        <f>(Tablo3[[#This Row],[HW1]]+Tablo3[[#This Row],[HW2]]+Tablo3[[#This Row],[HW3]]+Tablo3[[#This Row],[HW4]]+Tablo3[[#This Row],[HW5]])/5</f>
        <v>4.4000000000000004</v>
      </c>
      <c r="L15" cm="1">
        <f t="array" ref="L15">Tablo3[[#This Row],[HW1]]*$D$38/Tablo11[HW1]+Tablo3[[#This Row],[HW2]]*$E$38/Tablo11[HW2]+Tablo3[[#This Row],[HW3]]*$F$38/Tablo11[HW3]+Tablo3[[#This Row],[HW4]]*$G$38/Tablo11[HW4]+Tablo3[[#This Row],[HW5]]*$H$38/Tablo11[HW5]</f>
        <v>12</v>
      </c>
      <c r="M15" cm="1">
        <f t="array" ref="M15">Tablo3[[#This Row],[HW1]]*$D$39/Tablo11[HW1]+Tablo3[[#This Row],[HW2]]*$E$39/Tablo11[HW2]+Tablo3[[#This Row],[HW3]]*$F$39/Tablo11[HW3]+Tablo3[[#This Row],[HW4]]*$G$39/Tablo11[HW4]+Tablo3[[#This Row],[HW5]]*$H$39/Tablo11[HW5]</f>
        <v>1</v>
      </c>
      <c r="N15" cm="1">
        <f t="array" ref="N15">Tablo3[[#This Row],[HW1]]*$D$40/Tablo11[HW1]+Tablo3[[#This Row],[HW2]]*$E$40/Tablo11[HW2]+Tablo3[[#This Row],[HW3]]*$F$40/Tablo11[HW3]+Tablo3[[#This Row],[HW4]]*$G$40/Tablo11[HW4]+Tablo3[[#This Row],[HW5]]*$H$40/Tablo11[HW5]</f>
        <v>3</v>
      </c>
      <c r="O15" cm="1">
        <f t="array" ref="O15">Tablo3[[#This Row],[HW1]]*$D$41/Tablo11[HW1]+Tablo3[[#This Row],[HW2]]*$E$41/Tablo11[HW2]+Tablo3[[#This Row],[HW3]]*$F$41/Tablo11[HW3]+Tablo3[[#This Row],[HW4]]*$G$41/Tablo11[HW4]+Tablo3[[#This Row],[HW5]]*$H$41/Tablo11[HW5]</f>
        <v>0.5</v>
      </c>
      <c r="P15">
        <f t="shared" si="0"/>
        <v>16.5</v>
      </c>
      <c r="Q15">
        <f>_xlfn.NORM.DIST(Tablo3[[#This Row],[TOTAL]],$T$4,$U$4,FALSE)</f>
        <v>0.20862251012305136</v>
      </c>
    </row>
    <row r="16" spans="2:22" x14ac:dyDescent="0.3">
      <c r="B16" s="51">
        <v>12</v>
      </c>
      <c r="C16" s="9">
        <v>13</v>
      </c>
      <c r="D16" s="10" t="s">
        <v>3</v>
      </c>
      <c r="E16" s="10" t="s">
        <v>4</v>
      </c>
      <c r="F16">
        <v>3</v>
      </c>
      <c r="G16">
        <v>1</v>
      </c>
      <c r="H16">
        <v>1</v>
      </c>
      <c r="I16">
        <v>8</v>
      </c>
      <c r="J16">
        <v>9</v>
      </c>
      <c r="K16">
        <f>(Tablo3[[#This Row],[HW1]]+Tablo3[[#This Row],[HW2]]+Tablo3[[#This Row],[HW3]]+Tablo3[[#This Row],[HW4]]+Tablo3[[#This Row],[HW5]])/5</f>
        <v>4.4000000000000004</v>
      </c>
      <c r="L16" cm="1">
        <f t="array" ref="L16">Tablo3[[#This Row],[HW1]]*$D$38/Tablo11[HW1]+Tablo3[[#This Row],[HW2]]*$E$38/Tablo11[HW2]+Tablo3[[#This Row],[HW3]]*$F$38/Tablo11[HW3]+Tablo3[[#This Row],[HW4]]*$G$38/Tablo11[HW4]+Tablo3[[#This Row],[HW5]]*$H$38/Tablo11[HW5]</f>
        <v>10.833333333333332</v>
      </c>
      <c r="M16" cm="1">
        <f t="array" ref="M16">Tablo3[[#This Row],[HW1]]*$D$39/Tablo11[HW1]+Tablo3[[#This Row],[HW2]]*$E$39/Tablo11[HW2]+Tablo3[[#This Row],[HW3]]*$F$39/Tablo11[HW3]+Tablo3[[#This Row],[HW4]]*$G$39/Tablo11[HW4]+Tablo3[[#This Row],[HW5]]*$H$39/Tablo11[HW5]</f>
        <v>1</v>
      </c>
      <c r="N16" cm="1">
        <f t="array" ref="N16">Tablo3[[#This Row],[HW1]]*$D$40/Tablo11[HW1]+Tablo3[[#This Row],[HW2]]*$E$40/Tablo11[HW2]+Tablo3[[#This Row],[HW3]]*$F$40/Tablo11[HW3]+Tablo3[[#This Row],[HW4]]*$G$40/Tablo11[HW4]+Tablo3[[#This Row],[HW5]]*$H$40/Tablo11[HW5]</f>
        <v>4.833333333333333</v>
      </c>
      <c r="O16" cm="1">
        <f t="array" ref="O16">Tablo3[[#This Row],[HW1]]*$D$41/Tablo11[HW1]+Tablo3[[#This Row],[HW2]]*$E$41/Tablo11[HW2]+Tablo3[[#This Row],[HW3]]*$F$41/Tablo11[HW3]+Tablo3[[#This Row],[HW4]]*$G$41/Tablo11[HW4]+Tablo3[[#This Row],[HW5]]*$H$41/Tablo11[HW5]</f>
        <v>1.5</v>
      </c>
      <c r="P16">
        <f t="shared" si="0"/>
        <v>18.166666666666664</v>
      </c>
      <c r="Q16">
        <f>_xlfn.NORM.DIST(Tablo3[[#This Row],[TOTAL]],$T$4,$U$4,FALSE)</f>
        <v>0.20862251012305136</v>
      </c>
    </row>
    <row r="17" spans="2:17" x14ac:dyDescent="0.3">
      <c r="B17" s="50">
        <v>13</v>
      </c>
      <c r="C17" s="9">
        <v>11</v>
      </c>
      <c r="D17" s="10" t="s">
        <v>3</v>
      </c>
      <c r="E17" s="10" t="s">
        <v>4</v>
      </c>
      <c r="F17">
        <v>6</v>
      </c>
      <c r="G17">
        <v>2</v>
      </c>
      <c r="H17">
        <v>0</v>
      </c>
      <c r="I17">
        <v>8</v>
      </c>
      <c r="J17">
        <v>8</v>
      </c>
      <c r="K17">
        <f>(Tablo3[[#This Row],[HW1]]+Tablo3[[#This Row],[HW2]]+Tablo3[[#This Row],[HW3]]+Tablo3[[#This Row],[HW4]]+Tablo3[[#This Row],[HW5]])/5</f>
        <v>4.8</v>
      </c>
      <c r="L17" cm="1">
        <f t="array" ref="L17">Tablo3[[#This Row],[HW1]]*$D$38/Tablo11[HW1]+Tablo3[[#This Row],[HW2]]*$E$38/Tablo11[HW2]+Tablo3[[#This Row],[HW3]]*$F$38/Tablo11[HW3]+Tablo3[[#This Row],[HW4]]*$G$38/Tablo11[HW4]+Tablo3[[#This Row],[HW5]]*$H$38/Tablo11[HW5]</f>
        <v>10.333333333333332</v>
      </c>
      <c r="M17" cm="1">
        <f t="array" ref="M17">Tablo3[[#This Row],[HW1]]*$D$39/Tablo11[HW1]+Tablo3[[#This Row],[HW2]]*$E$39/Tablo11[HW2]+Tablo3[[#This Row],[HW3]]*$F$39/Tablo11[HW3]+Tablo3[[#This Row],[HW4]]*$G$39/Tablo11[HW4]+Tablo3[[#This Row],[HW5]]*$H$39/Tablo11[HW5]</f>
        <v>2</v>
      </c>
      <c r="N17" cm="1">
        <f t="array" ref="N17">Tablo3[[#This Row],[HW1]]*$D$40/Tablo11[HW1]+Tablo3[[#This Row],[HW2]]*$E$40/Tablo11[HW2]+Tablo3[[#This Row],[HW3]]*$F$40/Tablo11[HW3]+Tablo3[[#This Row],[HW4]]*$G$40/Tablo11[HW4]+Tablo3[[#This Row],[HW5]]*$H$40/Tablo11[HW5]</f>
        <v>5.833333333333333</v>
      </c>
      <c r="O17" cm="1">
        <f t="array" ref="O17">Tablo3[[#This Row],[HW1]]*$D$41/Tablo11[HW1]+Tablo3[[#This Row],[HW2]]*$E$41/Tablo11[HW2]+Tablo3[[#This Row],[HW3]]*$F$41/Tablo11[HW3]+Tablo3[[#This Row],[HW4]]*$G$41/Tablo11[HW4]+Tablo3[[#This Row],[HW5]]*$H$41/Tablo11[HW5]</f>
        <v>3</v>
      </c>
      <c r="P17">
        <f t="shared" si="0"/>
        <v>21.166666666666664</v>
      </c>
      <c r="Q17">
        <f>_xlfn.NORM.DIST(Tablo3[[#This Row],[TOTAL]],$T$4,$U$4,FALSE)</f>
        <v>0.20947411102404476</v>
      </c>
    </row>
    <row r="18" spans="2:17" x14ac:dyDescent="0.3">
      <c r="B18" s="51">
        <v>14</v>
      </c>
      <c r="C18" s="9">
        <v>28</v>
      </c>
      <c r="D18" s="10" t="s">
        <v>3</v>
      </c>
      <c r="E18" s="10" t="s">
        <v>4</v>
      </c>
      <c r="F18">
        <v>3</v>
      </c>
      <c r="G18">
        <v>1</v>
      </c>
      <c r="H18">
        <v>7</v>
      </c>
      <c r="I18">
        <v>9</v>
      </c>
      <c r="J18">
        <v>5</v>
      </c>
      <c r="K18">
        <f>(Tablo3[[#This Row],[HW1]]+Tablo3[[#This Row],[HW2]]+Tablo3[[#This Row],[HW3]]+Tablo3[[#This Row],[HW4]]+Tablo3[[#This Row],[HW5]])/5</f>
        <v>5</v>
      </c>
      <c r="L18" cm="1">
        <f t="array" ref="L18">Tablo3[[#This Row],[HW1]]*$D$38/Tablo11[HW1]+Tablo3[[#This Row],[HW2]]*$E$38/Tablo11[HW2]+Tablo3[[#This Row],[HW3]]*$F$38/Tablo11[HW3]+Tablo3[[#This Row],[HW4]]*$G$38/Tablo11[HW4]+Tablo3[[#This Row],[HW5]]*$H$38/Tablo11[HW5]</f>
        <v>12.5</v>
      </c>
      <c r="M18" cm="1">
        <f t="array" ref="M18">Tablo3[[#This Row],[HW1]]*$D$39/Tablo11[HW1]+Tablo3[[#This Row],[HW2]]*$E$39/Tablo11[HW2]+Tablo3[[#This Row],[HW3]]*$F$39/Tablo11[HW3]+Tablo3[[#This Row],[HW4]]*$G$39/Tablo11[HW4]+Tablo3[[#This Row],[HW5]]*$H$39/Tablo11[HW5]</f>
        <v>1</v>
      </c>
      <c r="N18" cm="1">
        <f t="array" ref="N18">Tablo3[[#This Row],[HW1]]*$D$40/Tablo11[HW1]+Tablo3[[#This Row],[HW2]]*$E$40/Tablo11[HW2]+Tablo3[[#This Row],[HW3]]*$F$40/Tablo11[HW3]+Tablo3[[#This Row],[HW4]]*$G$40/Tablo11[HW4]+Tablo3[[#This Row],[HW5]]*$H$40/Tablo11[HW5]</f>
        <v>4</v>
      </c>
      <c r="O18" cm="1">
        <f t="array" ref="O18">Tablo3[[#This Row],[HW1]]*$D$41/Tablo11[HW1]+Tablo3[[#This Row],[HW2]]*$E$41/Tablo11[HW2]+Tablo3[[#This Row],[HW3]]*$F$41/Tablo11[HW3]+Tablo3[[#This Row],[HW4]]*$G$41/Tablo11[HW4]+Tablo3[[#This Row],[HW5]]*$H$41/Tablo11[HW5]</f>
        <v>1.5</v>
      </c>
      <c r="P18">
        <f t="shared" si="0"/>
        <v>19</v>
      </c>
      <c r="Q18">
        <f>_xlfn.NORM.DIST(Tablo3[[#This Row],[TOTAL]],$T$4,$U$4,FALSE)</f>
        <v>0.20643216019283087</v>
      </c>
    </row>
    <row r="19" spans="2:17" x14ac:dyDescent="0.3">
      <c r="B19" s="50">
        <v>15</v>
      </c>
      <c r="C19" s="9">
        <v>19</v>
      </c>
      <c r="D19" s="10" t="s">
        <v>3</v>
      </c>
      <c r="E19" s="10" t="s">
        <v>4</v>
      </c>
      <c r="F19">
        <v>2</v>
      </c>
      <c r="G19">
        <v>1</v>
      </c>
      <c r="H19">
        <v>8</v>
      </c>
      <c r="I19">
        <v>8</v>
      </c>
      <c r="J19">
        <v>6</v>
      </c>
      <c r="K19">
        <f>(Tablo3[[#This Row],[HW1]]+Tablo3[[#This Row],[HW2]]+Tablo3[[#This Row],[HW3]]+Tablo3[[#This Row],[HW4]]+Tablo3[[#This Row],[HW5]])/5</f>
        <v>5</v>
      </c>
      <c r="L19" cm="1">
        <f t="array" ref="L19">Tablo3[[#This Row],[HW1]]*$D$38/Tablo11[HW1]+Tablo3[[#This Row],[HW2]]*$E$38/Tablo11[HW2]+Tablo3[[#This Row],[HW3]]*$F$38/Tablo11[HW3]+Tablo3[[#This Row],[HW4]]*$G$38/Tablo11[HW4]+Tablo3[[#This Row],[HW5]]*$H$38/Tablo11[HW5]</f>
        <v>12.833333333333332</v>
      </c>
      <c r="M19" cm="1">
        <f t="array" ref="M19">Tablo3[[#This Row],[HW1]]*$D$39/Tablo11[HW1]+Tablo3[[#This Row],[HW2]]*$E$39/Tablo11[HW2]+Tablo3[[#This Row],[HW3]]*$F$39/Tablo11[HW3]+Tablo3[[#This Row],[HW4]]*$G$39/Tablo11[HW4]+Tablo3[[#This Row],[HW5]]*$H$39/Tablo11[HW5]</f>
        <v>1</v>
      </c>
      <c r="N19" cm="1">
        <f t="array" ref="N19">Tablo3[[#This Row],[HW1]]*$D$40/Tablo11[HW1]+Tablo3[[#This Row],[HW2]]*$E$40/Tablo11[HW2]+Tablo3[[#This Row],[HW3]]*$F$40/Tablo11[HW3]+Tablo3[[#This Row],[HW4]]*$G$40/Tablo11[HW4]+Tablo3[[#This Row],[HW5]]*$H$40/Tablo11[HW5]</f>
        <v>3.833333333333333</v>
      </c>
      <c r="O19" cm="1">
        <f t="array" ref="O19">Tablo3[[#This Row],[HW1]]*$D$41/Tablo11[HW1]+Tablo3[[#This Row],[HW2]]*$E$41/Tablo11[HW2]+Tablo3[[#This Row],[HW3]]*$F$41/Tablo11[HW3]+Tablo3[[#This Row],[HW4]]*$G$41/Tablo11[HW4]+Tablo3[[#This Row],[HW5]]*$H$41/Tablo11[HW5]</f>
        <v>1</v>
      </c>
      <c r="P19">
        <f t="shared" si="0"/>
        <v>18.666666666666664</v>
      </c>
      <c r="Q19">
        <f>_xlfn.NORM.DIST(Tablo3[[#This Row],[TOTAL]],$T$4,$U$4,FALSE)</f>
        <v>0.20643216019283087</v>
      </c>
    </row>
    <row r="20" spans="2:17" x14ac:dyDescent="0.3">
      <c r="B20" s="51">
        <v>16</v>
      </c>
      <c r="C20" s="9">
        <v>17</v>
      </c>
      <c r="D20" s="10" t="s">
        <v>3</v>
      </c>
      <c r="E20" s="10" t="s">
        <v>4</v>
      </c>
      <c r="F20">
        <v>0</v>
      </c>
      <c r="G20">
        <v>2</v>
      </c>
      <c r="H20">
        <v>8</v>
      </c>
      <c r="I20">
        <v>9</v>
      </c>
      <c r="J20">
        <v>6</v>
      </c>
      <c r="K20">
        <f>(Tablo3[[#This Row],[HW1]]+Tablo3[[#This Row],[HW2]]+Tablo3[[#This Row],[HW3]]+Tablo3[[#This Row],[HW4]]+Tablo3[[#This Row],[HW5]])/5</f>
        <v>5</v>
      </c>
      <c r="L20" cm="1">
        <f t="array" ref="L20">Tablo3[[#This Row],[HW1]]*$D$38/Tablo11[HW1]+Tablo3[[#This Row],[HW2]]*$E$38/Tablo11[HW2]+Tablo3[[#This Row],[HW3]]*$F$38/Tablo11[HW3]+Tablo3[[#This Row],[HW4]]*$G$38/Tablo11[HW4]+Tablo3[[#This Row],[HW5]]*$H$38/Tablo11[HW5]</f>
        <v>14</v>
      </c>
      <c r="M20" cm="1">
        <f t="array" ref="M20">Tablo3[[#This Row],[HW1]]*$D$39/Tablo11[HW1]+Tablo3[[#This Row],[HW2]]*$E$39/Tablo11[HW2]+Tablo3[[#This Row],[HW3]]*$F$39/Tablo11[HW3]+Tablo3[[#This Row],[HW4]]*$G$39/Tablo11[HW4]+Tablo3[[#This Row],[HW5]]*$H$39/Tablo11[HW5]</f>
        <v>2</v>
      </c>
      <c r="N20" cm="1">
        <f t="array" ref="N20">Tablo3[[#This Row],[HW1]]*$D$40/Tablo11[HW1]+Tablo3[[#This Row],[HW2]]*$E$40/Tablo11[HW2]+Tablo3[[#This Row],[HW3]]*$F$40/Tablo11[HW3]+Tablo3[[#This Row],[HW4]]*$G$40/Tablo11[HW4]+Tablo3[[#This Row],[HW5]]*$H$40/Tablo11[HW5]</f>
        <v>4</v>
      </c>
      <c r="O20" cm="1">
        <f t="array" ref="O20">Tablo3[[#This Row],[HW1]]*$D$41/Tablo11[HW1]+Tablo3[[#This Row],[HW2]]*$E$41/Tablo11[HW2]+Tablo3[[#This Row],[HW3]]*$F$41/Tablo11[HW3]+Tablo3[[#This Row],[HW4]]*$G$41/Tablo11[HW4]+Tablo3[[#This Row],[HW5]]*$H$41/Tablo11[HW5]</f>
        <v>0</v>
      </c>
      <c r="P20">
        <f t="shared" si="0"/>
        <v>20</v>
      </c>
      <c r="Q20">
        <f>_xlfn.NORM.DIST(Tablo3[[#This Row],[TOTAL]],$T$4,$U$4,FALSE)</f>
        <v>0.20643216019283087</v>
      </c>
    </row>
    <row r="21" spans="2:17" x14ac:dyDescent="0.3">
      <c r="B21" s="50">
        <v>17</v>
      </c>
      <c r="C21" s="9">
        <v>12</v>
      </c>
      <c r="D21" s="10" t="s">
        <v>3</v>
      </c>
      <c r="E21" s="10" t="s">
        <v>4</v>
      </c>
      <c r="F21">
        <v>0</v>
      </c>
      <c r="G21">
        <v>2</v>
      </c>
      <c r="H21">
        <v>7</v>
      </c>
      <c r="I21">
        <v>8</v>
      </c>
      <c r="J21">
        <v>8</v>
      </c>
      <c r="K21">
        <f>(Tablo3[[#This Row],[HW1]]+Tablo3[[#This Row],[HW2]]+Tablo3[[#This Row],[HW3]]+Tablo3[[#This Row],[HW4]]+Tablo3[[#This Row],[HW5]])/5</f>
        <v>5</v>
      </c>
      <c r="L21" cm="1">
        <f t="array" ref="L21">Tablo3[[#This Row],[HW1]]*$D$38/Tablo11[HW1]+Tablo3[[#This Row],[HW2]]*$E$38/Tablo11[HW2]+Tablo3[[#This Row],[HW3]]*$F$38/Tablo11[HW3]+Tablo3[[#This Row],[HW4]]*$G$38/Tablo11[HW4]+Tablo3[[#This Row],[HW5]]*$H$38/Tablo11[HW5]</f>
        <v>13.833333333333332</v>
      </c>
      <c r="M21" cm="1">
        <f t="array" ref="M21">Tablo3[[#This Row],[HW1]]*$D$39/Tablo11[HW1]+Tablo3[[#This Row],[HW2]]*$E$39/Tablo11[HW2]+Tablo3[[#This Row],[HW3]]*$F$39/Tablo11[HW3]+Tablo3[[#This Row],[HW4]]*$G$39/Tablo11[HW4]+Tablo3[[#This Row],[HW5]]*$H$39/Tablo11[HW5]</f>
        <v>2</v>
      </c>
      <c r="N21" cm="1">
        <f t="array" ref="N21">Tablo3[[#This Row],[HW1]]*$D$40/Tablo11[HW1]+Tablo3[[#This Row],[HW2]]*$E$40/Tablo11[HW2]+Tablo3[[#This Row],[HW3]]*$F$40/Tablo11[HW3]+Tablo3[[#This Row],[HW4]]*$G$40/Tablo11[HW4]+Tablo3[[#This Row],[HW5]]*$H$40/Tablo11[HW5]</f>
        <v>4.333333333333333</v>
      </c>
      <c r="O21" cm="1">
        <f t="array" ref="O21">Tablo3[[#This Row],[HW1]]*$D$41/Tablo11[HW1]+Tablo3[[#This Row],[HW2]]*$E$41/Tablo11[HW2]+Tablo3[[#This Row],[HW3]]*$F$41/Tablo11[HW3]+Tablo3[[#This Row],[HW4]]*$G$41/Tablo11[HW4]+Tablo3[[#This Row],[HW5]]*$H$41/Tablo11[HW5]</f>
        <v>0</v>
      </c>
      <c r="P21">
        <f t="shared" si="0"/>
        <v>20.166666666666664</v>
      </c>
      <c r="Q21">
        <f>_xlfn.NORM.DIST(Tablo3[[#This Row],[TOTAL]],$T$4,$U$4,FALSE)</f>
        <v>0.20643216019283087</v>
      </c>
    </row>
    <row r="22" spans="2:17" x14ac:dyDescent="0.3">
      <c r="B22" s="51">
        <v>18</v>
      </c>
      <c r="C22" s="9">
        <v>4</v>
      </c>
      <c r="D22" s="10" t="s">
        <v>3</v>
      </c>
      <c r="E22" s="10" t="s">
        <v>4</v>
      </c>
      <c r="F22">
        <v>1</v>
      </c>
      <c r="G22">
        <v>1</v>
      </c>
      <c r="H22">
        <v>8</v>
      </c>
      <c r="I22">
        <v>9</v>
      </c>
      <c r="J22">
        <v>6</v>
      </c>
      <c r="K22">
        <f>(Tablo3[[#This Row],[HW1]]+Tablo3[[#This Row],[HW2]]+Tablo3[[#This Row],[HW3]]+Tablo3[[#This Row],[HW4]]+Tablo3[[#This Row],[HW5]])/5</f>
        <v>5</v>
      </c>
      <c r="L22" cm="1">
        <f t="array" ref="L22">Tablo3[[#This Row],[HW1]]*$D$38/Tablo11[HW1]+Tablo3[[#This Row],[HW2]]*$E$38/Tablo11[HW2]+Tablo3[[#This Row],[HW3]]*$F$38/Tablo11[HW3]+Tablo3[[#This Row],[HW4]]*$G$38/Tablo11[HW4]+Tablo3[[#This Row],[HW5]]*$H$38/Tablo11[HW5]</f>
        <v>13.5</v>
      </c>
      <c r="M22" cm="1">
        <f t="array" ref="M22">Tablo3[[#This Row],[HW1]]*$D$39/Tablo11[HW1]+Tablo3[[#This Row],[HW2]]*$E$39/Tablo11[HW2]+Tablo3[[#This Row],[HW3]]*$F$39/Tablo11[HW3]+Tablo3[[#This Row],[HW4]]*$G$39/Tablo11[HW4]+Tablo3[[#This Row],[HW5]]*$H$39/Tablo11[HW5]</f>
        <v>1</v>
      </c>
      <c r="N22" cm="1">
        <f t="array" ref="N22">Tablo3[[#This Row],[HW1]]*$D$40/Tablo11[HW1]+Tablo3[[#This Row],[HW2]]*$E$40/Tablo11[HW2]+Tablo3[[#This Row],[HW3]]*$F$40/Tablo11[HW3]+Tablo3[[#This Row],[HW4]]*$G$40/Tablo11[HW4]+Tablo3[[#This Row],[HW5]]*$H$40/Tablo11[HW5]</f>
        <v>3.75</v>
      </c>
      <c r="O22" cm="1">
        <f t="array" ref="O22">Tablo3[[#This Row],[HW1]]*$D$41/Tablo11[HW1]+Tablo3[[#This Row],[HW2]]*$E$41/Tablo11[HW2]+Tablo3[[#This Row],[HW3]]*$F$41/Tablo11[HW3]+Tablo3[[#This Row],[HW4]]*$G$41/Tablo11[HW4]+Tablo3[[#This Row],[HW5]]*$H$41/Tablo11[HW5]</f>
        <v>0.5</v>
      </c>
      <c r="P22">
        <f t="shared" si="0"/>
        <v>18.75</v>
      </c>
      <c r="Q22">
        <f>_xlfn.NORM.DIST(Tablo3[[#This Row],[TOTAL]],$T$4,$U$4,FALSE)</f>
        <v>0.20643216019283087</v>
      </c>
    </row>
    <row r="23" spans="2:17" x14ac:dyDescent="0.3">
      <c r="B23" s="50">
        <v>19</v>
      </c>
      <c r="C23" s="9">
        <v>26</v>
      </c>
      <c r="D23" s="10" t="s">
        <v>3</v>
      </c>
      <c r="E23" s="10" t="s">
        <v>4</v>
      </c>
      <c r="F23">
        <v>0</v>
      </c>
      <c r="G23">
        <v>2</v>
      </c>
      <c r="H23">
        <v>8</v>
      </c>
      <c r="I23">
        <v>8</v>
      </c>
      <c r="J23">
        <v>8</v>
      </c>
      <c r="K23">
        <f>(Tablo3[[#This Row],[HW1]]+Tablo3[[#This Row],[HW2]]+Tablo3[[#This Row],[HW3]]+Tablo3[[#This Row],[HW4]]+Tablo3[[#This Row],[HW5]])/5</f>
        <v>5.2</v>
      </c>
      <c r="L23" cm="1">
        <f t="array" ref="L23">Tablo3[[#This Row],[HW1]]*$D$38/Tablo11[HW1]+Tablo3[[#This Row],[HW2]]*$E$38/Tablo11[HW2]+Tablo3[[#This Row],[HW3]]*$F$38/Tablo11[HW3]+Tablo3[[#This Row],[HW4]]*$G$38/Tablo11[HW4]+Tablo3[[#This Row],[HW5]]*$H$38/Tablo11[HW5]</f>
        <v>14.333333333333332</v>
      </c>
      <c r="M23" cm="1">
        <f t="array" ref="M23">Tablo3[[#This Row],[HW1]]*$D$39/Tablo11[HW1]+Tablo3[[#This Row],[HW2]]*$E$39/Tablo11[HW2]+Tablo3[[#This Row],[HW3]]*$F$39/Tablo11[HW3]+Tablo3[[#This Row],[HW4]]*$G$39/Tablo11[HW4]+Tablo3[[#This Row],[HW5]]*$H$39/Tablo11[HW5]</f>
        <v>2</v>
      </c>
      <c r="N23" cm="1">
        <f t="array" ref="N23">Tablo3[[#This Row],[HW1]]*$D$40/Tablo11[HW1]+Tablo3[[#This Row],[HW2]]*$E$40/Tablo11[HW2]+Tablo3[[#This Row],[HW3]]*$F$40/Tablo11[HW3]+Tablo3[[#This Row],[HW4]]*$G$40/Tablo11[HW4]+Tablo3[[#This Row],[HW5]]*$H$40/Tablo11[HW5]</f>
        <v>4.333333333333333</v>
      </c>
      <c r="O23" cm="1">
        <f t="array" ref="O23">Tablo3[[#This Row],[HW1]]*$D$41/Tablo11[HW1]+Tablo3[[#This Row],[HW2]]*$E$41/Tablo11[HW2]+Tablo3[[#This Row],[HW3]]*$F$41/Tablo11[HW3]+Tablo3[[#This Row],[HW4]]*$G$41/Tablo11[HW4]+Tablo3[[#This Row],[HW5]]*$H$41/Tablo11[HW5]</f>
        <v>0</v>
      </c>
      <c r="P23">
        <f t="shared" si="0"/>
        <v>20.666666666666664</v>
      </c>
      <c r="Q23">
        <f>_xlfn.NORM.DIST(Tablo3[[#This Row],[TOTAL]],$T$4,$U$4,FALSE)</f>
        <v>0.20118671342007613</v>
      </c>
    </row>
    <row r="24" spans="2:17" x14ac:dyDescent="0.3">
      <c r="B24" s="51">
        <v>20</v>
      </c>
      <c r="C24" s="9">
        <v>8</v>
      </c>
      <c r="D24" s="10" t="s">
        <v>3</v>
      </c>
      <c r="E24" s="10" t="s">
        <v>4</v>
      </c>
      <c r="F24">
        <v>1</v>
      </c>
      <c r="G24">
        <v>1</v>
      </c>
      <c r="H24">
        <v>9</v>
      </c>
      <c r="I24">
        <v>10</v>
      </c>
      <c r="J24">
        <v>6</v>
      </c>
      <c r="K24">
        <f>(Tablo3[[#This Row],[HW1]]+Tablo3[[#This Row],[HW2]]+Tablo3[[#This Row],[HW3]]+Tablo3[[#This Row],[HW4]]+Tablo3[[#This Row],[HW5]])/5</f>
        <v>5.4</v>
      </c>
      <c r="L24" cm="1">
        <f t="array" ref="L24">Tablo3[[#This Row],[HW1]]*$D$38/Tablo11[HW1]+Tablo3[[#This Row],[HW2]]*$E$38/Tablo11[HW2]+Tablo3[[#This Row],[HW3]]*$F$38/Tablo11[HW3]+Tablo3[[#This Row],[HW4]]*$G$38/Tablo11[HW4]+Tablo3[[#This Row],[HW5]]*$H$38/Tablo11[HW5]</f>
        <v>14.666666666666668</v>
      </c>
      <c r="M24" cm="1">
        <f t="array" ref="M24">Tablo3[[#This Row],[HW1]]*$D$39/Tablo11[HW1]+Tablo3[[#This Row],[HW2]]*$E$39/Tablo11[HW2]+Tablo3[[#This Row],[HW3]]*$F$39/Tablo11[HW3]+Tablo3[[#This Row],[HW4]]*$G$39/Tablo11[HW4]+Tablo3[[#This Row],[HW5]]*$H$39/Tablo11[HW5]</f>
        <v>1</v>
      </c>
      <c r="N24" cm="1">
        <f t="array" ref="N24">Tablo3[[#This Row],[HW1]]*$D$40/Tablo11[HW1]+Tablo3[[#This Row],[HW2]]*$E$40/Tablo11[HW2]+Tablo3[[#This Row],[HW3]]*$F$40/Tablo11[HW3]+Tablo3[[#This Row],[HW4]]*$G$40/Tablo11[HW4]+Tablo3[[#This Row],[HW5]]*$H$40/Tablo11[HW5]</f>
        <v>3.916666666666667</v>
      </c>
      <c r="O24" cm="1">
        <f t="array" ref="O24">Tablo3[[#This Row],[HW1]]*$D$41/Tablo11[HW1]+Tablo3[[#This Row],[HW2]]*$E$41/Tablo11[HW2]+Tablo3[[#This Row],[HW3]]*$F$41/Tablo11[HW3]+Tablo3[[#This Row],[HW4]]*$G$41/Tablo11[HW4]+Tablo3[[#This Row],[HW5]]*$H$41/Tablo11[HW5]</f>
        <v>0.5</v>
      </c>
      <c r="P24">
        <f t="shared" si="0"/>
        <v>20.083333333333336</v>
      </c>
      <c r="Q24">
        <f>_xlfn.NORM.DIST(Tablo3[[#This Row],[TOTAL]],$T$4,$U$4,FALSE)</f>
        <v>0.19390819893198225</v>
      </c>
    </row>
    <row r="25" spans="2:17" x14ac:dyDescent="0.3">
      <c r="B25" s="50">
        <v>21</v>
      </c>
      <c r="C25" s="9">
        <v>7</v>
      </c>
      <c r="D25" s="10" t="s">
        <v>3</v>
      </c>
      <c r="E25" s="10" t="s">
        <v>4</v>
      </c>
      <c r="F25">
        <v>1</v>
      </c>
      <c r="G25">
        <v>1</v>
      </c>
      <c r="H25">
        <v>9</v>
      </c>
      <c r="I25">
        <v>8</v>
      </c>
      <c r="J25">
        <v>8</v>
      </c>
      <c r="K25">
        <f>(Tablo3[[#This Row],[HW1]]+Tablo3[[#This Row],[HW2]]+Tablo3[[#This Row],[HW3]]+Tablo3[[#This Row],[HW4]]+Tablo3[[#This Row],[HW5]])/5</f>
        <v>5.4</v>
      </c>
      <c r="L25" cm="1">
        <f t="array" ref="L25">Tablo3[[#This Row],[HW1]]*$D$38/Tablo11[HW1]+Tablo3[[#This Row],[HW2]]*$E$38/Tablo11[HW2]+Tablo3[[#This Row],[HW3]]*$F$38/Tablo11[HW3]+Tablo3[[#This Row],[HW4]]*$G$38/Tablo11[HW4]+Tablo3[[#This Row],[HW5]]*$H$38/Tablo11[HW5]</f>
        <v>14.333333333333332</v>
      </c>
      <c r="M25" cm="1">
        <f t="array" ref="M25">Tablo3[[#This Row],[HW1]]*$D$39/Tablo11[HW1]+Tablo3[[#This Row],[HW2]]*$E$39/Tablo11[HW2]+Tablo3[[#This Row],[HW3]]*$F$39/Tablo11[HW3]+Tablo3[[#This Row],[HW4]]*$G$39/Tablo11[HW4]+Tablo3[[#This Row],[HW5]]*$H$39/Tablo11[HW5]</f>
        <v>1</v>
      </c>
      <c r="N25" cm="1">
        <f t="array" ref="N25">Tablo3[[#This Row],[HW1]]*$D$40/Tablo11[HW1]+Tablo3[[#This Row],[HW2]]*$E$40/Tablo11[HW2]+Tablo3[[#This Row],[HW3]]*$F$40/Tablo11[HW3]+Tablo3[[#This Row],[HW4]]*$G$40/Tablo11[HW4]+Tablo3[[#This Row],[HW5]]*$H$40/Tablo11[HW5]</f>
        <v>4.083333333333333</v>
      </c>
      <c r="O25" cm="1">
        <f t="array" ref="O25">Tablo3[[#This Row],[HW1]]*$D$41/Tablo11[HW1]+Tablo3[[#This Row],[HW2]]*$E$41/Tablo11[HW2]+Tablo3[[#This Row],[HW3]]*$F$41/Tablo11[HW3]+Tablo3[[#This Row],[HW4]]*$G$41/Tablo11[HW4]+Tablo3[[#This Row],[HW5]]*$H$41/Tablo11[HW5]</f>
        <v>0.5</v>
      </c>
      <c r="P25">
        <f t="shared" si="0"/>
        <v>19.916666666666664</v>
      </c>
      <c r="Q25">
        <f>_xlfn.NORM.DIST(Tablo3[[#This Row],[TOTAL]],$T$4,$U$4,FALSE)</f>
        <v>0.19390819893198225</v>
      </c>
    </row>
    <row r="26" spans="2:17" x14ac:dyDescent="0.3">
      <c r="B26" s="51">
        <v>22</v>
      </c>
      <c r="C26" s="9">
        <v>24</v>
      </c>
      <c r="D26" s="10" t="s">
        <v>3</v>
      </c>
      <c r="E26" s="10" t="s">
        <v>4</v>
      </c>
      <c r="F26">
        <v>2</v>
      </c>
      <c r="G26">
        <v>2</v>
      </c>
      <c r="H26">
        <v>8</v>
      </c>
      <c r="I26">
        <v>8</v>
      </c>
      <c r="J26">
        <v>8</v>
      </c>
      <c r="K26">
        <f>(Tablo3[[#This Row],[HW1]]+Tablo3[[#This Row],[HW2]]+Tablo3[[#This Row],[HW3]]+Tablo3[[#This Row],[HW4]]+Tablo3[[#This Row],[HW5]])/5</f>
        <v>5.6</v>
      </c>
      <c r="L26" cm="1">
        <f t="array" ref="L26">Tablo3[[#This Row],[HW1]]*$D$38/Tablo11[HW1]+Tablo3[[#This Row],[HW2]]*$E$38/Tablo11[HW2]+Tablo3[[#This Row],[HW3]]*$F$38/Tablo11[HW3]+Tablo3[[#This Row],[HW4]]*$G$38/Tablo11[HW4]+Tablo3[[#This Row],[HW5]]*$H$38/Tablo11[HW5]</f>
        <v>14.333333333333332</v>
      </c>
      <c r="M26" cm="1">
        <f t="array" ref="M26">Tablo3[[#This Row],[HW1]]*$D$39/Tablo11[HW1]+Tablo3[[#This Row],[HW2]]*$E$39/Tablo11[HW2]+Tablo3[[#This Row],[HW3]]*$F$39/Tablo11[HW3]+Tablo3[[#This Row],[HW4]]*$G$39/Tablo11[HW4]+Tablo3[[#This Row],[HW5]]*$H$39/Tablo11[HW5]</f>
        <v>2</v>
      </c>
      <c r="N26" cm="1">
        <f t="array" ref="N26">Tablo3[[#This Row],[HW1]]*$D$40/Tablo11[HW1]+Tablo3[[#This Row],[HW2]]*$E$40/Tablo11[HW2]+Tablo3[[#This Row],[HW3]]*$F$40/Tablo11[HW3]+Tablo3[[#This Row],[HW4]]*$G$40/Tablo11[HW4]+Tablo3[[#This Row],[HW5]]*$H$40/Tablo11[HW5]</f>
        <v>4.833333333333333</v>
      </c>
      <c r="O26" cm="1">
        <f t="array" ref="O26">Tablo3[[#This Row],[HW1]]*$D$41/Tablo11[HW1]+Tablo3[[#This Row],[HW2]]*$E$41/Tablo11[HW2]+Tablo3[[#This Row],[HW3]]*$F$41/Tablo11[HW3]+Tablo3[[#This Row],[HW4]]*$G$41/Tablo11[HW4]+Tablo3[[#This Row],[HW5]]*$H$41/Tablo11[HW5]</f>
        <v>1</v>
      </c>
      <c r="P26">
        <f t="shared" si="0"/>
        <v>22.166666666666664</v>
      </c>
      <c r="Q26">
        <f>_xlfn.NORM.DIST(Tablo3[[#This Row],[TOTAL]],$T$4,$U$4,FALSE)</f>
        <v>0.18482809471308606</v>
      </c>
    </row>
    <row r="27" spans="2:17" x14ac:dyDescent="0.3">
      <c r="B27" s="50">
        <v>23</v>
      </c>
      <c r="C27" s="9">
        <v>1</v>
      </c>
      <c r="D27" s="10" t="s">
        <v>3</v>
      </c>
      <c r="E27" s="10" t="s">
        <v>4</v>
      </c>
      <c r="F27">
        <v>5</v>
      </c>
      <c r="G27">
        <v>2</v>
      </c>
      <c r="H27">
        <v>7</v>
      </c>
      <c r="I27">
        <v>8</v>
      </c>
      <c r="J27">
        <v>6</v>
      </c>
      <c r="K27">
        <f>(Tablo3[[#This Row],[HW1]]+Tablo3[[#This Row],[HW2]]+Tablo3[[#This Row],[HW3]]+Tablo3[[#This Row],[HW4]]+Tablo3[[#This Row],[HW5]])/5</f>
        <v>5.6</v>
      </c>
      <c r="L27" cm="1">
        <f t="array" ref="L27">Tablo3[[#This Row],[HW1]]*$D$38/Tablo11[HW1]+Tablo3[[#This Row],[HW2]]*$E$38/Tablo11[HW2]+Tablo3[[#This Row],[HW3]]*$F$38/Tablo11[HW3]+Tablo3[[#This Row],[HW4]]*$G$38/Tablo11[HW4]+Tablo3[[#This Row],[HW5]]*$H$38/Tablo11[HW5]</f>
        <v>12.833333333333332</v>
      </c>
      <c r="M27" cm="1">
        <f t="array" ref="M27">Tablo3[[#This Row],[HW1]]*$D$39/Tablo11[HW1]+Tablo3[[#This Row],[HW2]]*$E$39/Tablo11[HW2]+Tablo3[[#This Row],[HW3]]*$F$39/Tablo11[HW3]+Tablo3[[#This Row],[HW4]]*$G$39/Tablo11[HW4]+Tablo3[[#This Row],[HW5]]*$H$39/Tablo11[HW5]</f>
        <v>2</v>
      </c>
      <c r="N27" cm="1">
        <f t="array" ref="N27">Tablo3[[#This Row],[HW1]]*$D$40/Tablo11[HW1]+Tablo3[[#This Row],[HW2]]*$E$40/Tablo11[HW2]+Tablo3[[#This Row],[HW3]]*$F$40/Tablo11[HW3]+Tablo3[[#This Row],[HW4]]*$G$40/Tablo11[HW4]+Tablo3[[#This Row],[HW5]]*$H$40/Tablo11[HW5]</f>
        <v>5.083333333333333</v>
      </c>
      <c r="O27" cm="1">
        <f t="array" ref="O27">Tablo3[[#This Row],[HW1]]*$D$41/Tablo11[HW1]+Tablo3[[#This Row],[HW2]]*$E$41/Tablo11[HW2]+Tablo3[[#This Row],[HW3]]*$F$41/Tablo11[HW3]+Tablo3[[#This Row],[HW4]]*$G$41/Tablo11[HW4]+Tablo3[[#This Row],[HW5]]*$H$41/Tablo11[HW5]</f>
        <v>2.5</v>
      </c>
      <c r="P27">
        <f t="shared" si="0"/>
        <v>22.416666666666664</v>
      </c>
      <c r="Q27">
        <f>_xlfn.NORM.DIST(Tablo3[[#This Row],[TOTAL]],$T$4,$U$4,FALSE)</f>
        <v>0.18482809471308606</v>
      </c>
    </row>
    <row r="28" spans="2:17" x14ac:dyDescent="0.3">
      <c r="B28" s="51">
        <v>24</v>
      </c>
      <c r="C28" s="9">
        <v>30</v>
      </c>
      <c r="D28" s="10" t="s">
        <v>3</v>
      </c>
      <c r="E28" s="10" t="s">
        <v>4</v>
      </c>
      <c r="F28">
        <v>3</v>
      </c>
      <c r="G28">
        <v>2</v>
      </c>
      <c r="H28">
        <v>8</v>
      </c>
      <c r="I28">
        <v>8</v>
      </c>
      <c r="J28">
        <v>8</v>
      </c>
      <c r="K28">
        <f>(Tablo3[[#This Row],[HW1]]+Tablo3[[#This Row],[HW2]]+Tablo3[[#This Row],[HW3]]+Tablo3[[#This Row],[HW4]]+Tablo3[[#This Row],[HW5]])/5</f>
        <v>5.8</v>
      </c>
      <c r="L28" cm="1">
        <f t="array" ref="L28">Tablo3[[#This Row],[HW1]]*$D$38/Tablo11[HW1]+Tablo3[[#This Row],[HW2]]*$E$38/Tablo11[HW2]+Tablo3[[#This Row],[HW3]]*$F$38/Tablo11[HW3]+Tablo3[[#This Row],[HW4]]*$G$38/Tablo11[HW4]+Tablo3[[#This Row],[HW5]]*$H$38/Tablo11[HW5]</f>
        <v>14.333333333333332</v>
      </c>
      <c r="M28" cm="1">
        <f t="array" ref="M28">Tablo3[[#This Row],[HW1]]*$D$39/Tablo11[HW1]+Tablo3[[#This Row],[HW2]]*$E$39/Tablo11[HW2]+Tablo3[[#This Row],[HW3]]*$F$39/Tablo11[HW3]+Tablo3[[#This Row],[HW4]]*$G$39/Tablo11[HW4]+Tablo3[[#This Row],[HW5]]*$H$39/Tablo11[HW5]</f>
        <v>2</v>
      </c>
      <c r="N28" cm="1">
        <f t="array" ref="N28">Tablo3[[#This Row],[HW1]]*$D$40/Tablo11[HW1]+Tablo3[[#This Row],[HW2]]*$E$40/Tablo11[HW2]+Tablo3[[#This Row],[HW3]]*$F$40/Tablo11[HW3]+Tablo3[[#This Row],[HW4]]*$G$40/Tablo11[HW4]+Tablo3[[#This Row],[HW5]]*$H$40/Tablo11[HW5]</f>
        <v>5.083333333333333</v>
      </c>
      <c r="O28" cm="1">
        <f t="array" ref="O28">Tablo3[[#This Row],[HW1]]*$D$41/Tablo11[HW1]+Tablo3[[#This Row],[HW2]]*$E$41/Tablo11[HW2]+Tablo3[[#This Row],[HW3]]*$F$41/Tablo11[HW3]+Tablo3[[#This Row],[HW4]]*$G$41/Tablo11[HW4]+Tablo3[[#This Row],[HW5]]*$H$41/Tablo11[HW5]</f>
        <v>1.5</v>
      </c>
      <c r="P28">
        <f t="shared" si="0"/>
        <v>22.916666666666664</v>
      </c>
      <c r="Q28">
        <f>_xlfn.NORM.DIST(Tablo3[[#This Row],[TOTAL]],$T$4,$U$4,FALSE)</f>
        <v>0.17422671106222601</v>
      </c>
    </row>
    <row r="29" spans="2:17" x14ac:dyDescent="0.3">
      <c r="B29" s="50">
        <v>25</v>
      </c>
      <c r="C29" s="9">
        <v>10</v>
      </c>
      <c r="D29" s="10" t="s">
        <v>3</v>
      </c>
      <c r="E29" s="10" t="s">
        <v>4</v>
      </c>
      <c r="F29">
        <v>4</v>
      </c>
      <c r="G29">
        <v>1</v>
      </c>
      <c r="H29">
        <v>8</v>
      </c>
      <c r="I29">
        <v>8</v>
      </c>
      <c r="J29">
        <v>8</v>
      </c>
      <c r="K29">
        <f>(Tablo3[[#This Row],[HW1]]+Tablo3[[#This Row],[HW2]]+Tablo3[[#This Row],[HW3]]+Tablo3[[#This Row],[HW4]]+Tablo3[[#This Row],[HW5]])/5</f>
        <v>5.8</v>
      </c>
      <c r="L29" cm="1">
        <f t="array" ref="L29">Tablo3[[#This Row],[HW1]]*$D$38/Tablo11[HW1]+Tablo3[[#This Row],[HW2]]*$E$38/Tablo11[HW2]+Tablo3[[#This Row],[HW3]]*$F$38/Tablo11[HW3]+Tablo3[[#This Row],[HW4]]*$G$38/Tablo11[HW4]+Tablo3[[#This Row],[HW5]]*$H$38/Tablo11[HW5]</f>
        <v>13.833333333333332</v>
      </c>
      <c r="M29" cm="1">
        <f t="array" ref="M29">Tablo3[[#This Row],[HW1]]*$D$39/Tablo11[HW1]+Tablo3[[#This Row],[HW2]]*$E$39/Tablo11[HW2]+Tablo3[[#This Row],[HW3]]*$F$39/Tablo11[HW3]+Tablo3[[#This Row],[HW4]]*$G$39/Tablo11[HW4]+Tablo3[[#This Row],[HW5]]*$H$39/Tablo11[HW5]</f>
        <v>1</v>
      </c>
      <c r="N29" cm="1">
        <f t="array" ref="N29">Tablo3[[#This Row],[HW1]]*$D$40/Tablo11[HW1]+Tablo3[[#This Row],[HW2]]*$E$40/Tablo11[HW2]+Tablo3[[#This Row],[HW3]]*$F$40/Tablo11[HW3]+Tablo3[[#This Row],[HW4]]*$G$40/Tablo11[HW4]+Tablo3[[#This Row],[HW5]]*$H$40/Tablo11[HW5]</f>
        <v>4.833333333333333</v>
      </c>
      <c r="O29" cm="1">
        <f t="array" ref="O29">Tablo3[[#This Row],[HW1]]*$D$41/Tablo11[HW1]+Tablo3[[#This Row],[HW2]]*$E$41/Tablo11[HW2]+Tablo3[[#This Row],[HW3]]*$F$41/Tablo11[HW3]+Tablo3[[#This Row],[HW4]]*$G$41/Tablo11[HW4]+Tablo3[[#This Row],[HW5]]*$H$41/Tablo11[HW5]</f>
        <v>2</v>
      </c>
      <c r="P29">
        <f t="shared" si="0"/>
        <v>21.666666666666664</v>
      </c>
      <c r="Q29">
        <f>_xlfn.NORM.DIST(Tablo3[[#This Row],[TOTAL]],$T$4,$U$4,FALSE)</f>
        <v>0.17422671106222601</v>
      </c>
    </row>
    <row r="30" spans="2:17" x14ac:dyDescent="0.3">
      <c r="B30" s="51">
        <v>26</v>
      </c>
      <c r="C30" s="9">
        <v>21</v>
      </c>
      <c r="D30" s="10" t="s">
        <v>3</v>
      </c>
      <c r="E30" s="10" t="s">
        <v>4</v>
      </c>
      <c r="F30">
        <v>1</v>
      </c>
      <c r="G30">
        <v>3</v>
      </c>
      <c r="H30">
        <v>8</v>
      </c>
      <c r="I30">
        <v>10</v>
      </c>
      <c r="J30">
        <v>8</v>
      </c>
      <c r="K30">
        <f>(Tablo3[[#This Row],[HW1]]+Tablo3[[#This Row],[HW2]]+Tablo3[[#This Row],[HW3]]+Tablo3[[#This Row],[HW4]]+Tablo3[[#This Row],[HW5]])/5</f>
        <v>6</v>
      </c>
      <c r="L30" cm="1">
        <f t="array" ref="L30">Tablo3[[#This Row],[HW1]]*$D$38/Tablo11[HW1]+Tablo3[[#This Row],[HW2]]*$E$38/Tablo11[HW2]+Tablo3[[#This Row],[HW3]]*$F$38/Tablo11[HW3]+Tablo3[[#This Row],[HW4]]*$G$38/Tablo11[HW4]+Tablo3[[#This Row],[HW5]]*$H$38/Tablo11[HW5]</f>
        <v>16.166666666666668</v>
      </c>
      <c r="M30" cm="1">
        <f t="array" ref="M30">Tablo3[[#This Row],[HW1]]*$D$39/Tablo11[HW1]+Tablo3[[#This Row],[HW2]]*$E$39/Tablo11[HW2]+Tablo3[[#This Row],[HW3]]*$F$39/Tablo11[HW3]+Tablo3[[#This Row],[HW4]]*$G$39/Tablo11[HW4]+Tablo3[[#This Row],[HW5]]*$H$39/Tablo11[HW5]</f>
        <v>3</v>
      </c>
      <c r="N30" cm="1">
        <f t="array" ref="N30">Tablo3[[#This Row],[HW1]]*$D$40/Tablo11[HW1]+Tablo3[[#This Row],[HW2]]*$E$40/Tablo11[HW2]+Tablo3[[#This Row],[HW3]]*$F$40/Tablo11[HW3]+Tablo3[[#This Row],[HW4]]*$G$40/Tablo11[HW4]+Tablo3[[#This Row],[HW5]]*$H$40/Tablo11[HW5]</f>
        <v>5.416666666666667</v>
      </c>
      <c r="O30" cm="1">
        <f t="array" ref="O30">Tablo3[[#This Row],[HW1]]*$D$41/Tablo11[HW1]+Tablo3[[#This Row],[HW2]]*$E$41/Tablo11[HW2]+Tablo3[[#This Row],[HW3]]*$F$41/Tablo11[HW3]+Tablo3[[#This Row],[HW4]]*$G$41/Tablo11[HW4]+Tablo3[[#This Row],[HW5]]*$H$41/Tablo11[HW5]</f>
        <v>0.5</v>
      </c>
      <c r="P30">
        <f t="shared" si="0"/>
        <v>25.083333333333336</v>
      </c>
      <c r="Q30">
        <f>_xlfn.NORM.DIST(Tablo3[[#This Row],[TOTAL]],$T$4,$U$4,FALSE)</f>
        <v>0.16241884871807252</v>
      </c>
    </row>
    <row r="31" spans="2:17" x14ac:dyDescent="0.3">
      <c r="B31" s="50">
        <v>27</v>
      </c>
      <c r="C31" s="9">
        <v>2</v>
      </c>
      <c r="D31" s="14" t="s">
        <v>3</v>
      </c>
      <c r="E31" s="10" t="s">
        <v>4</v>
      </c>
      <c r="F31">
        <v>0</v>
      </c>
      <c r="G31">
        <v>5</v>
      </c>
      <c r="H31">
        <v>8</v>
      </c>
      <c r="I31">
        <v>9</v>
      </c>
      <c r="J31">
        <v>8</v>
      </c>
      <c r="K31">
        <f>(Tablo3[[#This Row],[HW1]]+Tablo3[[#This Row],[HW2]]+Tablo3[[#This Row],[HW3]]+Tablo3[[#This Row],[HW4]]+Tablo3[[#This Row],[HW5]])/5</f>
        <v>6</v>
      </c>
      <c r="L31" cm="1">
        <f t="array" ref="L31">Tablo3[[#This Row],[HW1]]*$D$38/Tablo11[HW1]+Tablo3[[#This Row],[HW2]]*$E$38/Tablo11[HW2]+Tablo3[[#This Row],[HW3]]*$F$38/Tablo11[HW3]+Tablo3[[#This Row],[HW4]]*$G$38/Tablo11[HW4]+Tablo3[[#This Row],[HW5]]*$H$38/Tablo11[HW5]</f>
        <v>16.5</v>
      </c>
      <c r="M31" cm="1">
        <f t="array" ref="M31">Tablo3[[#This Row],[HW1]]*$D$39/Tablo11[HW1]+Tablo3[[#This Row],[HW2]]*$E$39/Tablo11[HW2]+Tablo3[[#This Row],[HW3]]*$F$39/Tablo11[HW3]+Tablo3[[#This Row],[HW4]]*$G$39/Tablo11[HW4]+Tablo3[[#This Row],[HW5]]*$H$39/Tablo11[HW5]</f>
        <v>5</v>
      </c>
      <c r="N31" cm="1">
        <f t="array" ref="N31">Tablo3[[#This Row],[HW1]]*$D$40/Tablo11[HW1]+Tablo3[[#This Row],[HW2]]*$E$40/Tablo11[HW2]+Tablo3[[#This Row],[HW3]]*$F$40/Tablo11[HW3]+Tablo3[[#This Row],[HW4]]*$G$40/Tablo11[HW4]+Tablo3[[#This Row],[HW5]]*$H$40/Tablo11[HW5]</f>
        <v>6</v>
      </c>
      <c r="O31" cm="1">
        <f t="array" ref="O31">Tablo3[[#This Row],[HW1]]*$D$41/Tablo11[HW1]+Tablo3[[#This Row],[HW2]]*$E$41/Tablo11[HW2]+Tablo3[[#This Row],[HW3]]*$F$41/Tablo11[HW3]+Tablo3[[#This Row],[HW4]]*$G$41/Tablo11[HW4]+Tablo3[[#This Row],[HW5]]*$H$41/Tablo11[HW5]</f>
        <v>0</v>
      </c>
      <c r="P31">
        <f t="shared" si="0"/>
        <v>27.5</v>
      </c>
      <c r="Q31">
        <f>_xlfn.NORM.DIST(Tablo3[[#This Row],[TOTAL]],$T$4,$U$4,FALSE)</f>
        <v>0.16241884871807252</v>
      </c>
    </row>
    <row r="32" spans="2:17" x14ac:dyDescent="0.3">
      <c r="B32" s="51">
        <v>28</v>
      </c>
      <c r="C32" s="9">
        <v>23</v>
      </c>
      <c r="D32" s="10" t="s">
        <v>3</v>
      </c>
      <c r="E32" s="10" t="s">
        <v>4</v>
      </c>
      <c r="F32">
        <v>3</v>
      </c>
      <c r="G32">
        <v>4</v>
      </c>
      <c r="H32">
        <v>8</v>
      </c>
      <c r="I32">
        <v>10</v>
      </c>
      <c r="J32">
        <v>6</v>
      </c>
      <c r="K32">
        <f>(Tablo3[[#This Row],[HW1]]+Tablo3[[#This Row],[HW2]]+Tablo3[[#This Row],[HW3]]+Tablo3[[#This Row],[HW4]]+Tablo3[[#This Row],[HW5]])/5</f>
        <v>6.2</v>
      </c>
      <c r="L32" cm="1">
        <f t="array" ref="L32">Tablo3[[#This Row],[HW1]]*$D$38/Tablo11[HW1]+Tablo3[[#This Row],[HW2]]*$E$38/Tablo11[HW2]+Tablo3[[#This Row],[HW3]]*$F$38/Tablo11[HW3]+Tablo3[[#This Row],[HW4]]*$G$38/Tablo11[HW4]+Tablo3[[#This Row],[HW5]]*$H$38/Tablo11[HW5]</f>
        <v>15.666666666666668</v>
      </c>
      <c r="M32" cm="1">
        <f t="array" ref="M32">Tablo3[[#This Row],[HW1]]*$D$39/Tablo11[HW1]+Tablo3[[#This Row],[HW2]]*$E$39/Tablo11[HW2]+Tablo3[[#This Row],[HW3]]*$F$39/Tablo11[HW3]+Tablo3[[#This Row],[HW4]]*$G$39/Tablo11[HW4]+Tablo3[[#This Row],[HW5]]*$H$39/Tablo11[HW5]</f>
        <v>4</v>
      </c>
      <c r="N32" cm="1">
        <f t="array" ref="N32">Tablo3[[#This Row],[HW1]]*$D$40/Tablo11[HW1]+Tablo3[[#This Row],[HW2]]*$E$40/Tablo11[HW2]+Tablo3[[#This Row],[HW3]]*$F$40/Tablo11[HW3]+Tablo3[[#This Row],[HW4]]*$G$40/Tablo11[HW4]+Tablo3[[#This Row],[HW5]]*$H$40/Tablo11[HW5]</f>
        <v>5.916666666666667</v>
      </c>
      <c r="O32" cm="1">
        <f t="array" ref="O32">Tablo3[[#This Row],[HW1]]*$D$41/Tablo11[HW1]+Tablo3[[#This Row],[HW2]]*$E$41/Tablo11[HW2]+Tablo3[[#This Row],[HW3]]*$F$41/Tablo11[HW3]+Tablo3[[#This Row],[HW4]]*$G$41/Tablo11[HW4]+Tablo3[[#This Row],[HW5]]*$H$41/Tablo11[HW5]</f>
        <v>1.5</v>
      </c>
      <c r="P32">
        <f t="shared" si="0"/>
        <v>27.083333333333336</v>
      </c>
      <c r="Q32">
        <f>_xlfn.NORM.DIST(Tablo3[[#This Row],[TOTAL]],$T$4,$U$4,FALSE)</f>
        <v>0.14973835396183968</v>
      </c>
    </row>
    <row r="33" spans="2:17" x14ac:dyDescent="0.3">
      <c r="B33" s="50">
        <v>29</v>
      </c>
      <c r="C33" s="9">
        <v>15</v>
      </c>
      <c r="D33" s="10" t="s">
        <v>3</v>
      </c>
      <c r="E33" s="10" t="s">
        <v>4</v>
      </c>
      <c r="F33">
        <v>6</v>
      </c>
      <c r="G33">
        <v>3.5</v>
      </c>
      <c r="H33">
        <v>8</v>
      </c>
      <c r="I33">
        <v>10</v>
      </c>
      <c r="J33">
        <v>6</v>
      </c>
      <c r="K33">
        <f>(Tablo3[[#This Row],[HW1]]+Tablo3[[#This Row],[HW2]]+Tablo3[[#This Row],[HW3]]+Tablo3[[#This Row],[HW4]]+Tablo3[[#This Row],[HW5]])/5</f>
        <v>6.7</v>
      </c>
      <c r="L33" cm="1">
        <f t="array" ref="L33">Tablo3[[#This Row],[HW1]]*$D$38/Tablo11[HW1]+Tablo3[[#This Row],[HW2]]*$E$38/Tablo11[HW2]+Tablo3[[#This Row],[HW3]]*$F$38/Tablo11[HW3]+Tablo3[[#This Row],[HW4]]*$G$38/Tablo11[HW4]+Tablo3[[#This Row],[HW5]]*$H$38/Tablo11[HW5]</f>
        <v>15.416666666666668</v>
      </c>
      <c r="M33" cm="1">
        <f t="array" ref="M33">Tablo3[[#This Row],[HW1]]*$D$39/Tablo11[HW1]+Tablo3[[#This Row],[HW2]]*$E$39/Tablo11[HW2]+Tablo3[[#This Row],[HW3]]*$F$39/Tablo11[HW3]+Tablo3[[#This Row],[HW4]]*$G$39/Tablo11[HW4]+Tablo3[[#This Row],[HW5]]*$H$39/Tablo11[HW5]</f>
        <v>3.5</v>
      </c>
      <c r="N33" cm="1">
        <f t="array" ref="N33">Tablo3[[#This Row],[HW1]]*$D$40/Tablo11[HW1]+Tablo3[[#This Row],[HW2]]*$E$40/Tablo11[HW2]+Tablo3[[#This Row],[HW3]]*$F$40/Tablo11[HW3]+Tablo3[[#This Row],[HW4]]*$G$40/Tablo11[HW4]+Tablo3[[#This Row],[HW5]]*$H$40/Tablo11[HW5]</f>
        <v>6.416666666666667</v>
      </c>
      <c r="O33" cm="1">
        <f t="array" ref="O33">Tablo3[[#This Row],[HW1]]*$D$41/Tablo11[HW1]+Tablo3[[#This Row],[HW2]]*$E$41/Tablo11[HW2]+Tablo3[[#This Row],[HW3]]*$F$41/Tablo11[HW3]+Tablo3[[#This Row],[HW4]]*$G$41/Tablo11[HW4]+Tablo3[[#This Row],[HW5]]*$H$41/Tablo11[HW5]</f>
        <v>3</v>
      </c>
      <c r="P33">
        <f t="shared" si="0"/>
        <v>28.333333333333336</v>
      </c>
      <c r="Q33">
        <f>_xlfn.NORM.DIST(Tablo3[[#This Row],[TOTAL]],$T$4,$U$4,FALSE)</f>
        <v>0.11640321468986572</v>
      </c>
    </row>
    <row r="34" spans="2:17" x14ac:dyDescent="0.3">
      <c r="B34" s="52">
        <v>30</v>
      </c>
      <c r="C34" s="9">
        <v>16</v>
      </c>
      <c r="D34" s="10" t="s">
        <v>3</v>
      </c>
      <c r="E34" s="10" t="s">
        <v>4</v>
      </c>
      <c r="F34">
        <v>10</v>
      </c>
      <c r="G34">
        <v>10</v>
      </c>
      <c r="H34">
        <v>10</v>
      </c>
      <c r="I34">
        <v>10</v>
      </c>
      <c r="J34">
        <v>10</v>
      </c>
      <c r="K34">
        <f>(Tablo3[[#This Row],[HW1]]+Tablo3[[#This Row],[HW2]]+Tablo3[[#This Row],[HW3]]+Tablo3[[#This Row],[HW4]]+Tablo3[[#This Row],[HW5]])/5</f>
        <v>10</v>
      </c>
      <c r="L34" cm="1">
        <f t="array" ref="L34">Tablo3[[#This Row],[HW1]]*$D$38/Tablo11[HW1]+Tablo3[[#This Row],[HW2]]*$E$38/Tablo11[HW2]+Tablo3[[#This Row],[HW3]]*$F$38/Tablo11[HW3]+Tablo3[[#This Row],[HW4]]*$G$38/Tablo11[HW4]+Tablo3[[#This Row],[HW5]]*$H$38/Tablo11[HW5]</f>
        <v>21.666666666666668</v>
      </c>
      <c r="M34" cm="1">
        <f t="array" ref="M34">Tablo3[[#This Row],[HW1]]*$D$39/Tablo11[HW1]+Tablo3[[#This Row],[HW2]]*$E$39/Tablo11[HW2]+Tablo3[[#This Row],[HW3]]*$F$39/Tablo11[HW3]+Tablo3[[#This Row],[HW4]]*$G$39/Tablo11[HW4]+Tablo3[[#This Row],[HW5]]*$H$39/Tablo11[HW5]</f>
        <v>10</v>
      </c>
      <c r="N34" cm="1">
        <f t="array" ref="N34">Tablo3[[#This Row],[HW1]]*$D$40/Tablo11[HW1]+Tablo3[[#This Row],[HW2]]*$E$40/Tablo11[HW2]+Tablo3[[#This Row],[HW3]]*$F$40/Tablo11[HW3]+Tablo3[[#This Row],[HW4]]*$G$40/Tablo11[HW4]+Tablo3[[#This Row],[HW5]]*$H$40/Tablo11[HW5]</f>
        <v>11.666666666666666</v>
      </c>
      <c r="O34" cm="1">
        <f t="array" ref="O34">Tablo3[[#This Row],[HW1]]*$D$41/Tablo11[HW1]+Tablo3[[#This Row],[HW2]]*$E$41/Tablo11[HW2]+Tablo3[[#This Row],[HW3]]*$F$41/Tablo11[HW3]+Tablo3[[#This Row],[HW4]]*$G$41/Tablo11[HW4]+Tablo3[[#This Row],[HW5]]*$H$41/Tablo11[HW5]</f>
        <v>5</v>
      </c>
      <c r="P34">
        <f t="shared" si="0"/>
        <v>48.333333333333336</v>
      </c>
      <c r="Q34">
        <f>_xlfn.NORM.DIST(Tablo3[[#This Row],[TOTAL]],$T$4,$U$4,FALSE)</f>
        <v>3.8708569066472501E-3</v>
      </c>
    </row>
    <row r="37" spans="2:17" x14ac:dyDescent="0.3">
      <c r="C37" s="7" t="s">
        <v>75</v>
      </c>
      <c r="D37" s="37" t="s">
        <v>84</v>
      </c>
      <c r="E37" s="37" t="s">
        <v>85</v>
      </c>
      <c r="F37" s="37" t="s">
        <v>86</v>
      </c>
      <c r="G37" s="37" t="s">
        <v>87</v>
      </c>
      <c r="H37" s="37" t="s">
        <v>88</v>
      </c>
      <c r="I37" s="5" t="s">
        <v>76</v>
      </c>
      <c r="J37" s="26" t="s">
        <v>77</v>
      </c>
      <c r="K37" s="7" t="s">
        <v>78</v>
      </c>
      <c r="M37" s="39" t="s">
        <v>45</v>
      </c>
      <c r="N37" s="39" t="s">
        <v>46</v>
      </c>
      <c r="O37" s="7" t="s">
        <v>70</v>
      </c>
      <c r="P37" s="7" t="s">
        <v>71</v>
      </c>
    </row>
    <row r="38" spans="2:17" x14ac:dyDescent="0.3">
      <c r="C38" s="21">
        <v>1</v>
      </c>
      <c r="D38" s="38">
        <v>0</v>
      </c>
      <c r="E38" s="38">
        <v>5</v>
      </c>
      <c r="F38" s="38">
        <v>10</v>
      </c>
      <c r="G38" s="38">
        <v>20</v>
      </c>
      <c r="H38" s="38">
        <v>10</v>
      </c>
      <c r="I38" s="29">
        <f>SUM(Tablo163719[[#This Row],[HW1]:[HW5]])</f>
        <v>45</v>
      </c>
      <c r="J38" s="40">
        <f>IF(Tablo163719[[#This Row],[TOPLAM]]=0,"0",SUM(Tablo3[DÇ1])/(30*Tablo415[[#This Row],[DERS ÇIKTISI KATSAYISI]]))</f>
        <v>0.25993827160493838</v>
      </c>
      <c r="K38" s="53">
        <f>$J38*Tablo415[[#This Row],[DERS ÇIKTISI KATSAYISI]]</f>
        <v>11.697222222222226</v>
      </c>
      <c r="M38" s="28">
        <v>1</v>
      </c>
      <c r="N38" t="s">
        <v>48</v>
      </c>
      <c r="O38">
        <v>45</v>
      </c>
      <c r="P38" s="23">
        <f>Tablo415[[#This Row],[DERS ÇIKTISI KATSAYISI]]-Tablo163719[[#This Row],[TOPLAM]]</f>
        <v>0</v>
      </c>
    </row>
    <row r="39" spans="2:17" x14ac:dyDescent="0.3">
      <c r="C39" s="9">
        <v>2</v>
      </c>
      <c r="D39" s="29">
        <v>0</v>
      </c>
      <c r="E39" s="29">
        <v>10</v>
      </c>
      <c r="F39" s="29">
        <v>0</v>
      </c>
      <c r="G39" s="29">
        <v>0</v>
      </c>
      <c r="H39" s="29">
        <v>0</v>
      </c>
      <c r="I39" s="29">
        <f>SUM(Tablo163719[[#This Row],[HW1]:[HW5]])</f>
        <v>10</v>
      </c>
      <c r="J39" s="40">
        <f>IF(Tablo163719[[#This Row],[TOPLAM]]=0,"0",SUM(Tablo3[DÇ2])/(30*Tablo415[[#This Row],[DERS ÇIKTISI KATSAYISI]]))</f>
        <v>0.17833333333333334</v>
      </c>
      <c r="K39" s="54">
        <f>$J39*Tablo415[[#This Row],[DERS ÇIKTISI KATSAYISI]]</f>
        <v>1.7833333333333334</v>
      </c>
      <c r="M39" s="28">
        <v>2</v>
      </c>
      <c r="N39" t="s">
        <v>49</v>
      </c>
      <c r="O39">
        <v>10</v>
      </c>
      <c r="P39" s="23">
        <f>Tablo415[[#This Row],[DERS ÇIKTISI KATSAYISI]]-Tablo163719[[#This Row],[TOPLAM]]</f>
        <v>0</v>
      </c>
    </row>
    <row r="40" spans="2:17" x14ac:dyDescent="0.3">
      <c r="C40" s="9">
        <v>3</v>
      </c>
      <c r="D40" s="29">
        <v>5</v>
      </c>
      <c r="E40" s="29">
        <v>5</v>
      </c>
      <c r="F40" s="29">
        <v>0</v>
      </c>
      <c r="G40" s="29">
        <v>5</v>
      </c>
      <c r="H40" s="29">
        <v>5</v>
      </c>
      <c r="I40" s="29">
        <f>SUM(Tablo163719[[#This Row],[HW1]:[HW5]])</f>
        <v>20</v>
      </c>
      <c r="J40" s="40">
        <f>IF(Tablo163719[[#This Row],[TOPLAM]]=0,"0",SUM(Tablo3[DÇ3])/(30*Tablo415[[#This Row],[DERS ÇIKTISI KATSAYISI]]))</f>
        <v>0.20194444444444445</v>
      </c>
      <c r="K40" s="54">
        <f>$J40*Tablo415[[#This Row],[DERS ÇIKTISI KATSAYISI]]</f>
        <v>4.0388888888888888</v>
      </c>
      <c r="M40" s="28">
        <v>3</v>
      </c>
      <c r="N40" t="s">
        <v>50</v>
      </c>
      <c r="O40">
        <v>20</v>
      </c>
      <c r="P40" s="23">
        <f>Tablo415[[#This Row],[DERS ÇIKTISI KATSAYISI]]-Tablo163719[[#This Row],[TOPLAM]]</f>
        <v>0</v>
      </c>
    </row>
    <row r="41" spans="2:17" x14ac:dyDescent="0.3">
      <c r="C41" s="9">
        <v>4</v>
      </c>
      <c r="D41" s="29">
        <v>10</v>
      </c>
      <c r="E41" s="29">
        <v>0</v>
      </c>
      <c r="F41" s="29">
        <v>0</v>
      </c>
      <c r="G41" s="29">
        <v>0</v>
      </c>
      <c r="H41" s="29">
        <v>0</v>
      </c>
      <c r="I41" s="29">
        <f>SUM(Tablo163719[[#This Row],[HW1]:[HW5]])</f>
        <v>10</v>
      </c>
      <c r="J41" s="40">
        <f>IF(Tablo163719[[#This Row],[TOPLAM]]=0,"0",SUM(Tablo3[DÇ4])/(30*Tablo415[[#This Row],[DERS ÇIKTISI KATSAYISI]]))</f>
        <v>0.105</v>
      </c>
      <c r="K41" s="54">
        <f>$J41*Tablo415[[#This Row],[DERS ÇIKTISI KATSAYISI]]</f>
        <v>1.05</v>
      </c>
      <c r="M41" s="2">
        <v>4</v>
      </c>
      <c r="N41" t="s">
        <v>51</v>
      </c>
      <c r="O41">
        <v>10</v>
      </c>
      <c r="P41" s="23">
        <f>Tablo415[[#This Row],[DERS ÇIKTISI KATSAYISI]]-Tablo163719[[#This Row],[TOPLAM]]</f>
        <v>0</v>
      </c>
    </row>
    <row r="44" spans="2:17" x14ac:dyDescent="0.3">
      <c r="C44" s="55" t="s">
        <v>84</v>
      </c>
      <c r="D44" s="55" t="s">
        <v>85</v>
      </c>
      <c r="E44" s="55" t="s">
        <v>86</v>
      </c>
      <c r="F44" s="55" t="s">
        <v>87</v>
      </c>
      <c r="G44" s="55" t="s">
        <v>88</v>
      </c>
      <c r="H44" s="55" t="s">
        <v>73</v>
      </c>
    </row>
    <row r="45" spans="2:17" x14ac:dyDescent="0.3">
      <c r="C45" s="56">
        <v>20</v>
      </c>
      <c r="D45" s="56">
        <v>10</v>
      </c>
      <c r="E45" s="56">
        <v>20</v>
      </c>
      <c r="F45" s="56">
        <v>30</v>
      </c>
      <c r="G45" s="56">
        <v>20</v>
      </c>
      <c r="H45" s="56">
        <f>SUM(C45,D45,E45,F45,G45)</f>
        <v>100</v>
      </c>
    </row>
  </sheetData>
  <mergeCells count="1">
    <mergeCell ref="B1:V1"/>
  </mergeCells>
  <conditionalFormatting sqref="P38:P41">
    <cfRule type="cellIs" dxfId="105" priority="17" operator="equal">
      <formula>0</formula>
    </cfRule>
    <cfRule type="cellIs" dxfId="104" priority="18" operator="lessThan">
      <formula>0</formula>
    </cfRule>
  </conditionalFormatting>
  <conditionalFormatting sqref="P38">
    <cfRule type="cellIs" dxfId="103" priority="16" operator="greaterThan">
      <formula>$D$37</formula>
    </cfRule>
  </conditionalFormatting>
  <conditionalFormatting sqref="P39">
    <cfRule type="cellIs" dxfId="102" priority="15" operator="greaterThan">
      <formula>$D$38</formula>
    </cfRule>
  </conditionalFormatting>
  <conditionalFormatting sqref="P40">
    <cfRule type="cellIs" dxfId="101" priority="14" operator="greaterThan">
      <formula>$D$39</formula>
    </cfRule>
  </conditionalFormatting>
  <conditionalFormatting sqref="P41">
    <cfRule type="cellIs" dxfId="100" priority="13" operator="greaterThan">
      <formula>$D$40</formula>
    </cfRule>
  </conditionalFormatting>
  <conditionalFormatting sqref="I38">
    <cfRule type="cellIs" dxfId="99" priority="4" operator="equal">
      <formula>45</formula>
    </cfRule>
    <cfRule type="cellIs" dxfId="98" priority="8" operator="lessThan">
      <formula>$O$38</formula>
    </cfRule>
    <cfRule type="cellIs" dxfId="97" priority="12" operator="greaterThan">
      <formula>$O$38</formula>
    </cfRule>
  </conditionalFormatting>
  <conditionalFormatting sqref="I39">
    <cfRule type="cellIs" dxfId="96" priority="3" operator="equal">
      <formula>$O$39</formula>
    </cfRule>
    <cfRule type="cellIs" dxfId="95" priority="7" operator="lessThan">
      <formula>$O$39</formula>
    </cfRule>
    <cfRule type="cellIs" dxfId="94" priority="11" operator="greaterThan">
      <formula>$O$39</formula>
    </cfRule>
  </conditionalFormatting>
  <conditionalFormatting sqref="I40">
    <cfRule type="cellIs" dxfId="93" priority="2" operator="equal">
      <formula>$O$40</formula>
    </cfRule>
    <cfRule type="cellIs" dxfId="92" priority="6" operator="lessThan">
      <formula>$O$40</formula>
    </cfRule>
    <cfRule type="cellIs" dxfId="91" priority="10" operator="greaterThan">
      <formula>$O$40</formula>
    </cfRule>
  </conditionalFormatting>
  <conditionalFormatting sqref="I41">
    <cfRule type="cellIs" dxfId="90" priority="1" operator="equal">
      <formula>$O$41</formula>
    </cfRule>
    <cfRule type="cellIs" dxfId="89" priority="5" operator="lessThan">
      <formula>$O$41</formula>
    </cfRule>
    <cfRule type="cellIs" dxfId="88" priority="9" operator="greaterThan">
      <formula>$O$41</formula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CFB-FD9D-403B-8284-D42732689CEF}">
  <dimension ref="B1:Z49"/>
  <sheetViews>
    <sheetView tabSelected="1" workbookViewId="0">
      <selection activeCell="E13" sqref="E13"/>
    </sheetView>
  </sheetViews>
  <sheetFormatPr defaultRowHeight="14.4" x14ac:dyDescent="0.3"/>
  <cols>
    <col min="2" max="2" width="15.21875" bestFit="1" customWidth="1"/>
    <col min="3" max="3" width="17.44140625" bestFit="1" customWidth="1"/>
    <col min="4" max="4" width="11.6640625" bestFit="1" customWidth="1"/>
    <col min="5" max="5" width="12" customWidth="1"/>
    <col min="6" max="6" width="8.21875" bestFit="1" customWidth="1"/>
    <col min="7" max="7" width="15.21875" bestFit="1" customWidth="1"/>
    <col min="8" max="12" width="11.6640625" bestFit="1" customWidth="1"/>
    <col min="13" max="13" width="14.88671875" bestFit="1" customWidth="1"/>
    <col min="14" max="14" width="15.77734375" bestFit="1" customWidth="1"/>
    <col min="15" max="15" width="17.44140625" bestFit="1" customWidth="1"/>
    <col min="16" max="16" width="10" bestFit="1" customWidth="1"/>
    <col min="17" max="17" width="10.109375" customWidth="1"/>
    <col min="18" max="18" width="15" bestFit="1" customWidth="1"/>
    <col min="19" max="19" width="19.33203125" bestFit="1" customWidth="1"/>
    <col min="20" max="20" width="9.77734375" customWidth="1"/>
    <col min="25" max="25" width="10.77734375" customWidth="1"/>
    <col min="26" max="26" width="13.77734375" customWidth="1"/>
  </cols>
  <sheetData>
    <row r="1" spans="2:26" ht="33.6" x14ac:dyDescent="0.3">
      <c r="B1" s="1" t="s">
        <v>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4" spans="2:26" ht="15" thickBot="1" x14ac:dyDescent="0.35">
      <c r="B4" s="48" t="s">
        <v>1</v>
      </c>
      <c r="C4" s="4" t="s">
        <v>2</v>
      </c>
      <c r="D4" s="49" t="s">
        <v>3</v>
      </c>
      <c r="E4" s="49" t="s">
        <v>4</v>
      </c>
      <c r="F4" s="7" t="s">
        <v>90</v>
      </c>
      <c r="G4" s="7" t="s">
        <v>91</v>
      </c>
      <c r="H4" s="7" t="s">
        <v>92</v>
      </c>
      <c r="I4" s="7" t="s">
        <v>93</v>
      </c>
      <c r="J4" s="7" t="s">
        <v>94</v>
      </c>
      <c r="K4" s="7" t="s">
        <v>95</v>
      </c>
      <c r="L4" s="7" t="s">
        <v>96</v>
      </c>
      <c r="M4" s="7" t="s">
        <v>97</v>
      </c>
      <c r="N4" s="7" t="s">
        <v>98</v>
      </c>
      <c r="O4" s="7" t="s">
        <v>99</v>
      </c>
      <c r="P4" s="7" t="s">
        <v>100</v>
      </c>
      <c r="Q4" s="7" t="s">
        <v>101</v>
      </c>
      <c r="R4" s="7" t="s">
        <v>102</v>
      </c>
      <c r="S4" s="7" t="s">
        <v>103</v>
      </c>
      <c r="T4" s="7" t="s">
        <v>73</v>
      </c>
      <c r="U4" s="7" t="s">
        <v>64</v>
      </c>
      <c r="V4" s="7" t="s">
        <v>65</v>
      </c>
      <c r="W4" s="7" t="s">
        <v>66</v>
      </c>
      <c r="X4" s="7" t="s">
        <v>67</v>
      </c>
      <c r="Y4" s="7" t="s">
        <v>104</v>
      </c>
      <c r="Z4" s="7" t="s">
        <v>11</v>
      </c>
    </row>
    <row r="5" spans="2:26" ht="15" thickTop="1" x14ac:dyDescent="0.3">
      <c r="B5" s="50">
        <v>1</v>
      </c>
      <c r="C5" s="9">
        <v>17</v>
      </c>
      <c r="D5" s="10" t="s">
        <v>3</v>
      </c>
      <c r="E5" s="10" t="s">
        <v>4</v>
      </c>
      <c r="F5">
        <v>5</v>
      </c>
      <c r="G5">
        <v>0</v>
      </c>
      <c r="H5">
        <v>4</v>
      </c>
      <c r="I5">
        <v>4</v>
      </c>
      <c r="J5">
        <v>2</v>
      </c>
      <c r="K5">
        <v>2</v>
      </c>
      <c r="L5">
        <v>1</v>
      </c>
      <c r="M5">
        <v>4</v>
      </c>
      <c r="N5">
        <v>5</v>
      </c>
      <c r="O5">
        <v>0</v>
      </c>
      <c r="P5">
        <v>3</v>
      </c>
      <c r="Q5">
        <v>2</v>
      </c>
      <c r="R5">
        <v>0</v>
      </c>
      <c r="S5">
        <v>1</v>
      </c>
      <c r="T5">
        <f>SUM(Tablo314[[#This Row],[LW1]:[LW14]])</f>
        <v>33</v>
      </c>
      <c r="U5" cm="1">
        <f t="array" ref="U5">F5/Tablo27[LW1]*$C$37+Tablo314[[#This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15.5</v>
      </c>
      <c r="V5" cm="1">
        <f t="array" ref="V5">F5/Tablo27[LW1]*$C$38+Tablo314[[#This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14.5</v>
      </c>
      <c r="W5" cm="1">
        <f t="array" ref="W5">F5/Tablo27[LW1]*$C$39+Tablo314[[#This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16</v>
      </c>
      <c r="X5" cm="1">
        <f t="array" ref="X5">F5/Tablo27[LW1]*$C$40+Tablo314[[#This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20</v>
      </c>
      <c r="Y5">
        <f>SUM(Tablo314[[#This Row],[DÇ1]],Tablo314[[#This Row],[DÇ2]],Tablo314[[#This Row],[DÇ3]],Tablo314[[#This Row],[DÇ4]])</f>
        <v>66</v>
      </c>
      <c r="Z5" cm="1">
        <f t="array" ref="Z5">_xlfn.NORM.DIST(Tablo314[[#This Row],[TOTAL]],Tablo29[Mean],Tablo29[Variance],FALSE)</f>
        <v>4.2256317597747228E-3</v>
      </c>
    </row>
    <row r="6" spans="2:26" x14ac:dyDescent="0.3">
      <c r="B6" s="51">
        <v>2</v>
      </c>
      <c r="C6" s="9">
        <v>1</v>
      </c>
      <c r="D6" s="10" t="s">
        <v>3</v>
      </c>
      <c r="E6" s="10" t="s">
        <v>4</v>
      </c>
      <c r="F6">
        <v>1</v>
      </c>
      <c r="G6">
        <v>4</v>
      </c>
      <c r="H6">
        <v>2</v>
      </c>
      <c r="I6">
        <v>3</v>
      </c>
      <c r="J6">
        <v>4</v>
      </c>
      <c r="K6">
        <v>2</v>
      </c>
      <c r="L6">
        <v>5</v>
      </c>
      <c r="M6">
        <v>5</v>
      </c>
      <c r="N6">
        <v>1</v>
      </c>
      <c r="O6">
        <v>3</v>
      </c>
      <c r="P6">
        <v>0</v>
      </c>
      <c r="Q6">
        <v>2</v>
      </c>
      <c r="R6">
        <v>2</v>
      </c>
      <c r="S6">
        <v>1</v>
      </c>
      <c r="T6">
        <f>SUM(Tablo314[[#This Row],[LW1]:[LW14]])</f>
        <v>35</v>
      </c>
      <c r="U6" cm="1">
        <f t="array" ref="U6">F6/Tablo27[LW1]*$C$37+Tablo314[[#This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9</v>
      </c>
      <c r="V6" cm="1">
        <f t="array" ref="V6">F6/Tablo27[LW1]*$C$38+Tablo314[[#This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18.5</v>
      </c>
      <c r="W6" cm="1">
        <f t="array" ref="W6">F6/Tablo27[LW1]*$C$39+Tablo314[[#This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20</v>
      </c>
      <c r="X6" cm="1">
        <f t="array" ref="X6">F6/Tablo27[LW1]*$C$40+Tablo314[[#This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23</v>
      </c>
      <c r="Y6">
        <f>SUM(Tablo314[[#This Row],[DÇ1]],Tablo314[[#This Row],[DÇ2]],Tablo314[[#This Row],[DÇ3]],Tablo314[[#This Row],[DÇ4]])</f>
        <v>70.5</v>
      </c>
      <c r="Z6" cm="1">
        <f t="array" ref="Z6">_xlfn.NORM.DIST(Tablo314[[#This Row],[TOTAL]],Tablo29[Mean],Tablo29[Variance],FALSE)</f>
        <v>4.2432936677509877E-3</v>
      </c>
    </row>
    <row r="7" spans="2:26" x14ac:dyDescent="0.3">
      <c r="B7" s="50">
        <v>3</v>
      </c>
      <c r="C7" s="9">
        <v>2</v>
      </c>
      <c r="D7" s="14" t="s">
        <v>3</v>
      </c>
      <c r="E7" s="10" t="s">
        <v>4</v>
      </c>
      <c r="F7">
        <v>5</v>
      </c>
      <c r="G7">
        <v>1</v>
      </c>
      <c r="H7">
        <v>3</v>
      </c>
      <c r="I7">
        <v>0</v>
      </c>
      <c r="J7">
        <v>1</v>
      </c>
      <c r="K7">
        <v>6</v>
      </c>
      <c r="L7">
        <v>4</v>
      </c>
      <c r="M7">
        <v>5</v>
      </c>
      <c r="N7">
        <v>2</v>
      </c>
      <c r="O7">
        <v>3</v>
      </c>
      <c r="P7">
        <v>2</v>
      </c>
      <c r="Q7">
        <v>2</v>
      </c>
      <c r="R7">
        <v>0</v>
      </c>
      <c r="S7">
        <v>1</v>
      </c>
      <c r="T7">
        <f>SUM(Tablo314[[#This Row],[LW1]:[LW14]])</f>
        <v>35</v>
      </c>
      <c r="U7" cm="1">
        <f t="array" ref="U7">F7/Tablo27[LW1]*$C$37+Tablo314[[#This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17</v>
      </c>
      <c r="V7" cm="1">
        <f t="array" ref="V7">F7/Tablo27[LW1]*$C$38+Tablo314[[#This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16.5</v>
      </c>
      <c r="W7" cm="1">
        <f t="array" ref="W7">F7/Tablo27[LW1]*$C$39+Tablo314[[#This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19</v>
      </c>
      <c r="X7" cm="1">
        <f t="array" ref="X7">F7/Tablo27[LW1]*$C$40+Tablo314[[#This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19</v>
      </c>
      <c r="Y7">
        <f>SUM(Tablo314[[#This Row],[DÇ1]],Tablo314[[#This Row],[DÇ2]],Tablo314[[#This Row],[DÇ3]],Tablo314[[#This Row],[DÇ4]])</f>
        <v>71.5</v>
      </c>
      <c r="Z7" cm="1">
        <f t="array" ref="Z7">_xlfn.NORM.DIST(Tablo314[[#This Row],[TOTAL]],Tablo29[Mean],Tablo29[Variance],FALSE)</f>
        <v>4.2432936677509877E-3</v>
      </c>
    </row>
    <row r="8" spans="2:26" x14ac:dyDescent="0.3">
      <c r="B8" s="51">
        <v>4</v>
      </c>
      <c r="C8" s="9">
        <v>12</v>
      </c>
      <c r="D8" s="10" t="s">
        <v>3</v>
      </c>
      <c r="E8" s="10" t="s">
        <v>4</v>
      </c>
      <c r="F8">
        <v>0</v>
      </c>
      <c r="G8">
        <v>2</v>
      </c>
      <c r="H8">
        <v>5</v>
      </c>
      <c r="I8">
        <v>3</v>
      </c>
      <c r="J8">
        <v>0</v>
      </c>
      <c r="K8">
        <v>0</v>
      </c>
      <c r="L8">
        <v>0</v>
      </c>
      <c r="M8">
        <v>3</v>
      </c>
      <c r="N8">
        <v>3</v>
      </c>
      <c r="O8">
        <v>0</v>
      </c>
      <c r="P8">
        <v>6</v>
      </c>
      <c r="Q8">
        <v>0</v>
      </c>
      <c r="R8">
        <v>6</v>
      </c>
      <c r="S8">
        <v>8</v>
      </c>
      <c r="T8">
        <f>SUM(Tablo314[[#This Row],[LW1]:[LW14]])</f>
        <v>36</v>
      </c>
      <c r="U8" cm="1">
        <f t="array" ref="U8">F8/Tablo27[LW1]*$C$37+Tablo314[[#This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11</v>
      </c>
      <c r="V8" cm="1">
        <f t="array" ref="V8">F8/Tablo27[LW1]*$C$38+Tablo314[[#This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13</v>
      </c>
      <c r="W8" cm="1">
        <f t="array" ref="W8">F8/Tablo27[LW1]*$C$39+Tablo314[[#This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16</v>
      </c>
      <c r="X8" cm="1">
        <f t="array" ref="X8">F8/Tablo27[LW1]*$C$40+Tablo314[[#This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19</v>
      </c>
      <c r="Y8">
        <f>SUM(Tablo314[[#This Row],[DÇ1]],Tablo314[[#This Row],[DÇ2]],Tablo314[[#This Row],[DÇ3]],Tablo314[[#This Row],[DÇ4]])</f>
        <v>59</v>
      </c>
      <c r="Z8" cm="1">
        <f t="array" ref="Z8">_xlfn.NORM.DIST(Tablo314[[#This Row],[TOTAL]],Tablo29[Mean],Tablo29[Variance],FALSE)</f>
        <v>4.251406456380895E-3</v>
      </c>
    </row>
    <row r="9" spans="2:26" x14ac:dyDescent="0.3">
      <c r="B9" s="50">
        <v>5</v>
      </c>
      <c r="C9" s="9">
        <v>3</v>
      </c>
      <c r="D9" s="14" t="s">
        <v>3</v>
      </c>
      <c r="E9" s="10" t="s">
        <v>4</v>
      </c>
      <c r="F9">
        <v>5</v>
      </c>
      <c r="G9">
        <v>2</v>
      </c>
      <c r="H9">
        <v>5</v>
      </c>
      <c r="I9">
        <v>5</v>
      </c>
      <c r="J9">
        <v>1</v>
      </c>
      <c r="K9">
        <v>7</v>
      </c>
      <c r="L9">
        <v>5</v>
      </c>
      <c r="M9">
        <v>1</v>
      </c>
      <c r="N9">
        <v>3</v>
      </c>
      <c r="O9">
        <v>2</v>
      </c>
      <c r="P9">
        <v>1</v>
      </c>
      <c r="Q9">
        <v>1</v>
      </c>
      <c r="R9">
        <v>2</v>
      </c>
      <c r="S9">
        <v>0</v>
      </c>
      <c r="T9">
        <f>SUM(Tablo314[[#This Row],[LW1]:[LW14]])</f>
        <v>40</v>
      </c>
      <c r="U9" cm="1">
        <f t="array" ref="U9">F9/Tablo27[LW1]*$C$37+Tablo314[[#This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15</v>
      </c>
      <c r="V9" cm="1">
        <f t="array" ref="V9">F9/Tablo27[LW1]*$C$38+Tablo314[[#This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21</v>
      </c>
      <c r="W9" cm="1">
        <f t="array" ref="W9">F9/Tablo27[LW1]*$C$39+Tablo314[[#This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16.5</v>
      </c>
      <c r="X9" cm="1">
        <f t="array" ref="X9">F9/Tablo27[LW1]*$C$40+Tablo314[[#This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21.5</v>
      </c>
      <c r="Y9">
        <f>SUM(Tablo314[[#This Row],[DÇ1]],Tablo314[[#This Row],[DÇ2]],Tablo314[[#This Row],[DÇ3]],Tablo314[[#This Row],[DÇ4]])</f>
        <v>74</v>
      </c>
      <c r="Z9" cm="1">
        <f t="array" ref="Z9">_xlfn.NORM.DIST(Tablo314[[#This Row],[TOTAL]],Tablo29[Mean],Tablo29[Variance],FALSE)</f>
        <v>4.2790060550299217E-3</v>
      </c>
    </row>
    <row r="10" spans="2:26" x14ac:dyDescent="0.3">
      <c r="B10" s="51">
        <v>6</v>
      </c>
      <c r="C10" s="9">
        <v>22</v>
      </c>
      <c r="D10" s="10" t="s">
        <v>3</v>
      </c>
      <c r="E10" s="10" t="s">
        <v>4</v>
      </c>
      <c r="F10">
        <v>5</v>
      </c>
      <c r="G10">
        <v>5</v>
      </c>
      <c r="H10">
        <v>2</v>
      </c>
      <c r="I10">
        <v>0</v>
      </c>
      <c r="J10">
        <v>0</v>
      </c>
      <c r="K10">
        <v>8</v>
      </c>
      <c r="L10">
        <v>5</v>
      </c>
      <c r="M10">
        <v>5</v>
      </c>
      <c r="N10">
        <v>5</v>
      </c>
      <c r="O10">
        <v>2</v>
      </c>
      <c r="P10">
        <v>2</v>
      </c>
      <c r="Q10">
        <v>0</v>
      </c>
      <c r="R10">
        <v>3</v>
      </c>
      <c r="S10">
        <v>0</v>
      </c>
      <c r="T10">
        <f>SUM(Tablo314[[#This Row],[LW1]:[LW14]])</f>
        <v>42</v>
      </c>
      <c r="U10" cm="1">
        <f t="array" ref="U10">F10/Tablo27[LW1]*$C$37+Tablo314[[#This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17</v>
      </c>
      <c r="V10" cm="1">
        <f t="array" ref="V10">F10/Tablo27[LW1]*$C$38+Tablo314[[#This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23</v>
      </c>
      <c r="W10" cm="1">
        <f t="array" ref="W10">F10/Tablo27[LW1]*$C$39+Tablo314[[#This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22.5</v>
      </c>
      <c r="X10" cm="1">
        <f t="array" ref="X10">F10/Tablo27[LW1]*$C$40+Tablo314[[#This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22.5</v>
      </c>
      <c r="Y10">
        <f>SUM(Tablo314[[#This Row],[DÇ1]],Tablo314[[#This Row],[DÇ2]],Tablo314[[#This Row],[DÇ3]],Tablo314[[#This Row],[DÇ4]])</f>
        <v>85</v>
      </c>
      <c r="Z10" cm="1">
        <f t="array" ref="Z10">_xlfn.NORM.DIST(Tablo314[[#This Row],[TOTAL]],Tablo29[Mean],Tablo29[Variance],FALSE)</f>
        <v>4.2898618775489101E-3</v>
      </c>
    </row>
    <row r="11" spans="2:26" x14ac:dyDescent="0.3">
      <c r="B11" s="50">
        <v>7</v>
      </c>
      <c r="C11" s="9">
        <v>11</v>
      </c>
      <c r="D11" s="10" t="s">
        <v>3</v>
      </c>
      <c r="E11" s="10" t="s">
        <v>4</v>
      </c>
      <c r="F11">
        <v>5</v>
      </c>
      <c r="G11">
        <v>5</v>
      </c>
      <c r="H11">
        <v>1</v>
      </c>
      <c r="I11">
        <v>2</v>
      </c>
      <c r="J11">
        <v>1</v>
      </c>
      <c r="K11">
        <v>1</v>
      </c>
      <c r="L11">
        <v>3</v>
      </c>
      <c r="M11">
        <v>5</v>
      </c>
      <c r="N11">
        <v>0</v>
      </c>
      <c r="O11">
        <v>8</v>
      </c>
      <c r="P11">
        <v>7</v>
      </c>
      <c r="Q11">
        <v>2</v>
      </c>
      <c r="R11">
        <v>1</v>
      </c>
      <c r="S11">
        <v>2</v>
      </c>
      <c r="T11">
        <f>SUM(Tablo314[[#This Row],[LW1]:[LW14]])</f>
        <v>43</v>
      </c>
      <c r="U11" cm="1">
        <f t="array" ref="U11">F11/Tablo27[LW1]*$C$37+Tablo314[[#This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15</v>
      </c>
      <c r="V11" cm="1">
        <f t="array" ref="V11">F11/Tablo27[LW1]*$C$38+Tablo314[[#This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18</v>
      </c>
      <c r="W11" cm="1">
        <f t="array" ref="W11">F11/Tablo27[LW1]*$C$39+Tablo314[[#This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19.5</v>
      </c>
      <c r="X11" cm="1">
        <f t="array" ref="X11">F11/Tablo27[LW1]*$C$40+Tablo314[[#This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21.5</v>
      </c>
      <c r="Y11">
        <f>SUM(Tablo314[[#This Row],[DÇ1]],Tablo314[[#This Row],[DÇ2]],Tablo314[[#This Row],[DÇ3]],Tablo314[[#This Row],[DÇ4]])</f>
        <v>74</v>
      </c>
      <c r="Z11" cm="1">
        <f t="array" ref="Z11">_xlfn.NORM.DIST(Tablo314[[#This Row],[TOTAL]],Tablo29[Mean],Tablo29[Variance],FALSE)</f>
        <v>4.2945467150302128E-3</v>
      </c>
    </row>
    <row r="12" spans="2:26" x14ac:dyDescent="0.3">
      <c r="B12" s="51">
        <v>8</v>
      </c>
      <c r="C12" s="9">
        <v>30</v>
      </c>
      <c r="D12" s="10" t="s">
        <v>3</v>
      </c>
      <c r="E12" s="10" t="s">
        <v>4</v>
      </c>
      <c r="F12">
        <v>2</v>
      </c>
      <c r="G12">
        <v>1</v>
      </c>
      <c r="H12">
        <v>5</v>
      </c>
      <c r="I12">
        <v>4</v>
      </c>
      <c r="J12">
        <v>5</v>
      </c>
      <c r="K12">
        <v>9</v>
      </c>
      <c r="L12">
        <v>5</v>
      </c>
      <c r="M12">
        <v>5</v>
      </c>
      <c r="N12">
        <v>0</v>
      </c>
      <c r="O12">
        <v>0</v>
      </c>
      <c r="P12">
        <v>1</v>
      </c>
      <c r="Q12">
        <v>1</v>
      </c>
      <c r="R12">
        <v>5</v>
      </c>
      <c r="S12">
        <v>2</v>
      </c>
      <c r="T12">
        <f>SUM(Tablo314[[#This Row],[LW1]:[LW14]])</f>
        <v>45</v>
      </c>
      <c r="U12" cm="1">
        <f t="array" ref="U12">F12/Tablo27[LW1]*$C$37+Tablo314[[#This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17</v>
      </c>
      <c r="V12" cm="1">
        <f t="array" ref="V12">F12/Tablo27[LW1]*$C$38+Tablo314[[#This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21</v>
      </c>
      <c r="W12" cm="1">
        <f t="array" ref="W12">F12/Tablo27[LW1]*$C$39+Tablo314[[#This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24</v>
      </c>
      <c r="X12" cm="1">
        <f t="array" ref="X12">F12/Tablo27[LW1]*$C$40+Tablo314[[#This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28</v>
      </c>
      <c r="Y12">
        <f>SUM(Tablo314[[#This Row],[DÇ1]],Tablo314[[#This Row],[DÇ2]],Tablo314[[#This Row],[DÇ3]],Tablo314[[#This Row],[DÇ4]])</f>
        <v>90</v>
      </c>
      <c r="Z12" cm="1">
        <f t="array" ref="Z12">_xlfn.NORM.DIST(Tablo314[[#This Row],[TOTAL]],Tablo29[Mean],Tablo29[Variance],FALSE)</f>
        <v>4.3024220538293171E-3</v>
      </c>
    </row>
    <row r="13" spans="2:26" x14ac:dyDescent="0.3">
      <c r="B13" s="50">
        <v>9</v>
      </c>
      <c r="C13" s="9">
        <v>29</v>
      </c>
      <c r="D13" s="10" t="s">
        <v>3</v>
      </c>
      <c r="E13" s="10" t="s">
        <v>4</v>
      </c>
      <c r="F13">
        <v>0</v>
      </c>
      <c r="G13">
        <v>5</v>
      </c>
      <c r="H13">
        <v>1</v>
      </c>
      <c r="I13">
        <v>0</v>
      </c>
      <c r="J13">
        <v>5</v>
      </c>
      <c r="K13">
        <v>1</v>
      </c>
      <c r="L13">
        <v>3</v>
      </c>
      <c r="M13">
        <v>5</v>
      </c>
      <c r="N13">
        <v>5</v>
      </c>
      <c r="O13">
        <v>6</v>
      </c>
      <c r="P13">
        <v>4</v>
      </c>
      <c r="Q13">
        <v>1</v>
      </c>
      <c r="R13">
        <v>4</v>
      </c>
      <c r="S13">
        <v>7</v>
      </c>
      <c r="T13">
        <f>SUM(Tablo314[[#This Row],[LW1]:[LW14]])</f>
        <v>47</v>
      </c>
      <c r="U13" cm="1">
        <f t="array" ref="U13">F13/Tablo27[LW1]*$C$37+Tablo314[[#This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8.5</v>
      </c>
      <c r="V13" cm="1">
        <f t="array" ref="V13">F13/Tablo27[LW1]*$C$38+Tablo314[[#This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24.5</v>
      </c>
      <c r="W13" cm="1">
        <f t="array" ref="W13">F13/Tablo27[LW1]*$C$39+Tablo314[[#This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29.5</v>
      </c>
      <c r="X13" cm="1">
        <f t="array" ref="X13">F13/Tablo27[LW1]*$C$40+Tablo314[[#This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29.5</v>
      </c>
      <c r="Y13">
        <f>SUM(Tablo314[[#This Row],[DÇ1]],Tablo314[[#This Row],[DÇ2]],Tablo314[[#This Row],[DÇ3]],Tablo314[[#This Row],[DÇ4]])</f>
        <v>92</v>
      </c>
      <c r="Z13" cm="1">
        <f t="array" ref="Z13">_xlfn.NORM.DIST(Tablo314[[#This Row],[TOTAL]],Tablo29[Mean],Tablo29[Variance],FALSE)</f>
        <v>4.3082960479747072E-3</v>
      </c>
    </row>
    <row r="14" spans="2:26" x14ac:dyDescent="0.3">
      <c r="B14" s="51">
        <v>10</v>
      </c>
      <c r="C14" s="9">
        <v>6</v>
      </c>
      <c r="D14" s="10" t="s">
        <v>3</v>
      </c>
      <c r="E14" s="10" t="s">
        <v>4</v>
      </c>
      <c r="F14">
        <v>0</v>
      </c>
      <c r="G14">
        <v>3</v>
      </c>
      <c r="H14">
        <v>5</v>
      </c>
      <c r="I14">
        <v>0</v>
      </c>
      <c r="J14">
        <v>2</v>
      </c>
      <c r="K14">
        <v>8</v>
      </c>
      <c r="L14">
        <v>1</v>
      </c>
      <c r="M14">
        <v>4</v>
      </c>
      <c r="N14">
        <v>5</v>
      </c>
      <c r="O14">
        <v>0</v>
      </c>
      <c r="P14">
        <v>7</v>
      </c>
      <c r="Q14">
        <v>3</v>
      </c>
      <c r="R14">
        <v>2</v>
      </c>
      <c r="S14">
        <v>9</v>
      </c>
      <c r="T14">
        <f>SUM(Tablo314[[#This Row],[LW1]:[LW14]])</f>
        <v>49</v>
      </c>
      <c r="U14" cm="1">
        <f t="array" ref="U14">F14/Tablo27[LW1]*$C$37+Tablo314[[#This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16.5</v>
      </c>
      <c r="V14" cm="1">
        <f t="array" ref="V14">F14/Tablo27[LW1]*$C$38+Tablo314[[#This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23.5</v>
      </c>
      <c r="W14" cm="1">
        <f t="array" ref="W14">F14/Tablo27[LW1]*$C$39+Tablo314[[#This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26.5</v>
      </c>
      <c r="X14" cm="1">
        <f t="array" ref="X14">F14/Tablo27[LW1]*$C$40+Tablo314[[#This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26.5</v>
      </c>
      <c r="Y14">
        <f>SUM(Tablo314[[#This Row],[DÇ1]],Tablo314[[#This Row],[DÇ2]],Tablo314[[#This Row],[DÇ3]],Tablo314[[#This Row],[DÇ4]])</f>
        <v>93</v>
      </c>
      <c r="Z14" cm="1">
        <f t="array" ref="Z14">_xlfn.NORM.DIST(Tablo314[[#This Row],[TOTAL]],Tablo29[Mean],Tablo29[Variance],FALSE)</f>
        <v>4.3121604671926758E-3</v>
      </c>
    </row>
    <row r="15" spans="2:26" x14ac:dyDescent="0.3">
      <c r="B15" s="50">
        <v>11</v>
      </c>
      <c r="C15" s="9">
        <v>9</v>
      </c>
      <c r="D15" s="10" t="s">
        <v>3</v>
      </c>
      <c r="E15" s="10" t="s">
        <v>4</v>
      </c>
      <c r="F15">
        <v>4</v>
      </c>
      <c r="G15">
        <v>5</v>
      </c>
      <c r="H15">
        <v>5</v>
      </c>
      <c r="I15">
        <v>5</v>
      </c>
      <c r="J15">
        <v>1</v>
      </c>
      <c r="K15">
        <v>4</v>
      </c>
      <c r="L15">
        <v>0</v>
      </c>
      <c r="M15">
        <v>5</v>
      </c>
      <c r="N15">
        <v>5</v>
      </c>
      <c r="O15">
        <v>7</v>
      </c>
      <c r="P15">
        <v>0</v>
      </c>
      <c r="Q15">
        <v>0</v>
      </c>
      <c r="R15">
        <v>7</v>
      </c>
      <c r="S15">
        <v>1</v>
      </c>
      <c r="T15">
        <f>SUM(Tablo314[[#This Row],[LW1]:[LW14]])</f>
        <v>49</v>
      </c>
      <c r="U15" cm="1">
        <f t="array" ref="U15">F15/Tablo27[LW1]*$C$37+Tablo314[[#This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16</v>
      </c>
      <c r="V15" cm="1">
        <f t="array" ref="V15">F15/Tablo27[LW1]*$C$38+Tablo314[[#This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21.5</v>
      </c>
      <c r="W15" cm="1">
        <f t="array" ref="W15">F15/Tablo27[LW1]*$C$39+Tablo314[[#This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20.5</v>
      </c>
      <c r="X15" cm="1">
        <f t="array" ref="X15">F15/Tablo27[LW1]*$C$40+Tablo314[[#This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25.5</v>
      </c>
      <c r="Y15">
        <f>SUM(Tablo314[[#This Row],[DÇ1]],Tablo314[[#This Row],[DÇ2]],Tablo314[[#This Row],[DÇ3]],Tablo314[[#This Row],[DÇ4]])</f>
        <v>83.5</v>
      </c>
      <c r="Z15" cm="1">
        <f t="array" ref="Z15">_xlfn.NORM.DIST(Tablo314[[#This Row],[TOTAL]],Tablo29[Mean],Tablo29[Variance],FALSE)</f>
        <v>4.3121604671926758E-3</v>
      </c>
    </row>
    <row r="16" spans="2:26" x14ac:dyDescent="0.3">
      <c r="B16" s="51">
        <v>12</v>
      </c>
      <c r="C16" s="9">
        <v>18</v>
      </c>
      <c r="D16" s="10" t="s">
        <v>3</v>
      </c>
      <c r="E16" s="10" t="s">
        <v>4</v>
      </c>
      <c r="F16">
        <v>5</v>
      </c>
      <c r="G16">
        <v>1</v>
      </c>
      <c r="H16">
        <v>5</v>
      </c>
      <c r="I16">
        <v>5</v>
      </c>
      <c r="J16">
        <v>5</v>
      </c>
      <c r="K16">
        <v>6</v>
      </c>
      <c r="L16">
        <v>5</v>
      </c>
      <c r="M16">
        <v>2</v>
      </c>
      <c r="N16">
        <v>3</v>
      </c>
      <c r="O16">
        <v>3</v>
      </c>
      <c r="P16">
        <v>1</v>
      </c>
      <c r="Q16">
        <v>2</v>
      </c>
      <c r="R16">
        <v>2</v>
      </c>
      <c r="S16">
        <v>4</v>
      </c>
      <c r="T16">
        <f>SUM(Tablo314[[#This Row],[LW1]:[LW14]])</f>
        <v>49</v>
      </c>
      <c r="U16" cm="1">
        <f t="array" ref="U16">F16/Tablo27[LW1]*$C$37+Tablo314[[#This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15.5</v>
      </c>
      <c r="V16" cm="1">
        <f t="array" ref="V16">F16/Tablo27[LW1]*$C$38+Tablo314[[#This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24</v>
      </c>
      <c r="W16" cm="1">
        <f t="array" ref="W16">F16/Tablo27[LW1]*$C$39+Tablo314[[#This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24</v>
      </c>
      <c r="X16" cm="1">
        <f t="array" ref="X16">F16/Tablo27[LW1]*$C$40+Tablo314[[#This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29</v>
      </c>
      <c r="Y16">
        <f>SUM(Tablo314[[#This Row],[DÇ1]],Tablo314[[#This Row],[DÇ2]],Tablo314[[#This Row],[DÇ3]],Tablo314[[#This Row],[DÇ4]])</f>
        <v>92.5</v>
      </c>
      <c r="Z16" cm="1">
        <f t="array" ref="Z16">_xlfn.NORM.DIST(Tablo314[[#This Row],[TOTAL]],Tablo29[Mean],Tablo29[Variance],FALSE)</f>
        <v>4.3121604671926758E-3</v>
      </c>
    </row>
    <row r="17" spans="2:26" x14ac:dyDescent="0.3">
      <c r="B17" s="50">
        <v>13</v>
      </c>
      <c r="C17" s="9">
        <v>8</v>
      </c>
      <c r="D17" s="10" t="s">
        <v>3</v>
      </c>
      <c r="E17" s="10" t="s">
        <v>4</v>
      </c>
      <c r="F17">
        <v>4</v>
      </c>
      <c r="G17">
        <v>3</v>
      </c>
      <c r="H17">
        <v>5</v>
      </c>
      <c r="I17">
        <v>5</v>
      </c>
      <c r="J17">
        <v>1</v>
      </c>
      <c r="K17">
        <v>8</v>
      </c>
      <c r="L17">
        <v>5</v>
      </c>
      <c r="M17">
        <v>0</v>
      </c>
      <c r="N17">
        <v>0</v>
      </c>
      <c r="O17">
        <v>3</v>
      </c>
      <c r="P17">
        <v>6</v>
      </c>
      <c r="Q17">
        <v>2</v>
      </c>
      <c r="R17">
        <v>6</v>
      </c>
      <c r="S17">
        <v>2</v>
      </c>
      <c r="T17">
        <f>SUM(Tablo314[[#This Row],[LW1]:[LW14]])</f>
        <v>50</v>
      </c>
      <c r="U17" cm="1">
        <f t="array" ref="U17">F17/Tablo27[LW1]*$C$37+Tablo314[[#This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16</v>
      </c>
      <c r="V17" cm="1">
        <f t="array" ref="V17">F17/Tablo27[LW1]*$C$38+Tablo314[[#This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22.5</v>
      </c>
      <c r="W17" cm="1">
        <f t="array" ref="W17">F17/Tablo27[LW1]*$C$39+Tablo314[[#This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19.5</v>
      </c>
      <c r="X17" cm="1">
        <f t="array" ref="X17">F17/Tablo27[LW1]*$C$40+Tablo314[[#This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24.5</v>
      </c>
      <c r="Y17">
        <f>SUM(Tablo314[[#This Row],[DÇ1]],Tablo314[[#This Row],[DÇ2]],Tablo314[[#This Row],[DÇ3]],Tablo314[[#This Row],[DÇ4]])</f>
        <v>82.5</v>
      </c>
      <c r="Z17" cm="1">
        <f t="array" ref="Z17">_xlfn.NORM.DIST(Tablo314[[#This Row],[TOTAL]],Tablo29[Mean],Tablo29[Variance],FALSE)</f>
        <v>4.313337282650564E-3</v>
      </c>
    </row>
    <row r="18" spans="2:26" x14ac:dyDescent="0.3">
      <c r="B18" s="51">
        <v>14</v>
      </c>
      <c r="C18" s="9">
        <v>21</v>
      </c>
      <c r="D18" s="10" t="s">
        <v>3</v>
      </c>
      <c r="E18" s="10" t="s">
        <v>4</v>
      </c>
      <c r="F18">
        <v>5</v>
      </c>
      <c r="G18">
        <v>0</v>
      </c>
      <c r="H18">
        <v>4</v>
      </c>
      <c r="I18">
        <v>1</v>
      </c>
      <c r="J18">
        <v>5</v>
      </c>
      <c r="K18">
        <v>3</v>
      </c>
      <c r="L18">
        <v>5</v>
      </c>
      <c r="M18">
        <v>3</v>
      </c>
      <c r="N18">
        <v>2</v>
      </c>
      <c r="O18">
        <v>3</v>
      </c>
      <c r="P18">
        <v>7</v>
      </c>
      <c r="Q18">
        <v>5</v>
      </c>
      <c r="R18">
        <v>1</v>
      </c>
      <c r="S18">
        <v>9</v>
      </c>
      <c r="T18">
        <f>SUM(Tablo314[[#This Row],[LW1]:[LW14]])</f>
        <v>53</v>
      </c>
      <c r="U18" cm="1">
        <f t="array" ref="U18">F18/Tablo27[LW1]*$C$37+Tablo314[[#This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17</v>
      </c>
      <c r="V18" cm="1">
        <f t="array" ref="V18">F18/Tablo27[LW1]*$C$38+Tablo314[[#This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22.5</v>
      </c>
      <c r="W18" cm="1">
        <f t="array" ref="W18">F18/Tablo27[LW1]*$C$39+Tablo314[[#This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29</v>
      </c>
      <c r="X18" cm="1">
        <f t="array" ref="X18">F18/Tablo27[LW1]*$C$40+Tablo314[[#This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30</v>
      </c>
      <c r="Y18">
        <f>SUM(Tablo314[[#This Row],[DÇ1]],Tablo314[[#This Row],[DÇ2]],Tablo314[[#This Row],[DÇ3]],Tablo314[[#This Row],[DÇ4]])</f>
        <v>98.5</v>
      </c>
      <c r="Z18" cm="1">
        <f t="array" ref="Z18">_xlfn.NORM.DIST(Tablo314[[#This Row],[TOTAL]],Tablo29[Mean],Tablo29[Variance],FALSE)</f>
        <v>4.3138417304417745E-3</v>
      </c>
    </row>
    <row r="19" spans="2:26" x14ac:dyDescent="0.3">
      <c r="B19" s="50">
        <v>15</v>
      </c>
      <c r="C19" s="9">
        <v>5</v>
      </c>
      <c r="D19" s="10" t="s">
        <v>3</v>
      </c>
      <c r="E19" s="10" t="s">
        <v>4</v>
      </c>
      <c r="F19">
        <v>5</v>
      </c>
      <c r="G19">
        <v>3</v>
      </c>
      <c r="H19">
        <v>2</v>
      </c>
      <c r="I19">
        <v>1</v>
      </c>
      <c r="J19">
        <v>0</v>
      </c>
      <c r="K19">
        <v>8</v>
      </c>
      <c r="L19">
        <v>5</v>
      </c>
      <c r="M19">
        <v>2</v>
      </c>
      <c r="N19">
        <v>0</v>
      </c>
      <c r="O19">
        <v>7</v>
      </c>
      <c r="P19">
        <v>2</v>
      </c>
      <c r="Q19">
        <v>9</v>
      </c>
      <c r="R19">
        <v>3</v>
      </c>
      <c r="S19">
        <v>7</v>
      </c>
      <c r="T19">
        <f>SUM(Tablo314[[#This Row],[LW1]:[LW14]])</f>
        <v>54</v>
      </c>
      <c r="U19" cm="1">
        <f t="array" ref="U19">F19/Tablo27[LW1]*$C$37+Tablo314[[#This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14</v>
      </c>
      <c r="V19" cm="1">
        <f t="array" ref="V19">F19/Tablo27[LW1]*$C$38+Tablo314[[#This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18.5</v>
      </c>
      <c r="W19" cm="1">
        <f t="array" ref="W19">F19/Tablo27[LW1]*$C$39+Tablo314[[#This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25</v>
      </c>
      <c r="X19" cm="1">
        <f t="array" ref="X19">F19/Tablo27[LW1]*$C$40+Tablo314[[#This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26</v>
      </c>
      <c r="Y19">
        <f>SUM(Tablo314[[#This Row],[DÇ1]],Tablo314[[#This Row],[DÇ2]],Tablo314[[#This Row],[DÇ3]],Tablo314[[#This Row],[DÇ4]])</f>
        <v>83.5</v>
      </c>
      <c r="Z19" cm="1">
        <f t="array" ref="Z19">_xlfn.NORM.DIST(Tablo314[[#This Row],[TOTAL]],Tablo29[Mean],Tablo29[Variance],FALSE)</f>
        <v>4.3130010168949727E-3</v>
      </c>
    </row>
    <row r="20" spans="2:26" x14ac:dyDescent="0.3">
      <c r="B20" s="51">
        <v>16</v>
      </c>
      <c r="C20" s="9">
        <v>10</v>
      </c>
      <c r="D20" s="10" t="s">
        <v>3</v>
      </c>
      <c r="E20" s="10" t="s">
        <v>4</v>
      </c>
      <c r="F20">
        <v>0</v>
      </c>
      <c r="G20">
        <v>5</v>
      </c>
      <c r="H20">
        <v>1</v>
      </c>
      <c r="I20">
        <v>3</v>
      </c>
      <c r="J20">
        <v>0</v>
      </c>
      <c r="K20">
        <v>5</v>
      </c>
      <c r="L20">
        <v>0</v>
      </c>
      <c r="M20">
        <v>3</v>
      </c>
      <c r="N20">
        <v>9</v>
      </c>
      <c r="O20">
        <v>3</v>
      </c>
      <c r="P20">
        <v>7</v>
      </c>
      <c r="Q20">
        <v>2</v>
      </c>
      <c r="R20">
        <v>8</v>
      </c>
      <c r="S20">
        <v>8</v>
      </c>
      <c r="T20">
        <f>SUM(Tablo314[[#This Row],[LW1]:[LW14]])</f>
        <v>54</v>
      </c>
      <c r="U20" cm="1">
        <f t="array" ref="U20">F20/Tablo27[LW1]*$C$37+Tablo314[[#This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10</v>
      </c>
      <c r="V20" cm="1">
        <f t="array" ref="V20">F20/Tablo27[LW1]*$C$38+Tablo314[[#This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22.5</v>
      </c>
      <c r="W20" cm="1">
        <f t="array" ref="W20">F20/Tablo27[LW1]*$C$39+Tablo314[[#This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28.5</v>
      </c>
      <c r="X20" cm="1">
        <f t="array" ref="X20">F20/Tablo27[LW1]*$C$40+Tablo314[[#This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31.5</v>
      </c>
      <c r="Y20">
        <f>SUM(Tablo314[[#This Row],[DÇ1]],Tablo314[[#This Row],[DÇ2]],Tablo314[[#This Row],[DÇ3]],Tablo314[[#This Row],[DÇ4]])</f>
        <v>92.5</v>
      </c>
      <c r="Z20" cm="1">
        <f t="array" ref="Z20">_xlfn.NORM.DIST(Tablo314[[#This Row],[TOTAL]],Tablo29[Mean],Tablo29[Variance],FALSE)</f>
        <v>4.3130010168949727E-3</v>
      </c>
    </row>
    <row r="21" spans="2:26" x14ac:dyDescent="0.3">
      <c r="B21" s="50">
        <v>17</v>
      </c>
      <c r="C21" s="9">
        <v>27</v>
      </c>
      <c r="D21" s="10" t="s">
        <v>3</v>
      </c>
      <c r="E21" s="10" t="s">
        <v>4</v>
      </c>
      <c r="F21">
        <v>3</v>
      </c>
      <c r="G21">
        <v>5</v>
      </c>
      <c r="H21">
        <v>4</v>
      </c>
      <c r="I21">
        <v>3</v>
      </c>
      <c r="J21">
        <v>4</v>
      </c>
      <c r="K21">
        <v>8</v>
      </c>
      <c r="L21">
        <v>5</v>
      </c>
      <c r="M21">
        <v>5</v>
      </c>
      <c r="N21">
        <v>5</v>
      </c>
      <c r="O21">
        <v>2</v>
      </c>
      <c r="P21">
        <v>1</v>
      </c>
      <c r="Q21">
        <v>1</v>
      </c>
      <c r="R21">
        <v>6</v>
      </c>
      <c r="S21">
        <v>3</v>
      </c>
      <c r="T21">
        <f>SUM(Tablo314[[#This Row],[LW1]:[LW14]])</f>
        <v>55</v>
      </c>
      <c r="U21" cm="1">
        <f t="array" ref="U21">F21/Tablo27[LW1]*$C$37+Tablo314[[#This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16.5</v>
      </c>
      <c r="V21" cm="1">
        <f t="array" ref="V21">F21/Tablo27[LW1]*$C$38+Tablo314[[#This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28.5</v>
      </c>
      <c r="W21" cm="1">
        <f t="array" ref="W21">F21/Tablo27[LW1]*$C$39+Tablo314[[#This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29.5</v>
      </c>
      <c r="X21" cm="1">
        <f t="array" ref="X21">F21/Tablo27[LW1]*$C$40+Tablo314[[#This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32.5</v>
      </c>
      <c r="Y21">
        <f>SUM(Tablo314[[#This Row],[DÇ1]],Tablo314[[#This Row],[DÇ2]],Tablo314[[#This Row],[DÇ3]],Tablo314[[#This Row],[DÇ4]])</f>
        <v>107</v>
      </c>
      <c r="Z21" cm="1">
        <f t="array" ref="Z21">_xlfn.NORM.DIST(Tablo314[[#This Row],[TOTAL]],Tablo29[Mean],Tablo29[Variance],FALSE)</f>
        <v>4.311656216003378E-3</v>
      </c>
    </row>
    <row r="22" spans="2:26" x14ac:dyDescent="0.3">
      <c r="B22" s="51">
        <v>18</v>
      </c>
      <c r="C22" s="9">
        <v>16</v>
      </c>
      <c r="D22" s="10" t="s">
        <v>3</v>
      </c>
      <c r="E22" s="10" t="s">
        <v>4</v>
      </c>
      <c r="F22">
        <v>3</v>
      </c>
      <c r="G22">
        <v>2</v>
      </c>
      <c r="H22">
        <v>0</v>
      </c>
      <c r="I22">
        <v>5</v>
      </c>
      <c r="J22">
        <v>5</v>
      </c>
      <c r="K22">
        <v>1</v>
      </c>
      <c r="L22">
        <v>2</v>
      </c>
      <c r="M22">
        <v>2</v>
      </c>
      <c r="N22">
        <v>2</v>
      </c>
      <c r="O22">
        <v>8</v>
      </c>
      <c r="P22">
        <v>2</v>
      </c>
      <c r="Q22">
        <v>8</v>
      </c>
      <c r="R22">
        <v>8</v>
      </c>
      <c r="S22">
        <v>8</v>
      </c>
      <c r="T22">
        <f>SUM(Tablo314[[#This Row],[LW1]:[LW14]])</f>
        <v>56</v>
      </c>
      <c r="U22" cm="1">
        <f t="array" ref="U22">F22/Tablo27[LW1]*$C$37+Tablo314[[#This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6.5</v>
      </c>
      <c r="V22" cm="1">
        <f t="array" ref="V22">F22/Tablo27[LW1]*$C$38+Tablo314[[#This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16.5</v>
      </c>
      <c r="W22" cm="1">
        <f t="array" ref="W22">F22/Tablo27[LW1]*$C$39+Tablo314[[#This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28.5</v>
      </c>
      <c r="X22" cm="1">
        <f t="array" ref="X22">F22/Tablo27[LW1]*$C$40+Tablo314[[#This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33.5</v>
      </c>
      <c r="Y22">
        <f>SUM(Tablo314[[#This Row],[DÇ1]],Tablo314[[#This Row],[DÇ2]],Tablo314[[#This Row],[DÇ3]],Tablo314[[#This Row],[DÇ4]])</f>
        <v>85</v>
      </c>
      <c r="Z22" cm="1">
        <f t="array" ref="Z22">_xlfn.NORM.DIST(Tablo314[[#This Row],[TOTAL]],Tablo29[Mean],Tablo29[Variance],FALSE)</f>
        <v>4.3098077994072441E-3</v>
      </c>
    </row>
    <row r="23" spans="2:26" x14ac:dyDescent="0.3">
      <c r="B23" s="50">
        <v>19</v>
      </c>
      <c r="C23" s="9">
        <v>20</v>
      </c>
      <c r="D23" s="10" t="s">
        <v>3</v>
      </c>
      <c r="E23" s="10" t="s">
        <v>4</v>
      </c>
      <c r="F23">
        <v>0</v>
      </c>
      <c r="G23">
        <v>5</v>
      </c>
      <c r="H23">
        <v>0</v>
      </c>
      <c r="I23">
        <v>4</v>
      </c>
      <c r="J23">
        <v>5</v>
      </c>
      <c r="K23">
        <v>0</v>
      </c>
      <c r="L23">
        <v>1</v>
      </c>
      <c r="M23">
        <v>5</v>
      </c>
      <c r="N23">
        <v>3</v>
      </c>
      <c r="O23">
        <v>9</v>
      </c>
      <c r="P23">
        <v>4</v>
      </c>
      <c r="Q23">
        <v>2</v>
      </c>
      <c r="R23">
        <v>9</v>
      </c>
      <c r="S23">
        <v>9</v>
      </c>
      <c r="T23">
        <f>SUM(Tablo314[[#This Row],[LW1]:[LW14]])</f>
        <v>56</v>
      </c>
      <c r="U23" cm="1">
        <f t="array" ref="U23">F23/Tablo27[LW1]*$C$37+Tablo314[[#This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7</v>
      </c>
      <c r="V23" cm="1">
        <f t="array" ref="V23">F23/Tablo27[LW1]*$C$38+Tablo314[[#This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20.5</v>
      </c>
      <c r="W23" cm="1">
        <f t="array" ref="W23">F23/Tablo27[LW1]*$C$39+Tablo314[[#This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30.5</v>
      </c>
      <c r="X23" cm="1">
        <f t="array" ref="X23">F23/Tablo27[LW1]*$C$40+Tablo314[[#This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34.5</v>
      </c>
      <c r="Y23">
        <f>SUM(Tablo314[[#This Row],[DÇ1]],Tablo314[[#This Row],[DÇ2]],Tablo314[[#This Row],[DÇ3]],Tablo314[[#This Row],[DÇ4]])</f>
        <v>92.5</v>
      </c>
      <c r="Z23" cm="1">
        <f t="array" ref="Z23">_xlfn.NORM.DIST(Tablo314[[#This Row],[TOTAL]],Tablo29[Mean],Tablo29[Variance],FALSE)</f>
        <v>4.3098077994072441E-3</v>
      </c>
    </row>
    <row r="24" spans="2:26" x14ac:dyDescent="0.3">
      <c r="B24" s="51">
        <v>20</v>
      </c>
      <c r="C24" s="9">
        <v>25</v>
      </c>
      <c r="D24" s="10" t="s">
        <v>3</v>
      </c>
      <c r="E24" s="10" t="s">
        <v>4</v>
      </c>
      <c r="F24">
        <v>5</v>
      </c>
      <c r="G24">
        <v>5</v>
      </c>
      <c r="H24">
        <v>2</v>
      </c>
      <c r="I24">
        <v>5</v>
      </c>
      <c r="J24">
        <v>2</v>
      </c>
      <c r="K24">
        <v>2</v>
      </c>
      <c r="L24">
        <v>5</v>
      </c>
      <c r="M24">
        <v>0</v>
      </c>
      <c r="N24">
        <v>5</v>
      </c>
      <c r="O24">
        <v>3</v>
      </c>
      <c r="P24">
        <v>4</v>
      </c>
      <c r="Q24">
        <v>4</v>
      </c>
      <c r="R24">
        <v>5</v>
      </c>
      <c r="S24">
        <v>9</v>
      </c>
      <c r="T24">
        <f>SUM(Tablo314[[#This Row],[LW1]:[LW14]])</f>
        <v>56</v>
      </c>
      <c r="U24" cm="1">
        <f t="array" ref="U24">F24/Tablo27[LW1]*$C$37+Tablo314[[#This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10</v>
      </c>
      <c r="V24" cm="1">
        <f t="array" ref="V24">F24/Tablo27[LW1]*$C$38+Tablo314[[#This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23.5</v>
      </c>
      <c r="W24" cm="1">
        <f t="array" ref="W24">F24/Tablo27[LW1]*$C$39+Tablo314[[#This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25.5</v>
      </c>
      <c r="X24" cm="1">
        <f t="array" ref="X24">F24/Tablo27[LW1]*$C$40+Tablo314[[#This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30.5</v>
      </c>
      <c r="Y24">
        <f>SUM(Tablo314[[#This Row],[DÇ1]],Tablo314[[#This Row],[DÇ2]],Tablo314[[#This Row],[DÇ3]],Tablo314[[#This Row],[DÇ4]])</f>
        <v>89.5</v>
      </c>
      <c r="Z24" cm="1">
        <f t="array" ref="Z24">_xlfn.NORM.DIST(Tablo314[[#This Row],[TOTAL]],Tablo29[Mean],Tablo29[Variance],FALSE)</f>
        <v>4.3098077994072441E-3</v>
      </c>
    </row>
    <row r="25" spans="2:26" x14ac:dyDescent="0.3">
      <c r="B25" s="50">
        <v>21</v>
      </c>
      <c r="C25" s="9">
        <v>24</v>
      </c>
      <c r="D25" s="10" t="s">
        <v>3</v>
      </c>
      <c r="E25" s="10" t="s">
        <v>4</v>
      </c>
      <c r="F25">
        <v>5</v>
      </c>
      <c r="G25">
        <v>5</v>
      </c>
      <c r="H25">
        <v>5</v>
      </c>
      <c r="I25">
        <v>0</v>
      </c>
      <c r="J25">
        <v>5</v>
      </c>
      <c r="K25">
        <v>0</v>
      </c>
      <c r="L25">
        <v>2</v>
      </c>
      <c r="M25">
        <v>3</v>
      </c>
      <c r="N25">
        <v>4</v>
      </c>
      <c r="O25">
        <v>6</v>
      </c>
      <c r="P25">
        <v>4</v>
      </c>
      <c r="Q25">
        <v>6</v>
      </c>
      <c r="R25">
        <v>9</v>
      </c>
      <c r="S25">
        <v>3</v>
      </c>
      <c r="T25">
        <f>SUM(Tablo314[[#This Row],[LW1]:[LW14]])</f>
        <v>57</v>
      </c>
      <c r="U25" cm="1">
        <f t="array" ref="U25">F25/Tablo27[LW1]*$C$37+Tablo314[[#This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15</v>
      </c>
      <c r="V25" cm="1">
        <f t="array" ref="V25">F25/Tablo27[LW1]*$C$38+Tablo314[[#This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26</v>
      </c>
      <c r="W25" cm="1">
        <f t="array" ref="W25">F25/Tablo27[LW1]*$C$39+Tablo314[[#This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28</v>
      </c>
      <c r="X25" cm="1">
        <f t="array" ref="X25">F25/Tablo27[LW1]*$C$40+Tablo314[[#This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28</v>
      </c>
      <c r="Y25">
        <f>SUM(Tablo314[[#This Row],[DÇ1]],Tablo314[[#This Row],[DÇ2]],Tablo314[[#This Row],[DÇ3]],Tablo314[[#This Row],[DÇ4]])</f>
        <v>97</v>
      </c>
      <c r="Z25" cm="1">
        <f t="array" ref="Z25">_xlfn.NORM.DIST(Tablo314[[#This Row],[TOTAL]],Tablo29[Mean],Tablo29[Variance],FALSE)</f>
        <v>4.3074564152117325E-3</v>
      </c>
    </row>
    <row r="26" spans="2:26" x14ac:dyDescent="0.3">
      <c r="B26" s="51">
        <v>22</v>
      </c>
      <c r="C26" s="9">
        <v>28</v>
      </c>
      <c r="D26" s="10" t="s">
        <v>3</v>
      </c>
      <c r="E26" s="10" t="s">
        <v>4</v>
      </c>
      <c r="F26">
        <v>5</v>
      </c>
      <c r="G26">
        <v>5</v>
      </c>
      <c r="H26">
        <v>4</v>
      </c>
      <c r="I26">
        <v>2</v>
      </c>
      <c r="J26">
        <v>5</v>
      </c>
      <c r="K26">
        <v>9</v>
      </c>
      <c r="L26">
        <v>5</v>
      </c>
      <c r="M26">
        <v>3</v>
      </c>
      <c r="N26">
        <v>5</v>
      </c>
      <c r="O26">
        <v>2</v>
      </c>
      <c r="P26">
        <v>7</v>
      </c>
      <c r="Q26">
        <v>0</v>
      </c>
      <c r="R26">
        <v>1</v>
      </c>
      <c r="S26">
        <v>5</v>
      </c>
      <c r="T26">
        <f>SUM(Tablo314[[#This Row],[LW1]:[LW14]])</f>
        <v>58</v>
      </c>
      <c r="U26" cm="1">
        <f t="array" ref="U26">F26/Tablo27[LW1]*$C$37+Tablo314[[#This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20</v>
      </c>
      <c r="V26" cm="1">
        <f t="array" ref="V26">F26/Tablo27[LW1]*$C$38+Tablo314[[#This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33</v>
      </c>
      <c r="W26" cm="1">
        <f t="array" ref="W26">F26/Tablo27[LW1]*$C$39+Tablo314[[#This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30</v>
      </c>
      <c r="X26" cm="1">
        <f t="array" ref="X26">F26/Tablo27[LW1]*$C$40+Tablo314[[#This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32</v>
      </c>
      <c r="Y26">
        <f>SUM(Tablo314[[#This Row],[DÇ1]],Tablo314[[#This Row],[DÇ2]],Tablo314[[#This Row],[DÇ3]],Tablo314[[#This Row],[DÇ4]])</f>
        <v>115</v>
      </c>
      <c r="Z26" cm="1">
        <f t="array" ref="Z26">_xlfn.NORM.DIST(Tablo314[[#This Row],[TOTAL]],Tablo29[Mean],Tablo29[Variance],FALSE)</f>
        <v>4.3046028876081843E-3</v>
      </c>
    </row>
    <row r="27" spans="2:26" x14ac:dyDescent="0.3">
      <c r="B27" s="50">
        <v>23</v>
      </c>
      <c r="C27" s="9">
        <v>26</v>
      </c>
      <c r="D27" s="10" t="s">
        <v>3</v>
      </c>
      <c r="E27" s="10" t="s">
        <v>4</v>
      </c>
      <c r="F27">
        <v>5</v>
      </c>
      <c r="G27">
        <v>5</v>
      </c>
      <c r="H27">
        <v>9</v>
      </c>
      <c r="I27">
        <v>5</v>
      </c>
      <c r="J27">
        <v>1</v>
      </c>
      <c r="K27">
        <v>3</v>
      </c>
      <c r="L27">
        <v>5</v>
      </c>
      <c r="M27">
        <v>5</v>
      </c>
      <c r="N27">
        <v>5</v>
      </c>
      <c r="O27">
        <v>2</v>
      </c>
      <c r="P27">
        <v>1</v>
      </c>
      <c r="Q27">
        <v>3</v>
      </c>
      <c r="R27">
        <v>3</v>
      </c>
      <c r="S27">
        <v>7</v>
      </c>
      <c r="T27">
        <f>SUM(Tablo314[[#This Row],[LW1]:[LW14]])</f>
        <v>59</v>
      </c>
      <c r="U27" cm="1">
        <f t="array" ref="U27">F27/Tablo27[LW1]*$C$37+Tablo314[[#This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21</v>
      </c>
      <c r="V27" cm="1">
        <f t="array" ref="V27">F27/Tablo27[LW1]*$C$38+Tablo314[[#This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28</v>
      </c>
      <c r="W27" cm="1">
        <f t="array" ref="W27">F27/Tablo27[LW1]*$C$39+Tablo314[[#This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25.5</v>
      </c>
      <c r="X27" cm="1">
        <f t="array" ref="X27">F27/Tablo27[LW1]*$C$40+Tablo314[[#This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30.5</v>
      </c>
      <c r="Y27">
        <f>SUM(Tablo314[[#This Row],[DÇ1]],Tablo314[[#This Row],[DÇ2]],Tablo314[[#This Row],[DÇ3]],Tablo314[[#This Row],[DÇ4]])</f>
        <v>105</v>
      </c>
      <c r="Z27" cm="1">
        <f t="array" ref="Z27">_xlfn.NORM.DIST(Tablo314[[#This Row],[TOTAL]],Tablo29[Mean],Tablo29[Variance],FALSE)</f>
        <v>4.3012482163926596E-3</v>
      </c>
    </row>
    <row r="28" spans="2:26" x14ac:dyDescent="0.3">
      <c r="B28" s="51">
        <v>24</v>
      </c>
      <c r="C28" s="9">
        <v>14</v>
      </c>
      <c r="D28" s="10" t="s">
        <v>3</v>
      </c>
      <c r="E28" s="10" t="s">
        <v>4</v>
      </c>
      <c r="F28">
        <v>3</v>
      </c>
      <c r="G28">
        <v>3</v>
      </c>
      <c r="H28">
        <v>5</v>
      </c>
      <c r="I28">
        <v>5</v>
      </c>
      <c r="J28">
        <v>5</v>
      </c>
      <c r="K28">
        <v>3</v>
      </c>
      <c r="L28">
        <v>5</v>
      </c>
      <c r="M28">
        <v>5</v>
      </c>
      <c r="N28">
        <v>0</v>
      </c>
      <c r="O28">
        <v>5</v>
      </c>
      <c r="P28">
        <v>7</v>
      </c>
      <c r="Q28">
        <v>5</v>
      </c>
      <c r="R28">
        <v>4</v>
      </c>
      <c r="S28">
        <v>5</v>
      </c>
      <c r="T28">
        <f>SUM(Tablo314[[#This Row],[LW1]:[LW14]])</f>
        <v>60</v>
      </c>
      <c r="U28" cm="1">
        <f t="array" ref="U28">F28/Tablo27[LW1]*$C$37+Tablo314[[#This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18</v>
      </c>
      <c r="V28" cm="1">
        <f t="array" ref="V28">F28/Tablo27[LW1]*$C$38+Tablo314[[#This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25.5</v>
      </c>
      <c r="W28" cm="1">
        <f t="array" ref="W28">F28/Tablo27[LW1]*$C$39+Tablo314[[#This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29.5</v>
      </c>
      <c r="X28" cm="1">
        <f t="array" ref="X28">F28/Tablo27[LW1]*$C$40+Tablo314[[#This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34.5</v>
      </c>
      <c r="Y28">
        <f>SUM(Tablo314[[#This Row],[DÇ1]],Tablo314[[#This Row],[DÇ2]],Tablo314[[#This Row],[DÇ3]],Tablo314[[#This Row],[DÇ4]])</f>
        <v>107.5</v>
      </c>
      <c r="Z28" cm="1">
        <f t="array" ref="Z28">_xlfn.NORM.DIST(Tablo314[[#This Row],[TOTAL]],Tablo29[Mean],Tablo29[Variance],FALSE)</f>
        <v>4.2973935763821261E-3</v>
      </c>
    </row>
    <row r="29" spans="2:26" x14ac:dyDescent="0.3">
      <c r="B29" s="50">
        <v>25</v>
      </c>
      <c r="C29" s="9">
        <v>13</v>
      </c>
      <c r="D29" s="10" t="s">
        <v>3</v>
      </c>
      <c r="E29" s="10" t="s">
        <v>4</v>
      </c>
      <c r="F29">
        <v>1</v>
      </c>
      <c r="G29">
        <v>5</v>
      </c>
      <c r="H29">
        <v>0</v>
      </c>
      <c r="I29">
        <v>1</v>
      </c>
      <c r="J29">
        <v>2</v>
      </c>
      <c r="K29">
        <v>4</v>
      </c>
      <c r="L29">
        <v>4</v>
      </c>
      <c r="M29">
        <v>5</v>
      </c>
      <c r="N29">
        <v>5</v>
      </c>
      <c r="O29">
        <v>9</v>
      </c>
      <c r="P29">
        <v>8</v>
      </c>
      <c r="Q29">
        <v>5</v>
      </c>
      <c r="R29">
        <v>4</v>
      </c>
      <c r="S29">
        <v>8</v>
      </c>
      <c r="T29">
        <f>SUM(Tablo314[[#This Row],[LW1]:[LW14]])</f>
        <v>61</v>
      </c>
      <c r="U29" cm="1">
        <f t="array" ref="U29">F29/Tablo27[LW1]*$C$37+Tablo314[[#This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12</v>
      </c>
      <c r="V29" cm="1">
        <f t="array" ref="V29">F29/Tablo27[LW1]*$C$38+Tablo314[[#This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26.5</v>
      </c>
      <c r="W29" cm="1">
        <f t="array" ref="W29">F29/Tablo27[LW1]*$C$39+Tablo314[[#This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35</v>
      </c>
      <c r="X29" cm="1">
        <f t="array" ref="X29">F29/Tablo27[LW1]*$C$40+Tablo314[[#This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36</v>
      </c>
      <c r="Y29">
        <f>SUM(Tablo314[[#This Row],[DÇ1]],Tablo314[[#This Row],[DÇ2]],Tablo314[[#This Row],[DÇ3]],Tablo314[[#This Row],[DÇ4]])</f>
        <v>109.5</v>
      </c>
      <c r="Z29" cm="1">
        <f t="array" ref="Z29">_xlfn.NORM.DIST(Tablo314[[#This Row],[TOTAL]],Tablo29[Mean],Tablo29[Variance],FALSE)</f>
        <v>4.2930403167287757E-3</v>
      </c>
    </row>
    <row r="30" spans="2:26" x14ac:dyDescent="0.3">
      <c r="B30" s="51">
        <v>26</v>
      </c>
      <c r="C30" s="9">
        <v>7</v>
      </c>
      <c r="D30" s="10" t="s">
        <v>3</v>
      </c>
      <c r="E30" s="10" t="s">
        <v>4</v>
      </c>
      <c r="F30">
        <v>1</v>
      </c>
      <c r="G30">
        <v>2</v>
      </c>
      <c r="H30">
        <v>5</v>
      </c>
      <c r="I30">
        <v>3</v>
      </c>
      <c r="J30">
        <v>5</v>
      </c>
      <c r="K30">
        <v>4</v>
      </c>
      <c r="L30">
        <v>2</v>
      </c>
      <c r="M30">
        <v>5</v>
      </c>
      <c r="N30">
        <v>5</v>
      </c>
      <c r="O30">
        <v>7</v>
      </c>
      <c r="P30">
        <v>0</v>
      </c>
      <c r="Q30">
        <v>8</v>
      </c>
      <c r="R30">
        <v>8</v>
      </c>
      <c r="S30">
        <v>7</v>
      </c>
      <c r="T30">
        <f>SUM(Tablo314[[#This Row],[LW1]:[LW14]])</f>
        <v>62</v>
      </c>
      <c r="U30" cm="1">
        <f t="array" ref="U30">F30/Tablo27[LW1]*$C$37+Tablo314[[#This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13</v>
      </c>
      <c r="V30" cm="1">
        <f t="array" ref="V30">F30/Tablo27[LW1]*$C$38+Tablo314[[#This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24.5</v>
      </c>
      <c r="W30" cm="1">
        <f t="array" ref="W30">F30/Tablo27[LW1]*$C$39+Tablo314[[#This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34</v>
      </c>
      <c r="X30" cm="1">
        <f t="array" ref="X30">F30/Tablo27[LW1]*$C$40+Tablo314[[#This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37</v>
      </c>
      <c r="Y30">
        <f>SUM(Tablo314[[#This Row],[DÇ1]],Tablo314[[#This Row],[DÇ2]],Tablo314[[#This Row],[DÇ3]],Tablo314[[#This Row],[DÇ4]])</f>
        <v>108.5</v>
      </c>
      <c r="Z30" cm="1">
        <f t="array" ref="Z30">_xlfn.NORM.DIST(Tablo314[[#This Row],[TOTAL]],Tablo29[Mean],Tablo29[Variance],FALSE)</f>
        <v>4.2881899601330403E-3</v>
      </c>
    </row>
    <row r="31" spans="2:26" x14ac:dyDescent="0.3">
      <c r="B31" s="50">
        <v>27</v>
      </c>
      <c r="C31" s="9">
        <v>15</v>
      </c>
      <c r="D31" s="10" t="s">
        <v>3</v>
      </c>
      <c r="E31" s="10" t="s">
        <v>4</v>
      </c>
      <c r="F31">
        <v>3</v>
      </c>
      <c r="G31">
        <v>5</v>
      </c>
      <c r="H31">
        <v>5</v>
      </c>
      <c r="I31">
        <v>5</v>
      </c>
      <c r="J31">
        <v>1</v>
      </c>
      <c r="K31">
        <v>3</v>
      </c>
      <c r="L31">
        <v>2</v>
      </c>
      <c r="M31">
        <v>5</v>
      </c>
      <c r="N31">
        <v>5</v>
      </c>
      <c r="O31">
        <v>8</v>
      </c>
      <c r="P31">
        <v>7</v>
      </c>
      <c r="Q31">
        <v>3</v>
      </c>
      <c r="R31">
        <v>6</v>
      </c>
      <c r="S31">
        <v>4</v>
      </c>
      <c r="T31">
        <f>SUM(Tablo314[[#This Row],[LW1]:[LW14]])</f>
        <v>62</v>
      </c>
      <c r="U31" cm="1">
        <f t="array" ref="U31">F31/Tablo27[LW1]*$C$37+Tablo314[[#This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18</v>
      </c>
      <c r="V31" cm="1">
        <f t="array" ref="V31">F31/Tablo27[LW1]*$C$38+Tablo314[[#This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27</v>
      </c>
      <c r="W31" cm="1">
        <f t="array" ref="W31">F31/Tablo27[LW1]*$C$39+Tablo314[[#This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28.5</v>
      </c>
      <c r="X31" cm="1">
        <f t="array" ref="X31">F31/Tablo27[LW1]*$C$40+Tablo314[[#This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33.5</v>
      </c>
      <c r="Y31">
        <f>SUM(Tablo314[[#This Row],[DÇ1]],Tablo314[[#This Row],[DÇ2]],Tablo314[[#This Row],[DÇ3]],Tablo314[[#This Row],[DÇ4]])</f>
        <v>107</v>
      </c>
      <c r="Z31" cm="1">
        <f t="array" ref="Z31">_xlfn.NORM.DIST(Tablo314[[#This Row],[TOTAL]],Tablo29[Mean],Tablo29[Variance],FALSE)</f>
        <v>4.2881899601330403E-3</v>
      </c>
    </row>
    <row r="32" spans="2:26" x14ac:dyDescent="0.3">
      <c r="B32" s="51">
        <v>28</v>
      </c>
      <c r="C32" s="9">
        <v>4</v>
      </c>
      <c r="D32" s="10" t="s">
        <v>3</v>
      </c>
      <c r="E32" s="10" t="s">
        <v>4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2</v>
      </c>
      <c r="M32">
        <v>5</v>
      </c>
      <c r="N32">
        <v>1</v>
      </c>
      <c r="O32">
        <v>6</v>
      </c>
      <c r="P32">
        <v>8</v>
      </c>
      <c r="Q32">
        <v>4</v>
      </c>
      <c r="R32">
        <v>9</v>
      </c>
      <c r="S32">
        <v>0</v>
      </c>
      <c r="T32">
        <f>SUM(Tablo314[[#This Row],[LW1]:[LW14]])</f>
        <v>64</v>
      </c>
      <c r="U32" cm="1">
        <f t="array" ref="U32">F32/Tablo27[LW1]*$C$37+Tablo314[[#This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21</v>
      </c>
      <c r="V32" cm="1">
        <f t="array" ref="V32">F32/Tablo27[LW1]*$C$38+Tablo314[[#This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27</v>
      </c>
      <c r="W32" cm="1">
        <f t="array" ref="W32">F32/Tablo27[LW1]*$C$39+Tablo314[[#This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28.5</v>
      </c>
      <c r="X32" cm="1">
        <f t="array" ref="X32">F32/Tablo27[LW1]*$C$40+Tablo314[[#This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33.5</v>
      </c>
      <c r="Y32">
        <f>SUM(Tablo314[[#This Row],[DÇ1]],Tablo314[[#This Row],[DÇ2]],Tablo314[[#This Row],[DÇ3]],Tablo314[[#This Row],[DÇ4]])</f>
        <v>110</v>
      </c>
      <c r="Z32" cm="1">
        <f t="array" ref="Z32">_xlfn.NORM.DIST(Tablo314[[#This Row],[TOTAL]],Tablo29[Mean],Tablo29[Variance],FALSE)</f>
        <v>4.2770049092314341E-3</v>
      </c>
    </row>
    <row r="33" spans="2:26" x14ac:dyDescent="0.3">
      <c r="B33" s="50">
        <v>29</v>
      </c>
      <c r="C33" s="9">
        <v>19</v>
      </c>
      <c r="D33" s="10" t="s">
        <v>3</v>
      </c>
      <c r="E33" s="10" t="s">
        <v>4</v>
      </c>
      <c r="F33">
        <v>3</v>
      </c>
      <c r="G33">
        <v>5</v>
      </c>
      <c r="H33">
        <v>5</v>
      </c>
      <c r="I33">
        <v>3</v>
      </c>
      <c r="J33">
        <v>1</v>
      </c>
      <c r="K33">
        <v>8</v>
      </c>
      <c r="L33">
        <v>4</v>
      </c>
      <c r="M33">
        <v>4</v>
      </c>
      <c r="N33">
        <v>5</v>
      </c>
      <c r="O33">
        <v>8</v>
      </c>
      <c r="P33">
        <v>6</v>
      </c>
      <c r="Q33">
        <v>7</v>
      </c>
      <c r="R33">
        <v>0</v>
      </c>
      <c r="S33">
        <v>7</v>
      </c>
      <c r="T33">
        <f>SUM(Tablo314[[#This Row],[LW1]:[LW14]])</f>
        <v>66</v>
      </c>
      <c r="U33" cm="1">
        <f t="array" ref="U33">F33/Tablo27[LW1]*$C$37+Tablo314[[#This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19</v>
      </c>
      <c r="V33" cm="1">
        <f t="array" ref="V33">F33/Tablo27[LW1]*$C$38+Tablo314[[#This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31</v>
      </c>
      <c r="W33" cm="1">
        <f t="array" ref="W33">F33/Tablo27[LW1]*$C$39+Tablo314[[#This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32</v>
      </c>
      <c r="X33" cm="1">
        <f t="array" ref="X33">F33/Tablo27[LW1]*$C$40+Tablo314[[#This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35</v>
      </c>
      <c r="Y33">
        <f>SUM(Tablo314[[#This Row],[DÇ1]],Tablo314[[#This Row],[DÇ2]],Tablo314[[#This Row],[DÇ3]],Tablo314[[#This Row],[DÇ4]])</f>
        <v>117</v>
      </c>
      <c r="Z33" cm="1">
        <f t="array" ref="Z33">_xlfn.NORM.DIST(Tablo314[[#This Row],[TOTAL]],Tablo29[Mean],Tablo29[Variance],FALSE)</f>
        <v>4.2638540400225184E-3</v>
      </c>
    </row>
    <row r="34" spans="2:26" x14ac:dyDescent="0.3">
      <c r="B34" s="52">
        <v>30</v>
      </c>
      <c r="C34" s="9">
        <v>23</v>
      </c>
      <c r="D34" s="10" t="s">
        <v>3</v>
      </c>
      <c r="E34" s="10" t="s">
        <v>4</v>
      </c>
      <c r="F34">
        <v>5</v>
      </c>
      <c r="G34">
        <v>1</v>
      </c>
      <c r="H34">
        <v>2</v>
      </c>
      <c r="I34">
        <v>3</v>
      </c>
      <c r="J34">
        <v>5</v>
      </c>
      <c r="K34">
        <v>3</v>
      </c>
      <c r="L34">
        <v>4</v>
      </c>
      <c r="M34">
        <v>5</v>
      </c>
      <c r="N34">
        <v>2</v>
      </c>
      <c r="O34">
        <v>8</v>
      </c>
      <c r="P34">
        <v>8</v>
      </c>
      <c r="Q34">
        <v>8</v>
      </c>
      <c r="R34">
        <v>6</v>
      </c>
      <c r="S34">
        <v>9</v>
      </c>
      <c r="T34">
        <f>SUM(Tablo314[[#This Row],[LW1]:[LW14]])</f>
        <v>69</v>
      </c>
      <c r="U34" cm="1">
        <f t="array" ref="U34">F34/Tablo27[LW1]*$C$37+Tablo314[[#This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17.5</v>
      </c>
      <c r="V34" cm="1">
        <f t="array" ref="V34">F34/Tablo27[LW1]*$C$38+Tablo314[[#This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23.5</v>
      </c>
      <c r="W34" cm="1">
        <f t="array" ref="W34">F34/Tablo27[LW1]*$C$39+Tablo314[[#This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37</v>
      </c>
      <c r="X34" cm="1">
        <f t="array" ref="X34">F34/Tablo27[LW1]*$C$40+Tablo314[[#This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40</v>
      </c>
      <c r="Y34">
        <f>SUM(Tablo314[[#This Row],[DÇ1]],Tablo314[[#This Row],[DÇ2]],Tablo314[[#This Row],[DÇ3]],Tablo314[[#This Row],[DÇ4]])</f>
        <v>118</v>
      </c>
      <c r="Z34" cm="1">
        <f t="array" ref="Z34">_xlfn.NORM.DIST(Tablo314[[#This Row],[TOTAL]],Tablo29[Mean],Tablo29[Variance],FALSE)</f>
        <v>4.2404826455504779E-3</v>
      </c>
    </row>
    <row r="36" spans="2:26" x14ac:dyDescent="0.3">
      <c r="B36" t="s">
        <v>75</v>
      </c>
      <c r="C36" t="s">
        <v>90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  <c r="N36" t="s">
        <v>101</v>
      </c>
      <c r="O36" t="s">
        <v>102</v>
      </c>
      <c r="P36" t="s">
        <v>103</v>
      </c>
      <c r="Q36" s="5" t="s">
        <v>76</v>
      </c>
      <c r="R36" s="7" t="s">
        <v>77</v>
      </c>
      <c r="S36" s="7" t="s">
        <v>78</v>
      </c>
      <c r="X36" s="7" t="s">
        <v>37</v>
      </c>
      <c r="Y36" s="7" t="s">
        <v>38</v>
      </c>
    </row>
    <row r="37" spans="2:26" x14ac:dyDescent="0.3">
      <c r="B37">
        <v>1</v>
      </c>
      <c r="C37">
        <v>5</v>
      </c>
      <c r="D37">
        <v>0</v>
      </c>
      <c r="E37">
        <v>5</v>
      </c>
      <c r="F37">
        <v>0</v>
      </c>
      <c r="G37">
        <v>0</v>
      </c>
      <c r="H37">
        <v>5</v>
      </c>
      <c r="I37">
        <v>0</v>
      </c>
      <c r="J37">
        <v>5</v>
      </c>
      <c r="K37">
        <v>0</v>
      </c>
      <c r="L37">
        <v>0</v>
      </c>
      <c r="M37">
        <v>5</v>
      </c>
      <c r="N37">
        <v>0</v>
      </c>
      <c r="O37">
        <v>0</v>
      </c>
      <c r="P37">
        <v>0</v>
      </c>
      <c r="Q37" s="29">
        <f>SUM(Tablo26[[#This Row],[LW1]:[LW14]])</f>
        <v>25</v>
      </c>
      <c r="R37" s="40">
        <f>IF(Q37=0,"0",SUM(Tablo314[DÇ1])/(30*D46))</f>
        <v>0.59266666666666667</v>
      </c>
      <c r="S37" s="53">
        <f>Tablo26[[#This Row],[TOTAL DÇ]]*D46</f>
        <v>14.816666666666666</v>
      </c>
      <c r="X37">
        <f>AVERAGE(Tablo314[TOTAL])</f>
        <v>51.833333333333336</v>
      </c>
      <c r="Y37">
        <f>_xlfn.VAR.P(Tablo314[TOTAL])</f>
        <v>92.472222222222229</v>
      </c>
    </row>
    <row r="38" spans="2:26" x14ac:dyDescent="0.3">
      <c r="B38">
        <v>2</v>
      </c>
      <c r="C38">
        <v>0</v>
      </c>
      <c r="D38">
        <v>5</v>
      </c>
      <c r="E38">
        <v>5</v>
      </c>
      <c r="F38">
        <v>0</v>
      </c>
      <c r="G38">
        <v>5</v>
      </c>
      <c r="H38">
        <v>5</v>
      </c>
      <c r="I38">
        <v>5</v>
      </c>
      <c r="J38">
        <v>0</v>
      </c>
      <c r="K38">
        <v>5</v>
      </c>
      <c r="L38">
        <v>5</v>
      </c>
      <c r="M38">
        <v>5</v>
      </c>
      <c r="N38">
        <v>0</v>
      </c>
      <c r="O38">
        <v>0</v>
      </c>
      <c r="P38">
        <v>0</v>
      </c>
      <c r="Q38" s="29">
        <f>SUM(Tablo26[[#This Row],[LW1]:[LW14]])</f>
        <v>40</v>
      </c>
      <c r="R38" s="40">
        <f>IF(Q38=0,"0",SUM(Tablo314[DÇ2])/(30*D47))</f>
        <v>0.57166666666666666</v>
      </c>
      <c r="S38" s="54">
        <f>Tablo26[[#This Row],[TOTAL DÇ]]*D47</f>
        <v>22.866666666666667</v>
      </c>
    </row>
    <row r="39" spans="2:26" x14ac:dyDescent="0.3">
      <c r="B39">
        <v>3</v>
      </c>
      <c r="C39">
        <v>0</v>
      </c>
      <c r="D39">
        <v>0</v>
      </c>
      <c r="E39">
        <v>0</v>
      </c>
      <c r="F39">
        <v>0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 s="29">
        <f>SUM(Tablo26[[#This Row],[LW1]:[LW14]])</f>
        <v>50</v>
      </c>
      <c r="R39" s="40">
        <f>IF(Q39=0,"0",SUM(Tablo314[DÇ3])/(30*D48))</f>
        <v>0.51866666666666672</v>
      </c>
      <c r="S39" s="54">
        <f>Tablo26[[#This Row],[TOTAL DÇ]]*D48</f>
        <v>25.933333333333337</v>
      </c>
    </row>
    <row r="40" spans="2:26" x14ac:dyDescent="0.3">
      <c r="B40">
        <v>4</v>
      </c>
      <c r="C40">
        <v>0</v>
      </c>
      <c r="D40">
        <v>0</v>
      </c>
      <c r="E40">
        <v>0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 s="29">
        <f>SUM(Tablo26[[#This Row],[LW1]:[LW14]])</f>
        <v>55</v>
      </c>
      <c r="R40" s="40">
        <f>IF(Q40=0,"0",SUM(Tablo314[DÇ4])/(30*D49))</f>
        <v>0.52606060606060601</v>
      </c>
      <c r="S40" s="54">
        <f>Tablo26[[#This Row],[TOTAL DÇ]]*D49</f>
        <v>28.93333333333333</v>
      </c>
    </row>
    <row r="42" spans="2:26" x14ac:dyDescent="0.3">
      <c r="B42" s="7" t="s">
        <v>35</v>
      </c>
      <c r="C42" t="s">
        <v>90</v>
      </c>
      <c r="D42" t="s">
        <v>91</v>
      </c>
      <c r="E42" t="s">
        <v>92</v>
      </c>
      <c r="F42" t="s">
        <v>93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 t="s">
        <v>101</v>
      </c>
      <c r="O42" t="s">
        <v>102</v>
      </c>
      <c r="P42" t="s">
        <v>103</v>
      </c>
      <c r="Q42" t="s">
        <v>76</v>
      </c>
    </row>
    <row r="43" spans="2:26" x14ac:dyDescent="0.3">
      <c r="B43" s="7" t="s">
        <v>105</v>
      </c>
      <c r="C43">
        <v>5</v>
      </c>
      <c r="D43">
        <v>5</v>
      </c>
      <c r="E43">
        <v>5</v>
      </c>
      <c r="F43">
        <v>5</v>
      </c>
      <c r="G43">
        <v>5</v>
      </c>
      <c r="H43">
        <v>10</v>
      </c>
      <c r="I43">
        <v>5</v>
      </c>
      <c r="J43">
        <v>5</v>
      </c>
      <c r="K43">
        <v>5</v>
      </c>
      <c r="L43">
        <v>10</v>
      </c>
      <c r="M43">
        <v>10</v>
      </c>
      <c r="N43">
        <v>10</v>
      </c>
      <c r="O43">
        <v>10</v>
      </c>
      <c r="P43">
        <v>10</v>
      </c>
      <c r="Q43">
        <f>SUM(Tablo27[[#This Row],[LW1]:[LW14]])</f>
        <v>100</v>
      </c>
    </row>
    <row r="44" spans="2:26" x14ac:dyDescent="0.3">
      <c r="G44" s="21"/>
      <c r="H44" s="38"/>
      <c r="I44" s="38"/>
      <c r="J44" s="38"/>
      <c r="K44" s="38"/>
      <c r="L44" s="38"/>
      <c r="M44" s="29"/>
      <c r="N44" s="40"/>
      <c r="O44" s="53"/>
    </row>
    <row r="45" spans="2:26" x14ac:dyDescent="0.3">
      <c r="B45" s="39" t="s">
        <v>45</v>
      </c>
      <c r="C45" s="39" t="s">
        <v>46</v>
      </c>
      <c r="D45" s="7" t="s">
        <v>70</v>
      </c>
      <c r="E45" s="7" t="s">
        <v>71</v>
      </c>
      <c r="G45" s="9"/>
      <c r="H45" s="29"/>
      <c r="I45" s="29"/>
      <c r="J45" s="29"/>
      <c r="K45" s="29"/>
      <c r="L45" s="29"/>
      <c r="M45" s="29"/>
      <c r="N45" s="40"/>
      <c r="O45" s="54"/>
    </row>
    <row r="46" spans="2:26" x14ac:dyDescent="0.3">
      <c r="B46" s="28">
        <v>1</v>
      </c>
      <c r="C46" t="s">
        <v>48</v>
      </c>
      <c r="D46">
        <v>25</v>
      </c>
      <c r="E46" s="23">
        <f>Tablo41525[[#This Row],[DERS ÇIKTISI KATSAYISI]]-Q37</f>
        <v>0</v>
      </c>
      <c r="G46" s="9"/>
      <c r="H46" s="29"/>
      <c r="I46" s="29"/>
      <c r="J46" s="29"/>
      <c r="K46" s="29"/>
      <c r="L46" s="29"/>
      <c r="M46" s="29"/>
      <c r="N46" s="40"/>
      <c r="O46" s="54"/>
    </row>
    <row r="47" spans="2:26" x14ac:dyDescent="0.3">
      <c r="B47" s="28">
        <v>2</v>
      </c>
      <c r="C47" t="s">
        <v>49</v>
      </c>
      <c r="D47">
        <v>40</v>
      </c>
      <c r="E47" s="23">
        <f>Tablo41525[[#This Row],[DERS ÇIKTISI KATSAYISI]]-Q38</f>
        <v>0</v>
      </c>
      <c r="G47" s="9"/>
      <c r="H47" s="29"/>
      <c r="I47" s="29"/>
      <c r="J47" s="29"/>
      <c r="K47" s="29"/>
      <c r="L47" s="29"/>
      <c r="M47" s="29"/>
      <c r="N47" s="40"/>
      <c r="O47" s="54"/>
    </row>
    <row r="48" spans="2:26" x14ac:dyDescent="0.3">
      <c r="B48" s="28">
        <v>3</v>
      </c>
      <c r="C48" t="s">
        <v>50</v>
      </c>
      <c r="D48">
        <v>50</v>
      </c>
      <c r="E48" s="23">
        <f>Tablo41525[[#This Row],[DERS ÇIKTISI KATSAYISI]]-Q39</f>
        <v>0</v>
      </c>
    </row>
    <row r="49" spans="2:5" x14ac:dyDescent="0.3">
      <c r="B49" s="2">
        <v>4</v>
      </c>
      <c r="C49" t="s">
        <v>51</v>
      </c>
      <c r="D49">
        <v>55</v>
      </c>
      <c r="E49" s="23">
        <f>Tablo41525[[#This Row],[DERS ÇIKTISI KATSAYISI]]-Q40</f>
        <v>0</v>
      </c>
    </row>
  </sheetData>
  <mergeCells count="1">
    <mergeCell ref="B1:V1"/>
  </mergeCells>
  <conditionalFormatting sqref="E46:E49">
    <cfRule type="cellIs" dxfId="51" priority="5" operator="equal">
      <formula>0</formula>
    </cfRule>
    <cfRule type="cellIs" dxfId="50" priority="6" operator="lessThan">
      <formula>0</formula>
    </cfRule>
  </conditionalFormatting>
  <conditionalFormatting sqref="E46">
    <cfRule type="cellIs" dxfId="49" priority="7" operator="greaterThan">
      <formula>$I$43</formula>
    </cfRule>
  </conditionalFormatting>
  <conditionalFormatting sqref="E47">
    <cfRule type="cellIs" dxfId="48" priority="8" operator="greaterThan">
      <formula>$I$44</formula>
    </cfRule>
  </conditionalFormatting>
  <conditionalFormatting sqref="E48">
    <cfRule type="cellIs" dxfId="47" priority="9" operator="greaterThan">
      <formula>$I$45</formula>
    </cfRule>
  </conditionalFormatting>
  <conditionalFormatting sqref="E49">
    <cfRule type="cellIs" dxfId="46" priority="10" operator="greaterThan">
      <formula>$I$46</formula>
    </cfRule>
  </conditionalFormatting>
  <conditionalFormatting sqref="Q38">
    <cfRule type="cellIs" dxfId="45" priority="2" operator="lessThan">
      <formula>$D$47</formula>
    </cfRule>
    <cfRule type="cellIs" dxfId="44" priority="3" operator="greaterThan">
      <formula>$D$47</formula>
    </cfRule>
    <cfRule type="cellIs" dxfId="43" priority="4" operator="equal">
      <formula>$D$47</formula>
    </cfRule>
  </conditionalFormatting>
  <conditionalFormatting sqref="M44">
    <cfRule type="cellIs" dxfId="42" priority="11" operator="equal">
      <formula>45</formula>
    </cfRule>
    <cfRule type="cellIs" dxfId="41" priority="12" operator="lessThan">
      <formula>$E$46</formula>
    </cfRule>
    <cfRule type="cellIs" dxfId="40" priority="13" operator="greaterThan">
      <formula>$E$46</formula>
    </cfRule>
  </conditionalFormatting>
  <conditionalFormatting sqref="Q37">
    <cfRule type="cellIs" dxfId="39" priority="14" operator="greaterThan">
      <formula>$D$46</formula>
    </cfRule>
    <cfRule type="cellIs" dxfId="38" priority="15" operator="lessThan">
      <formula>$D$46</formula>
    </cfRule>
    <cfRule type="cellIs" dxfId="37" priority="16" operator="equal">
      <formula>$D$46</formula>
    </cfRule>
  </conditionalFormatting>
  <conditionalFormatting sqref="Q39">
    <cfRule type="cellIs" dxfId="36" priority="17" operator="lessThan">
      <formula>$D$48</formula>
    </cfRule>
    <cfRule type="cellIs" dxfId="35" priority="18" operator="greaterThan">
      <formula>$D$48</formula>
    </cfRule>
    <cfRule type="cellIs" dxfId="34" priority="19" operator="equal">
      <formula>$D$48</formula>
    </cfRule>
  </conditionalFormatting>
  <conditionalFormatting sqref="Q40">
    <cfRule type="cellIs" dxfId="33" priority="20" operator="lessThan">
      <formula>$D$49</formula>
    </cfRule>
    <cfRule type="cellIs" dxfId="32" priority="21" operator="greaterThan">
      <formula>$D$49</formula>
    </cfRule>
    <cfRule type="cellIs" dxfId="31" priority="22" operator="equal">
      <formula>$D$49</formula>
    </cfRule>
  </conditionalFormatting>
  <conditionalFormatting sqref="Y5:Y34">
    <cfRule type="cellIs" dxfId="30" priority="1" operator="greaterThan">
      <formula>$D$46+$D$47+$D$48+$D$49</formula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MAIN</vt:lpstr>
      <vt:lpstr>MIDTERM</vt:lpstr>
      <vt:lpstr>FINAL</vt:lpstr>
      <vt:lpstr>HOMEWORK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Alperen</cp:lastModifiedBy>
  <dcterms:created xsi:type="dcterms:W3CDTF">2015-06-05T18:19:34Z</dcterms:created>
  <dcterms:modified xsi:type="dcterms:W3CDTF">2022-12-14T21:48:59Z</dcterms:modified>
</cp:coreProperties>
</file>